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kowalik\Projects\pump_data_downloader\decoding_contour_next_link\doc\"/>
    </mc:Choice>
  </mc:AlternateContent>
  <bookViews>
    <workbookView xWindow="0" yWindow="0" windowWidth="28800" windowHeight="12435" firstSheet="2" activeTab="2"/>
  </bookViews>
  <sheets>
    <sheet name="all_events" sheetId="1" r:id="rId1"/>
    <sheet name="Arrow status mapping" sheetId="2" r:id="rId2"/>
    <sheet name="Carb ratios" sheetId="3" r:id="rId3"/>
    <sheet name="Sensitivity factors" sheetId="5" r:id="rId4"/>
    <sheet name="BG Targets" sheetId="6" r:id="rId5"/>
  </sheets>
  <calcPr calcId="152511"/>
</workbook>
</file>

<file path=xl/calcChain.xml><?xml version="1.0" encoding="utf-8"?>
<calcChain xmlns="http://schemas.openxmlformats.org/spreadsheetml/2006/main">
  <c r="F10" i="6" l="1"/>
  <c r="F11" i="6" s="1"/>
  <c r="F12" i="6" s="1"/>
  <c r="B5" i="6"/>
  <c r="D5" i="6" s="1"/>
  <c r="D4" i="6"/>
  <c r="C10" i="5"/>
  <c r="C11" i="5" s="1"/>
  <c r="C12" i="5" s="1"/>
  <c r="C13" i="5" s="1"/>
  <c r="B5" i="5"/>
  <c r="D5" i="5" s="1"/>
  <c r="D4" i="5"/>
  <c r="H14" i="3"/>
  <c r="H13" i="3"/>
  <c r="H12" i="3"/>
  <c r="H11" i="3"/>
  <c r="H10" i="3"/>
  <c r="H9" i="3"/>
  <c r="H8" i="3"/>
  <c r="G14" i="3"/>
  <c r="G13" i="3"/>
  <c r="G12" i="3"/>
  <c r="G11" i="3"/>
  <c r="G10" i="3"/>
  <c r="G9" i="3"/>
  <c r="G8" i="3"/>
  <c r="F14" i="3"/>
  <c r="F13" i="3"/>
  <c r="F12" i="3"/>
  <c r="F11" i="3"/>
  <c r="F10" i="3"/>
  <c r="F9" i="3"/>
  <c r="F8" i="3"/>
  <c r="E14" i="3"/>
  <c r="E13" i="3"/>
  <c r="E12" i="3"/>
  <c r="E11" i="3"/>
  <c r="E10" i="3"/>
  <c r="E9" i="3"/>
  <c r="E8" i="3"/>
  <c r="C9" i="3"/>
  <c r="C10" i="3" s="1"/>
  <c r="C11" i="3" s="1"/>
  <c r="C12" i="3" s="1"/>
  <c r="C13" i="3" s="1"/>
  <c r="C14" i="3" s="1"/>
  <c r="B6" i="3"/>
  <c r="B7" i="3" s="1"/>
  <c r="B8" i="3" s="1"/>
  <c r="B9" i="3" s="1"/>
  <c r="B10" i="3" s="1"/>
  <c r="B5" i="3"/>
  <c r="D4" i="3"/>
  <c r="B6" i="6" l="1"/>
  <c r="B7" i="6" s="1"/>
  <c r="D7" i="6" s="1"/>
  <c r="E7" i="6" s="1"/>
  <c r="B6" i="5"/>
  <c r="B7" i="5" s="1"/>
  <c r="D7" i="5" s="1"/>
  <c r="E7" i="5" s="1"/>
  <c r="B11" i="3"/>
  <c r="B12" i="3" s="1"/>
  <c r="B13" i="3" s="1"/>
  <c r="B14" i="3" s="1"/>
  <c r="D14" i="3" s="1"/>
  <c r="D5" i="3"/>
  <c r="D6" i="3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F109" i="1"/>
  <c r="G109" i="1" s="1"/>
  <c r="F108" i="1"/>
  <c r="F107" i="1"/>
  <c r="F106" i="1"/>
  <c r="H106" i="1" s="1"/>
  <c r="F105" i="1"/>
  <c r="N105" i="1" s="1"/>
  <c r="F104" i="1"/>
  <c r="F103" i="1"/>
  <c r="F102" i="1"/>
  <c r="H102" i="1" s="1"/>
  <c r="F101" i="1"/>
  <c r="H101" i="1" s="1"/>
  <c r="F100" i="1"/>
  <c r="F99" i="1"/>
  <c r="F98" i="1"/>
  <c r="H98" i="1" s="1"/>
  <c r="F97" i="1"/>
  <c r="N97" i="1" s="1"/>
  <c r="F96" i="1"/>
  <c r="F95" i="1"/>
  <c r="F94" i="1"/>
  <c r="H94" i="1" s="1"/>
  <c r="F93" i="1"/>
  <c r="G93" i="1" s="1"/>
  <c r="F92" i="1"/>
  <c r="F91" i="1"/>
  <c r="F90" i="1"/>
  <c r="H90" i="1" s="1"/>
  <c r="F89" i="1"/>
  <c r="N89" i="1" s="1"/>
  <c r="F88" i="1"/>
  <c r="F87" i="1"/>
  <c r="F86" i="1"/>
  <c r="H86" i="1" s="1"/>
  <c r="F85" i="1"/>
  <c r="H85" i="1" s="1"/>
  <c r="F84" i="1"/>
  <c r="F83" i="1"/>
  <c r="F82" i="1"/>
  <c r="H82" i="1" s="1"/>
  <c r="F81" i="1"/>
  <c r="N81" i="1" s="1"/>
  <c r="F80" i="1"/>
  <c r="F79" i="1"/>
  <c r="F78" i="1"/>
  <c r="H78" i="1" s="1"/>
  <c r="F77" i="1"/>
  <c r="G77" i="1" s="1"/>
  <c r="F76" i="1"/>
  <c r="F75" i="1"/>
  <c r="F74" i="1"/>
  <c r="H74" i="1" s="1"/>
  <c r="F73" i="1"/>
  <c r="N73" i="1" s="1"/>
  <c r="F72" i="1"/>
  <c r="F71" i="1"/>
  <c r="F70" i="1"/>
  <c r="H70" i="1" s="1"/>
  <c r="F69" i="1"/>
  <c r="H69" i="1" s="1"/>
  <c r="F68" i="1"/>
  <c r="F67" i="1"/>
  <c r="F66" i="1"/>
  <c r="H66" i="1" s="1"/>
  <c r="F65" i="1"/>
  <c r="N65" i="1" s="1"/>
  <c r="F64" i="1"/>
  <c r="F63" i="1"/>
  <c r="F62" i="1"/>
  <c r="N62" i="1" s="1"/>
  <c r="F61" i="1"/>
  <c r="G61" i="1" s="1"/>
  <c r="F60" i="1"/>
  <c r="F59" i="1"/>
  <c r="F58" i="1"/>
  <c r="N58" i="1" s="1"/>
  <c r="F57" i="1"/>
  <c r="G57" i="1" s="1"/>
  <c r="F56" i="1"/>
  <c r="F55" i="1"/>
  <c r="F54" i="1"/>
  <c r="N54" i="1" s="1"/>
  <c r="F53" i="1"/>
  <c r="H53" i="1" s="1"/>
  <c r="F52" i="1"/>
  <c r="F51" i="1"/>
  <c r="F50" i="1"/>
  <c r="N50" i="1" s="1"/>
  <c r="F49" i="1"/>
  <c r="N49" i="1" s="1"/>
  <c r="F48" i="1"/>
  <c r="F47" i="1"/>
  <c r="F46" i="1"/>
  <c r="M46" i="1" s="1"/>
  <c r="F45" i="1"/>
  <c r="G45" i="1" s="1"/>
  <c r="F44" i="1"/>
  <c r="F43" i="1"/>
  <c r="F42" i="1"/>
  <c r="N42" i="1" s="1"/>
  <c r="F41" i="1"/>
  <c r="G41" i="1" s="1"/>
  <c r="F40" i="1"/>
  <c r="F39" i="1"/>
  <c r="F38" i="1"/>
  <c r="J38" i="1" s="1"/>
  <c r="F37" i="1"/>
  <c r="H37" i="1" s="1"/>
  <c r="F36" i="1"/>
  <c r="F35" i="1"/>
  <c r="F34" i="1"/>
  <c r="N34" i="1" s="1"/>
  <c r="F33" i="1"/>
  <c r="N33" i="1" s="1"/>
  <c r="F32" i="1"/>
  <c r="F31" i="1"/>
  <c r="F30" i="1"/>
  <c r="N30" i="1" s="1"/>
  <c r="F29" i="1"/>
  <c r="G29" i="1" s="1"/>
  <c r="F28" i="1"/>
  <c r="F27" i="1"/>
  <c r="F26" i="1"/>
  <c r="I26" i="1" s="1"/>
  <c r="F25" i="1"/>
  <c r="G25" i="1" s="1"/>
  <c r="F24" i="1"/>
  <c r="F23" i="1"/>
  <c r="F22" i="1"/>
  <c r="N22" i="1" s="1"/>
  <c r="F21" i="1"/>
  <c r="H21" i="1" s="1"/>
  <c r="F20" i="1"/>
  <c r="F19" i="1"/>
  <c r="F18" i="1"/>
  <c r="N18" i="1" s="1"/>
  <c r="F17" i="1"/>
  <c r="N17" i="1" s="1"/>
  <c r="F16" i="1"/>
  <c r="F15" i="1"/>
  <c r="F14" i="1"/>
  <c r="M14" i="1" s="1"/>
  <c r="F13" i="1"/>
  <c r="G13" i="1" s="1"/>
  <c r="F12" i="1"/>
  <c r="F11" i="1"/>
  <c r="F10" i="1"/>
  <c r="N10" i="1" s="1"/>
  <c r="F9" i="1"/>
  <c r="G9" i="1" s="1"/>
  <c r="F8" i="1"/>
  <c r="F7" i="1"/>
  <c r="F6" i="1"/>
  <c r="M6" i="1" s="1"/>
  <c r="F5" i="1"/>
  <c r="H5" i="1" s="1"/>
  <c r="F4" i="1"/>
  <c r="F3" i="1"/>
  <c r="F2" i="1"/>
  <c r="N2" i="1" s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Q2" i="1"/>
  <c r="AR2" i="1" s="1"/>
  <c r="AS2" i="1" s="1"/>
  <c r="AQ3" i="1"/>
  <c r="AR3" i="1" s="1"/>
  <c r="AS3" i="1" s="1"/>
  <c r="AQ4" i="1"/>
  <c r="AR4" i="1" s="1"/>
  <c r="AS4" i="1" s="1"/>
  <c r="AQ5" i="1"/>
  <c r="AR5" i="1" s="1"/>
  <c r="AS5" i="1" s="1"/>
  <c r="AQ6" i="1"/>
  <c r="AR6" i="1" s="1"/>
  <c r="AS6" i="1" s="1"/>
  <c r="AQ7" i="1"/>
  <c r="AR7" i="1" s="1"/>
  <c r="AS7" i="1" s="1"/>
  <c r="AQ8" i="1"/>
  <c r="AR8" i="1" s="1"/>
  <c r="AS8" i="1" s="1"/>
  <c r="AQ9" i="1"/>
  <c r="AR9" i="1" s="1"/>
  <c r="AS9" i="1" s="1"/>
  <c r="AQ10" i="1"/>
  <c r="AR10" i="1" s="1"/>
  <c r="AS10" i="1" s="1"/>
  <c r="AQ11" i="1"/>
  <c r="AR11" i="1" s="1"/>
  <c r="AS11" i="1" s="1"/>
  <c r="AQ12" i="1"/>
  <c r="AR12" i="1" s="1"/>
  <c r="AS12" i="1" s="1"/>
  <c r="AQ13" i="1"/>
  <c r="AR13" i="1" s="1"/>
  <c r="AS13" i="1" s="1"/>
  <c r="AQ14" i="1"/>
  <c r="AR14" i="1" s="1"/>
  <c r="AS14" i="1" s="1"/>
  <c r="AQ15" i="1"/>
  <c r="AR15" i="1" s="1"/>
  <c r="AS15" i="1" s="1"/>
  <c r="AQ16" i="1"/>
  <c r="AR16" i="1" s="1"/>
  <c r="AS16" i="1" s="1"/>
  <c r="AQ17" i="1"/>
  <c r="AR17" i="1" s="1"/>
  <c r="AS17" i="1" s="1"/>
  <c r="AQ18" i="1"/>
  <c r="AR18" i="1" s="1"/>
  <c r="AS18" i="1" s="1"/>
  <c r="AQ19" i="1"/>
  <c r="AR19" i="1" s="1"/>
  <c r="AS19" i="1" s="1"/>
  <c r="AQ20" i="1"/>
  <c r="AR20" i="1" s="1"/>
  <c r="AS20" i="1" s="1"/>
  <c r="AQ21" i="1"/>
  <c r="AR21" i="1" s="1"/>
  <c r="AS21" i="1" s="1"/>
  <c r="AQ22" i="1"/>
  <c r="AR22" i="1" s="1"/>
  <c r="AS22" i="1" s="1"/>
  <c r="AQ23" i="1"/>
  <c r="AR23" i="1" s="1"/>
  <c r="AS23" i="1" s="1"/>
  <c r="AQ24" i="1"/>
  <c r="AR24" i="1" s="1"/>
  <c r="AS24" i="1" s="1"/>
  <c r="AQ25" i="1"/>
  <c r="AR25" i="1" s="1"/>
  <c r="AS25" i="1" s="1"/>
  <c r="AQ26" i="1"/>
  <c r="AR26" i="1" s="1"/>
  <c r="AS26" i="1" s="1"/>
  <c r="AQ27" i="1"/>
  <c r="AR27" i="1" s="1"/>
  <c r="AS27" i="1" s="1"/>
  <c r="AQ28" i="1"/>
  <c r="AR28" i="1" s="1"/>
  <c r="AS28" i="1" s="1"/>
  <c r="AQ29" i="1"/>
  <c r="AR29" i="1" s="1"/>
  <c r="AS29" i="1" s="1"/>
  <c r="AQ30" i="1"/>
  <c r="AR30" i="1" s="1"/>
  <c r="AS30" i="1" s="1"/>
  <c r="AQ31" i="1"/>
  <c r="AR31" i="1" s="1"/>
  <c r="AS31" i="1" s="1"/>
  <c r="AQ32" i="1"/>
  <c r="AR32" i="1" s="1"/>
  <c r="AS32" i="1" s="1"/>
  <c r="AQ33" i="1"/>
  <c r="AR33" i="1" s="1"/>
  <c r="AS33" i="1" s="1"/>
  <c r="AQ34" i="1"/>
  <c r="AR34" i="1" s="1"/>
  <c r="AS34" i="1" s="1"/>
  <c r="AQ35" i="1"/>
  <c r="AR35" i="1" s="1"/>
  <c r="AS35" i="1" s="1"/>
  <c r="AQ36" i="1"/>
  <c r="AR36" i="1" s="1"/>
  <c r="AS36" i="1" s="1"/>
  <c r="AQ37" i="1"/>
  <c r="AR37" i="1" s="1"/>
  <c r="AS37" i="1" s="1"/>
  <c r="AQ38" i="1"/>
  <c r="AR38" i="1" s="1"/>
  <c r="AS38" i="1" s="1"/>
  <c r="AQ39" i="1"/>
  <c r="AR39" i="1" s="1"/>
  <c r="AS39" i="1" s="1"/>
  <c r="AQ40" i="1"/>
  <c r="AR40" i="1" s="1"/>
  <c r="AS40" i="1" s="1"/>
  <c r="AQ41" i="1"/>
  <c r="AR41" i="1" s="1"/>
  <c r="AS41" i="1" s="1"/>
  <c r="AQ42" i="1"/>
  <c r="AR42" i="1" s="1"/>
  <c r="AS42" i="1" s="1"/>
  <c r="AQ43" i="1"/>
  <c r="AR43" i="1" s="1"/>
  <c r="AS43" i="1" s="1"/>
  <c r="AQ44" i="1"/>
  <c r="AR44" i="1" s="1"/>
  <c r="AS44" i="1" s="1"/>
  <c r="AQ45" i="1"/>
  <c r="AR45" i="1" s="1"/>
  <c r="AS45" i="1" s="1"/>
  <c r="AQ46" i="1"/>
  <c r="AR46" i="1" s="1"/>
  <c r="AS46" i="1" s="1"/>
  <c r="AQ47" i="1"/>
  <c r="AR47" i="1" s="1"/>
  <c r="AS47" i="1" s="1"/>
  <c r="AQ48" i="1"/>
  <c r="AR48" i="1" s="1"/>
  <c r="AS48" i="1" s="1"/>
  <c r="AQ49" i="1"/>
  <c r="AR49" i="1" s="1"/>
  <c r="AS49" i="1" s="1"/>
  <c r="AQ50" i="1"/>
  <c r="AR50" i="1" s="1"/>
  <c r="AS50" i="1" s="1"/>
  <c r="AQ51" i="1"/>
  <c r="AR51" i="1" s="1"/>
  <c r="AS51" i="1" s="1"/>
  <c r="AQ52" i="1"/>
  <c r="AR52" i="1" s="1"/>
  <c r="AS52" i="1" s="1"/>
  <c r="AQ53" i="1"/>
  <c r="AR53" i="1" s="1"/>
  <c r="AS53" i="1" s="1"/>
  <c r="AQ54" i="1"/>
  <c r="AR54" i="1" s="1"/>
  <c r="AS54" i="1" s="1"/>
  <c r="AQ55" i="1"/>
  <c r="AR55" i="1" s="1"/>
  <c r="AS55" i="1" s="1"/>
  <c r="AQ56" i="1"/>
  <c r="AR56" i="1" s="1"/>
  <c r="AS56" i="1" s="1"/>
  <c r="AQ57" i="1"/>
  <c r="AR57" i="1" s="1"/>
  <c r="AS57" i="1" s="1"/>
  <c r="AQ58" i="1"/>
  <c r="AR58" i="1" s="1"/>
  <c r="AS58" i="1" s="1"/>
  <c r="AQ59" i="1"/>
  <c r="AR59" i="1" s="1"/>
  <c r="AS59" i="1" s="1"/>
  <c r="AQ60" i="1"/>
  <c r="AR60" i="1" s="1"/>
  <c r="AS60" i="1" s="1"/>
  <c r="AQ61" i="1"/>
  <c r="AR61" i="1" s="1"/>
  <c r="AS61" i="1" s="1"/>
  <c r="AQ62" i="1"/>
  <c r="AR62" i="1" s="1"/>
  <c r="AS62" i="1" s="1"/>
  <c r="AQ63" i="1"/>
  <c r="AR63" i="1" s="1"/>
  <c r="AS63" i="1" s="1"/>
  <c r="AQ64" i="1"/>
  <c r="AR64" i="1" s="1"/>
  <c r="AS64" i="1" s="1"/>
  <c r="AQ65" i="1"/>
  <c r="AR65" i="1" s="1"/>
  <c r="AS65" i="1" s="1"/>
  <c r="AQ66" i="1"/>
  <c r="AR66" i="1" s="1"/>
  <c r="AS66" i="1" s="1"/>
  <c r="AQ67" i="1"/>
  <c r="AR67" i="1" s="1"/>
  <c r="AS67" i="1" s="1"/>
  <c r="AQ68" i="1"/>
  <c r="AR68" i="1" s="1"/>
  <c r="AS68" i="1" s="1"/>
  <c r="AQ69" i="1"/>
  <c r="AR69" i="1" s="1"/>
  <c r="AS69" i="1" s="1"/>
  <c r="AQ70" i="1"/>
  <c r="AR70" i="1" s="1"/>
  <c r="AS70" i="1" s="1"/>
  <c r="AQ71" i="1"/>
  <c r="AR71" i="1" s="1"/>
  <c r="AS71" i="1" s="1"/>
  <c r="AQ72" i="1"/>
  <c r="AR72" i="1" s="1"/>
  <c r="AS72" i="1" s="1"/>
  <c r="AQ73" i="1"/>
  <c r="AR73" i="1" s="1"/>
  <c r="AS73" i="1" s="1"/>
  <c r="AQ74" i="1"/>
  <c r="AR74" i="1" s="1"/>
  <c r="AS74" i="1" s="1"/>
  <c r="AQ75" i="1"/>
  <c r="AR75" i="1" s="1"/>
  <c r="AS75" i="1" s="1"/>
  <c r="AQ76" i="1"/>
  <c r="AR76" i="1" s="1"/>
  <c r="AS76" i="1" s="1"/>
  <c r="AQ77" i="1"/>
  <c r="AR77" i="1" s="1"/>
  <c r="AS77" i="1" s="1"/>
  <c r="AQ78" i="1"/>
  <c r="AR78" i="1" s="1"/>
  <c r="AS78" i="1" s="1"/>
  <c r="AQ79" i="1"/>
  <c r="AR79" i="1" s="1"/>
  <c r="AS79" i="1" s="1"/>
  <c r="AQ80" i="1"/>
  <c r="AR80" i="1" s="1"/>
  <c r="AS80" i="1" s="1"/>
  <c r="AQ81" i="1"/>
  <c r="AR81" i="1" s="1"/>
  <c r="AS81" i="1" s="1"/>
  <c r="AQ82" i="1"/>
  <c r="AR82" i="1" s="1"/>
  <c r="AS82" i="1" s="1"/>
  <c r="AQ83" i="1"/>
  <c r="AR83" i="1" s="1"/>
  <c r="AS83" i="1" s="1"/>
  <c r="AQ84" i="1"/>
  <c r="AR84" i="1" s="1"/>
  <c r="AS84" i="1" s="1"/>
  <c r="AQ85" i="1"/>
  <c r="AR85" i="1" s="1"/>
  <c r="AS85" i="1" s="1"/>
  <c r="AQ86" i="1"/>
  <c r="AR86" i="1" s="1"/>
  <c r="AS86" i="1" s="1"/>
  <c r="AQ87" i="1"/>
  <c r="AR87" i="1" s="1"/>
  <c r="AS87" i="1" s="1"/>
  <c r="AQ88" i="1"/>
  <c r="AR88" i="1" s="1"/>
  <c r="AS88" i="1" s="1"/>
  <c r="AQ89" i="1"/>
  <c r="AR89" i="1" s="1"/>
  <c r="AS89" i="1" s="1"/>
  <c r="AQ90" i="1"/>
  <c r="AR90" i="1" s="1"/>
  <c r="AS90" i="1" s="1"/>
  <c r="AQ91" i="1"/>
  <c r="AR91" i="1" s="1"/>
  <c r="AS91" i="1" s="1"/>
  <c r="AQ92" i="1"/>
  <c r="AR92" i="1" s="1"/>
  <c r="AS92" i="1" s="1"/>
  <c r="AQ93" i="1"/>
  <c r="AR93" i="1" s="1"/>
  <c r="AS93" i="1" s="1"/>
  <c r="AQ94" i="1"/>
  <c r="AR94" i="1" s="1"/>
  <c r="AS94" i="1" s="1"/>
  <c r="AQ95" i="1"/>
  <c r="AR95" i="1" s="1"/>
  <c r="AS95" i="1" s="1"/>
  <c r="AQ96" i="1"/>
  <c r="AR96" i="1" s="1"/>
  <c r="AS96" i="1" s="1"/>
  <c r="AQ97" i="1"/>
  <c r="AR97" i="1" s="1"/>
  <c r="AS97" i="1" s="1"/>
  <c r="AQ98" i="1"/>
  <c r="AR98" i="1" s="1"/>
  <c r="AS98" i="1" s="1"/>
  <c r="AQ99" i="1"/>
  <c r="AR99" i="1" s="1"/>
  <c r="AS99" i="1" s="1"/>
  <c r="AQ100" i="1"/>
  <c r="AR100" i="1" s="1"/>
  <c r="AS100" i="1" s="1"/>
  <c r="AQ101" i="1"/>
  <c r="AR101" i="1" s="1"/>
  <c r="AS101" i="1" s="1"/>
  <c r="AQ102" i="1"/>
  <c r="AR102" i="1" s="1"/>
  <c r="AS102" i="1" s="1"/>
  <c r="AQ103" i="1"/>
  <c r="AR103" i="1" s="1"/>
  <c r="AS103" i="1" s="1"/>
  <c r="AQ104" i="1"/>
  <c r="AR104" i="1" s="1"/>
  <c r="AS104" i="1" s="1"/>
  <c r="AQ105" i="1"/>
  <c r="AR105" i="1" s="1"/>
  <c r="AS105" i="1" s="1"/>
  <c r="AQ106" i="1"/>
  <c r="AR106" i="1" s="1"/>
  <c r="AS106" i="1" s="1"/>
  <c r="AQ107" i="1"/>
  <c r="AR107" i="1" s="1"/>
  <c r="AS107" i="1" s="1"/>
  <c r="AQ108" i="1"/>
  <c r="AR108" i="1" s="1"/>
  <c r="AS108" i="1" s="1"/>
  <c r="AQ109" i="1"/>
  <c r="AR109" i="1" s="1"/>
  <c r="AS109" i="1" s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K2" i="1"/>
  <c r="AL2" i="1" s="1"/>
  <c r="AK3" i="1"/>
  <c r="AL3" i="1" s="1"/>
  <c r="AK4" i="1"/>
  <c r="AL4" i="1" s="1"/>
  <c r="AK5" i="1"/>
  <c r="AL5" i="1" s="1"/>
  <c r="AK6" i="1"/>
  <c r="AL6" i="1" s="1"/>
  <c r="AK7" i="1"/>
  <c r="AL7" i="1" s="1"/>
  <c r="AK8" i="1"/>
  <c r="AL8" i="1" s="1"/>
  <c r="AK9" i="1"/>
  <c r="AL9" i="1" s="1"/>
  <c r="AK10" i="1"/>
  <c r="AL10" i="1" s="1"/>
  <c r="AK11" i="1"/>
  <c r="AL11" i="1" s="1"/>
  <c r="AK12" i="1"/>
  <c r="AL12" i="1" s="1"/>
  <c r="AK13" i="1"/>
  <c r="AL13" i="1" s="1"/>
  <c r="AK14" i="1"/>
  <c r="AL14" i="1" s="1"/>
  <c r="AK15" i="1"/>
  <c r="AL15" i="1" s="1"/>
  <c r="AK16" i="1"/>
  <c r="AL16" i="1" s="1"/>
  <c r="AK17" i="1"/>
  <c r="AL17" i="1" s="1"/>
  <c r="AK18" i="1"/>
  <c r="AL18" i="1" s="1"/>
  <c r="AK19" i="1"/>
  <c r="AL19" i="1" s="1"/>
  <c r="AK20" i="1"/>
  <c r="AL20" i="1" s="1"/>
  <c r="AK21" i="1"/>
  <c r="AL21" i="1" s="1"/>
  <c r="AK22" i="1"/>
  <c r="AL22" i="1" s="1"/>
  <c r="AK23" i="1"/>
  <c r="AL23" i="1" s="1"/>
  <c r="AK24" i="1"/>
  <c r="AL24" i="1" s="1"/>
  <c r="AK25" i="1"/>
  <c r="AL25" i="1" s="1"/>
  <c r="AK26" i="1"/>
  <c r="AL26" i="1" s="1"/>
  <c r="AK27" i="1"/>
  <c r="AL27" i="1" s="1"/>
  <c r="AK28" i="1"/>
  <c r="AL28" i="1" s="1"/>
  <c r="AK29" i="1"/>
  <c r="AL29" i="1" s="1"/>
  <c r="AK30" i="1"/>
  <c r="AL30" i="1" s="1"/>
  <c r="AK31" i="1"/>
  <c r="AL31" i="1" s="1"/>
  <c r="AK32" i="1"/>
  <c r="AL32" i="1" s="1"/>
  <c r="AK33" i="1"/>
  <c r="AL33" i="1" s="1"/>
  <c r="AK34" i="1"/>
  <c r="AL34" i="1" s="1"/>
  <c r="AK35" i="1"/>
  <c r="AL35" i="1" s="1"/>
  <c r="AK36" i="1"/>
  <c r="AL36" i="1" s="1"/>
  <c r="AK37" i="1"/>
  <c r="AL37" i="1" s="1"/>
  <c r="AK38" i="1"/>
  <c r="AL38" i="1" s="1"/>
  <c r="AK39" i="1"/>
  <c r="AL39" i="1" s="1"/>
  <c r="AK40" i="1"/>
  <c r="AL40" i="1" s="1"/>
  <c r="AK41" i="1"/>
  <c r="AL41" i="1" s="1"/>
  <c r="AK42" i="1"/>
  <c r="AL42" i="1" s="1"/>
  <c r="AK43" i="1"/>
  <c r="AL43" i="1" s="1"/>
  <c r="AK44" i="1"/>
  <c r="AL44" i="1" s="1"/>
  <c r="AK45" i="1"/>
  <c r="AL45" i="1" s="1"/>
  <c r="AK46" i="1"/>
  <c r="AL46" i="1" s="1"/>
  <c r="AK47" i="1"/>
  <c r="AL47" i="1" s="1"/>
  <c r="AK48" i="1"/>
  <c r="AL48" i="1" s="1"/>
  <c r="AK49" i="1"/>
  <c r="AL49" i="1" s="1"/>
  <c r="AK50" i="1"/>
  <c r="AL50" i="1" s="1"/>
  <c r="AK51" i="1"/>
  <c r="AL51" i="1" s="1"/>
  <c r="AK52" i="1"/>
  <c r="AL52" i="1" s="1"/>
  <c r="AK53" i="1"/>
  <c r="AL53" i="1" s="1"/>
  <c r="AK54" i="1"/>
  <c r="AL54" i="1" s="1"/>
  <c r="AK55" i="1"/>
  <c r="AL55" i="1" s="1"/>
  <c r="AK56" i="1"/>
  <c r="AL56" i="1" s="1"/>
  <c r="AK57" i="1"/>
  <c r="AL57" i="1" s="1"/>
  <c r="AK58" i="1"/>
  <c r="AL58" i="1" s="1"/>
  <c r="AK59" i="1"/>
  <c r="AL59" i="1" s="1"/>
  <c r="AK60" i="1"/>
  <c r="AL60" i="1" s="1"/>
  <c r="AK61" i="1"/>
  <c r="AL61" i="1" s="1"/>
  <c r="AK62" i="1"/>
  <c r="AL62" i="1" s="1"/>
  <c r="AK63" i="1"/>
  <c r="AL63" i="1" s="1"/>
  <c r="AK64" i="1"/>
  <c r="AL64" i="1" s="1"/>
  <c r="AK65" i="1"/>
  <c r="AL65" i="1" s="1"/>
  <c r="AK66" i="1"/>
  <c r="AL66" i="1" s="1"/>
  <c r="AK67" i="1"/>
  <c r="AL67" i="1" s="1"/>
  <c r="AK68" i="1"/>
  <c r="AL68" i="1" s="1"/>
  <c r="AK69" i="1"/>
  <c r="AL69" i="1" s="1"/>
  <c r="AK70" i="1"/>
  <c r="AL70" i="1" s="1"/>
  <c r="AK71" i="1"/>
  <c r="AL71" i="1" s="1"/>
  <c r="AK72" i="1"/>
  <c r="AL72" i="1" s="1"/>
  <c r="AK73" i="1"/>
  <c r="AL73" i="1" s="1"/>
  <c r="AK74" i="1"/>
  <c r="AL74" i="1" s="1"/>
  <c r="AK75" i="1"/>
  <c r="AL75" i="1" s="1"/>
  <c r="AK76" i="1"/>
  <c r="AL76" i="1" s="1"/>
  <c r="AK77" i="1"/>
  <c r="AL77" i="1" s="1"/>
  <c r="AK78" i="1"/>
  <c r="AL78" i="1" s="1"/>
  <c r="AK79" i="1"/>
  <c r="AL79" i="1" s="1"/>
  <c r="AK80" i="1"/>
  <c r="AL80" i="1" s="1"/>
  <c r="AK81" i="1"/>
  <c r="AL81" i="1" s="1"/>
  <c r="AK82" i="1"/>
  <c r="AL82" i="1" s="1"/>
  <c r="AK83" i="1"/>
  <c r="AL83" i="1" s="1"/>
  <c r="AK84" i="1"/>
  <c r="AL84" i="1" s="1"/>
  <c r="AK85" i="1"/>
  <c r="AL85" i="1" s="1"/>
  <c r="AK86" i="1"/>
  <c r="AL86" i="1" s="1"/>
  <c r="AK87" i="1"/>
  <c r="AL87" i="1" s="1"/>
  <c r="AK88" i="1"/>
  <c r="AL88" i="1" s="1"/>
  <c r="AK89" i="1"/>
  <c r="AL89" i="1" s="1"/>
  <c r="AK90" i="1"/>
  <c r="AL90" i="1" s="1"/>
  <c r="AK91" i="1"/>
  <c r="AL91" i="1" s="1"/>
  <c r="AK92" i="1"/>
  <c r="AL92" i="1" s="1"/>
  <c r="AK93" i="1"/>
  <c r="AL93" i="1" s="1"/>
  <c r="AK94" i="1"/>
  <c r="AL94" i="1" s="1"/>
  <c r="AK95" i="1"/>
  <c r="AL95" i="1" s="1"/>
  <c r="AK96" i="1"/>
  <c r="AL96" i="1" s="1"/>
  <c r="AK97" i="1"/>
  <c r="AL97" i="1" s="1"/>
  <c r="AK98" i="1"/>
  <c r="AL98" i="1" s="1"/>
  <c r="AK99" i="1"/>
  <c r="AL99" i="1" s="1"/>
  <c r="AK100" i="1"/>
  <c r="AL100" i="1" s="1"/>
  <c r="AK101" i="1"/>
  <c r="AL101" i="1" s="1"/>
  <c r="AK102" i="1"/>
  <c r="AL102" i="1" s="1"/>
  <c r="AK103" i="1"/>
  <c r="AL103" i="1" s="1"/>
  <c r="AK104" i="1"/>
  <c r="AL104" i="1" s="1"/>
  <c r="AK105" i="1"/>
  <c r="AL105" i="1" s="1"/>
  <c r="AK106" i="1"/>
  <c r="AL106" i="1" s="1"/>
  <c r="AK107" i="1"/>
  <c r="AL107" i="1" s="1"/>
  <c r="AK108" i="1"/>
  <c r="AL108" i="1" s="1"/>
  <c r="AK109" i="1"/>
  <c r="AL109" i="1" s="1"/>
  <c r="D6" i="6" l="1"/>
  <c r="E9" i="6"/>
  <c r="G9" i="6" s="1"/>
  <c r="E6" i="6"/>
  <c r="G6" i="6"/>
  <c r="F6" i="6"/>
  <c r="E10" i="6"/>
  <c r="D6" i="5"/>
  <c r="G6" i="5" s="1"/>
  <c r="B9" i="5"/>
  <c r="B10" i="5" s="1"/>
  <c r="F6" i="5"/>
  <c r="E6" i="5"/>
  <c r="D7" i="3"/>
  <c r="E7" i="3" s="1"/>
  <c r="G6" i="3"/>
  <c r="E6" i="3"/>
  <c r="F6" i="3"/>
  <c r="AF101" i="1"/>
  <c r="AF85" i="1"/>
  <c r="AF69" i="1"/>
  <c r="AF53" i="1"/>
  <c r="AF37" i="1"/>
  <c r="AF21" i="1"/>
  <c r="AF5" i="1"/>
  <c r="AF106" i="1"/>
  <c r="AF102" i="1"/>
  <c r="AF98" i="1"/>
  <c r="AF94" i="1"/>
  <c r="AF90" i="1"/>
  <c r="AF86" i="1"/>
  <c r="AF82" i="1"/>
  <c r="AF78" i="1"/>
  <c r="AF74" i="1"/>
  <c r="AF70" i="1"/>
  <c r="AF66" i="1"/>
  <c r="N29" i="1"/>
  <c r="K9" i="1"/>
  <c r="G105" i="1"/>
  <c r="H97" i="1"/>
  <c r="AF97" i="1" s="1"/>
  <c r="N93" i="1"/>
  <c r="G73" i="1"/>
  <c r="H65" i="1"/>
  <c r="AF65" i="1" s="1"/>
  <c r="G21" i="1"/>
  <c r="N61" i="1"/>
  <c r="G53" i="1"/>
  <c r="H33" i="1"/>
  <c r="AF33" i="1" s="1"/>
  <c r="I102" i="1"/>
  <c r="I66" i="1"/>
  <c r="I10" i="1"/>
  <c r="J70" i="1"/>
  <c r="J22" i="1"/>
  <c r="M2" i="1"/>
  <c r="M10" i="1"/>
  <c r="M18" i="1"/>
  <c r="M26" i="1"/>
  <c r="M34" i="1"/>
  <c r="M42" i="1"/>
  <c r="M50" i="1"/>
  <c r="M58" i="1"/>
  <c r="M66" i="1"/>
  <c r="M74" i="1"/>
  <c r="M82" i="1"/>
  <c r="M90" i="1"/>
  <c r="M102" i="1"/>
  <c r="N102" i="1"/>
  <c r="N82" i="1"/>
  <c r="N70" i="1"/>
  <c r="N38" i="1"/>
  <c r="N6" i="1"/>
  <c r="G94" i="1"/>
  <c r="G82" i="1"/>
  <c r="I98" i="1"/>
  <c r="I58" i="1"/>
  <c r="J102" i="1"/>
  <c r="J62" i="1"/>
  <c r="K89" i="1"/>
  <c r="L69" i="1"/>
  <c r="M5" i="1"/>
  <c r="M13" i="1"/>
  <c r="M21" i="1"/>
  <c r="M29" i="1"/>
  <c r="M37" i="1"/>
  <c r="M45" i="1"/>
  <c r="M53" i="1"/>
  <c r="M61" i="1"/>
  <c r="M69" i="1"/>
  <c r="M77" i="1"/>
  <c r="M85" i="1"/>
  <c r="M93" i="1"/>
  <c r="M109" i="1"/>
  <c r="N101" i="1"/>
  <c r="N90" i="1"/>
  <c r="N78" i="1"/>
  <c r="N69" i="1"/>
  <c r="N46" i="1"/>
  <c r="N37" i="1"/>
  <c r="N26" i="1"/>
  <c r="N14" i="1"/>
  <c r="N5" i="1"/>
  <c r="G102" i="1"/>
  <c r="G90" i="1"/>
  <c r="G81" i="1"/>
  <c r="G70" i="1"/>
  <c r="G49" i="1"/>
  <c r="G17" i="1"/>
  <c r="H93" i="1"/>
  <c r="AF93" i="1" s="1"/>
  <c r="H61" i="1"/>
  <c r="AF61" i="1" s="1"/>
  <c r="H29" i="1"/>
  <c r="AF29" i="1" s="1"/>
  <c r="I86" i="1"/>
  <c r="I42" i="1"/>
  <c r="J94" i="1"/>
  <c r="J54" i="1"/>
  <c r="K73" i="1"/>
  <c r="L53" i="1"/>
  <c r="M22" i="1"/>
  <c r="M30" i="1"/>
  <c r="M38" i="1"/>
  <c r="M54" i="1"/>
  <c r="M62" i="1"/>
  <c r="M70" i="1"/>
  <c r="M78" i="1"/>
  <c r="M86" i="1"/>
  <c r="M94" i="1"/>
  <c r="N109" i="1"/>
  <c r="N98" i="1"/>
  <c r="N86" i="1"/>
  <c r="N77" i="1"/>
  <c r="N66" i="1"/>
  <c r="N45" i="1"/>
  <c r="N13" i="1"/>
  <c r="G98" i="1"/>
  <c r="G89" i="1"/>
  <c r="G78" i="1"/>
  <c r="G66" i="1"/>
  <c r="G37" i="1"/>
  <c r="G5" i="1"/>
  <c r="H81" i="1"/>
  <c r="AF81" i="1" s="1"/>
  <c r="H49" i="1"/>
  <c r="AF49" i="1" s="1"/>
  <c r="H17" i="1"/>
  <c r="AF17" i="1" s="1"/>
  <c r="I74" i="1"/>
  <c r="J86" i="1"/>
  <c r="K25" i="1"/>
  <c r="L5" i="1"/>
  <c r="M9" i="1"/>
  <c r="M17" i="1"/>
  <c r="M25" i="1"/>
  <c r="M33" i="1"/>
  <c r="M41" i="1"/>
  <c r="M49" i="1"/>
  <c r="M57" i="1"/>
  <c r="M65" i="1"/>
  <c r="M73" i="1"/>
  <c r="M81" i="1"/>
  <c r="M89" i="1"/>
  <c r="M101" i="1"/>
  <c r="N106" i="1"/>
  <c r="N94" i="1"/>
  <c r="N85" i="1"/>
  <c r="N74" i="1"/>
  <c r="N53" i="1"/>
  <c r="N21" i="1"/>
  <c r="G106" i="1"/>
  <c r="G97" i="1"/>
  <c r="G86" i="1"/>
  <c r="G74" i="1"/>
  <c r="G65" i="1"/>
  <c r="G33" i="1"/>
  <c r="H109" i="1"/>
  <c r="AF109" i="1" s="1"/>
  <c r="H77" i="1"/>
  <c r="AF77" i="1" s="1"/>
  <c r="H45" i="1"/>
  <c r="AF45" i="1" s="1"/>
  <c r="H13" i="1"/>
  <c r="AF13" i="1" s="1"/>
  <c r="H3" i="1"/>
  <c r="AF3" i="1" s="1"/>
  <c r="G3" i="1"/>
  <c r="N3" i="1"/>
  <c r="M3" i="1"/>
  <c r="I3" i="1"/>
  <c r="I15" i="1"/>
  <c r="H15" i="1"/>
  <c r="AF15" i="1" s="1"/>
  <c r="G15" i="1"/>
  <c r="N15" i="1"/>
  <c r="M15" i="1"/>
  <c r="I23" i="1"/>
  <c r="H23" i="1"/>
  <c r="AF23" i="1" s="1"/>
  <c r="G23" i="1"/>
  <c r="N23" i="1"/>
  <c r="J23" i="1"/>
  <c r="M23" i="1"/>
  <c r="I31" i="1"/>
  <c r="H31" i="1"/>
  <c r="AF31" i="1" s="1"/>
  <c r="G31" i="1"/>
  <c r="N31" i="1"/>
  <c r="M31" i="1"/>
  <c r="J31" i="1"/>
  <c r="J35" i="1"/>
  <c r="H35" i="1"/>
  <c r="AF35" i="1" s="1"/>
  <c r="G35" i="1"/>
  <c r="N35" i="1"/>
  <c r="M35" i="1"/>
  <c r="I35" i="1"/>
  <c r="I47" i="1"/>
  <c r="H47" i="1"/>
  <c r="AF47" i="1" s="1"/>
  <c r="G47" i="1"/>
  <c r="N47" i="1"/>
  <c r="M47" i="1"/>
  <c r="J47" i="1"/>
  <c r="H51" i="1"/>
  <c r="AF51" i="1" s="1"/>
  <c r="G51" i="1"/>
  <c r="N51" i="1"/>
  <c r="M51" i="1"/>
  <c r="I51" i="1"/>
  <c r="J51" i="1"/>
  <c r="H55" i="1"/>
  <c r="AF55" i="1" s="1"/>
  <c r="G55" i="1"/>
  <c r="N55" i="1"/>
  <c r="J55" i="1"/>
  <c r="M55" i="1"/>
  <c r="I55" i="1"/>
  <c r="H59" i="1"/>
  <c r="AF59" i="1" s="1"/>
  <c r="G59" i="1"/>
  <c r="N59" i="1"/>
  <c r="I59" i="1"/>
  <c r="M59" i="1"/>
  <c r="J59" i="1"/>
  <c r="H63" i="1"/>
  <c r="AF63" i="1" s="1"/>
  <c r="G63" i="1"/>
  <c r="N63" i="1"/>
  <c r="M63" i="1"/>
  <c r="I63" i="1"/>
  <c r="J63" i="1"/>
  <c r="H67" i="1"/>
  <c r="AF67" i="1" s="1"/>
  <c r="G67" i="1"/>
  <c r="N67" i="1"/>
  <c r="J67" i="1"/>
  <c r="I67" i="1"/>
  <c r="M67" i="1"/>
  <c r="H71" i="1"/>
  <c r="AF71" i="1" s="1"/>
  <c r="G71" i="1"/>
  <c r="N71" i="1"/>
  <c r="I71" i="1"/>
  <c r="M71" i="1"/>
  <c r="J71" i="1"/>
  <c r="H75" i="1"/>
  <c r="AF75" i="1" s="1"/>
  <c r="G75" i="1"/>
  <c r="N75" i="1"/>
  <c r="M75" i="1"/>
  <c r="J75" i="1"/>
  <c r="I75" i="1"/>
  <c r="H79" i="1"/>
  <c r="AF79" i="1" s="1"/>
  <c r="G79" i="1"/>
  <c r="N79" i="1"/>
  <c r="M79" i="1"/>
  <c r="J79" i="1"/>
  <c r="I79" i="1"/>
  <c r="H83" i="1"/>
  <c r="AF83" i="1" s="1"/>
  <c r="G83" i="1"/>
  <c r="N83" i="1"/>
  <c r="M83" i="1"/>
  <c r="I83" i="1"/>
  <c r="J83" i="1"/>
  <c r="H87" i="1"/>
  <c r="AF87" i="1" s="1"/>
  <c r="G87" i="1"/>
  <c r="N87" i="1"/>
  <c r="J87" i="1"/>
  <c r="M87" i="1"/>
  <c r="I87" i="1"/>
  <c r="H11" i="1"/>
  <c r="AF11" i="1" s="1"/>
  <c r="G11" i="1"/>
  <c r="N11" i="1"/>
  <c r="M11" i="1"/>
  <c r="I11" i="1"/>
  <c r="I39" i="1"/>
  <c r="H39" i="1"/>
  <c r="AF39" i="1" s="1"/>
  <c r="G39" i="1"/>
  <c r="N39" i="1"/>
  <c r="M39" i="1"/>
  <c r="J39" i="1"/>
  <c r="I7" i="1"/>
  <c r="H7" i="1"/>
  <c r="AF7" i="1" s="1"/>
  <c r="G7" i="1"/>
  <c r="N7" i="1"/>
  <c r="M7" i="1"/>
  <c r="J19" i="1"/>
  <c r="H19" i="1"/>
  <c r="AF19" i="1" s="1"/>
  <c r="G19" i="1"/>
  <c r="N19" i="1"/>
  <c r="M19" i="1"/>
  <c r="I19" i="1"/>
  <c r="J27" i="1"/>
  <c r="H27" i="1"/>
  <c r="AF27" i="1" s="1"/>
  <c r="G27" i="1"/>
  <c r="N27" i="1"/>
  <c r="M27" i="1"/>
  <c r="I27" i="1"/>
  <c r="J43" i="1"/>
  <c r="H43" i="1"/>
  <c r="AF43" i="1" s="1"/>
  <c r="G43" i="1"/>
  <c r="N43" i="1"/>
  <c r="M43" i="1"/>
  <c r="I43" i="1"/>
  <c r="H95" i="1"/>
  <c r="AF95" i="1" s="1"/>
  <c r="G95" i="1"/>
  <c r="N95" i="1"/>
  <c r="M95" i="1"/>
  <c r="H103" i="1"/>
  <c r="AF103" i="1" s="1"/>
  <c r="G103" i="1"/>
  <c r="N103" i="1"/>
  <c r="M103" i="1"/>
  <c r="J95" i="1"/>
  <c r="H4" i="1"/>
  <c r="AF4" i="1" s="1"/>
  <c r="G4" i="1"/>
  <c r="N4" i="1"/>
  <c r="H8" i="1"/>
  <c r="AF8" i="1" s="1"/>
  <c r="G8" i="1"/>
  <c r="N8" i="1"/>
  <c r="H12" i="1"/>
  <c r="AF12" i="1" s="1"/>
  <c r="G12" i="1"/>
  <c r="N12" i="1"/>
  <c r="H16" i="1"/>
  <c r="AF16" i="1" s="1"/>
  <c r="G16" i="1"/>
  <c r="N16" i="1"/>
  <c r="L20" i="1"/>
  <c r="H20" i="1"/>
  <c r="AF20" i="1" s="1"/>
  <c r="G20" i="1"/>
  <c r="N20" i="1"/>
  <c r="H24" i="1"/>
  <c r="AF24" i="1" s="1"/>
  <c r="G24" i="1"/>
  <c r="N24" i="1"/>
  <c r="H28" i="1"/>
  <c r="AF28" i="1" s="1"/>
  <c r="G28" i="1"/>
  <c r="N28" i="1"/>
  <c r="H32" i="1"/>
  <c r="AF32" i="1" s="1"/>
  <c r="G32" i="1"/>
  <c r="N32" i="1"/>
  <c r="H36" i="1"/>
  <c r="AF36" i="1" s="1"/>
  <c r="G36" i="1"/>
  <c r="N36" i="1"/>
  <c r="H40" i="1"/>
  <c r="AF40" i="1" s="1"/>
  <c r="G40" i="1"/>
  <c r="N40" i="1"/>
  <c r="H44" i="1"/>
  <c r="AF44" i="1" s="1"/>
  <c r="G44" i="1"/>
  <c r="N44" i="1"/>
  <c r="H48" i="1"/>
  <c r="AF48" i="1" s="1"/>
  <c r="G48" i="1"/>
  <c r="N48" i="1"/>
  <c r="L52" i="1"/>
  <c r="H52" i="1"/>
  <c r="AF52" i="1" s="1"/>
  <c r="G52" i="1"/>
  <c r="N52" i="1"/>
  <c r="H56" i="1"/>
  <c r="AF56" i="1" s="1"/>
  <c r="G56" i="1"/>
  <c r="N56" i="1"/>
  <c r="H60" i="1"/>
  <c r="AF60" i="1" s="1"/>
  <c r="G60" i="1"/>
  <c r="N60" i="1"/>
  <c r="H64" i="1"/>
  <c r="AF64" i="1" s="1"/>
  <c r="G64" i="1"/>
  <c r="N64" i="1"/>
  <c r="L68" i="1"/>
  <c r="H68" i="1"/>
  <c r="AF68" i="1" s="1"/>
  <c r="G68" i="1"/>
  <c r="N68" i="1"/>
  <c r="H72" i="1"/>
  <c r="AF72" i="1" s="1"/>
  <c r="G72" i="1"/>
  <c r="N72" i="1"/>
  <c r="H76" i="1"/>
  <c r="AF76" i="1" s="1"/>
  <c r="G76" i="1"/>
  <c r="N76" i="1"/>
  <c r="H80" i="1"/>
  <c r="AF80" i="1" s="1"/>
  <c r="G80" i="1"/>
  <c r="N80" i="1"/>
  <c r="H84" i="1"/>
  <c r="AF84" i="1" s="1"/>
  <c r="G84" i="1"/>
  <c r="N84" i="1"/>
  <c r="H88" i="1"/>
  <c r="AF88" i="1" s="1"/>
  <c r="G88" i="1"/>
  <c r="N88" i="1"/>
  <c r="H92" i="1"/>
  <c r="AF92" i="1" s="1"/>
  <c r="G92" i="1"/>
  <c r="N92" i="1"/>
  <c r="M96" i="1"/>
  <c r="H96" i="1"/>
  <c r="AF96" i="1" s="1"/>
  <c r="G96" i="1"/>
  <c r="N96" i="1"/>
  <c r="L100" i="1"/>
  <c r="M100" i="1"/>
  <c r="H100" i="1"/>
  <c r="AF100" i="1" s="1"/>
  <c r="G100" i="1"/>
  <c r="N100" i="1"/>
  <c r="M104" i="1"/>
  <c r="H104" i="1"/>
  <c r="AF104" i="1" s="1"/>
  <c r="G104" i="1"/>
  <c r="N104" i="1"/>
  <c r="M108" i="1"/>
  <c r="H108" i="1"/>
  <c r="AF108" i="1" s="1"/>
  <c r="G108" i="1"/>
  <c r="N108" i="1"/>
  <c r="I103" i="1"/>
  <c r="I95" i="1"/>
  <c r="J103" i="1"/>
  <c r="H91" i="1"/>
  <c r="AF91" i="1" s="1"/>
  <c r="G91" i="1"/>
  <c r="N91" i="1"/>
  <c r="H107" i="1"/>
  <c r="AF107" i="1" s="1"/>
  <c r="G107" i="1"/>
  <c r="N107" i="1"/>
  <c r="M107" i="1"/>
  <c r="J107" i="1"/>
  <c r="I93" i="1"/>
  <c r="J91" i="1"/>
  <c r="J13" i="1"/>
  <c r="K57" i="1"/>
  <c r="L101" i="1"/>
  <c r="L37" i="1"/>
  <c r="M91" i="1"/>
  <c r="M97" i="1"/>
  <c r="M105" i="1"/>
  <c r="H105" i="1"/>
  <c r="AF105" i="1" s="1"/>
  <c r="H89" i="1"/>
  <c r="AF89" i="1" s="1"/>
  <c r="H73" i="1"/>
  <c r="AF73" i="1" s="1"/>
  <c r="H57" i="1"/>
  <c r="AF57" i="1" s="1"/>
  <c r="H41" i="1"/>
  <c r="AF41" i="1" s="1"/>
  <c r="H25" i="1"/>
  <c r="AF25" i="1" s="1"/>
  <c r="H9" i="1"/>
  <c r="AF9" i="1" s="1"/>
  <c r="H99" i="1"/>
  <c r="AF99" i="1" s="1"/>
  <c r="G99" i="1"/>
  <c r="N99" i="1"/>
  <c r="M99" i="1"/>
  <c r="I107" i="1"/>
  <c r="H2" i="1"/>
  <c r="AF2" i="1" s="1"/>
  <c r="G2" i="1"/>
  <c r="H6" i="1"/>
  <c r="AF6" i="1" s="1"/>
  <c r="G6" i="1"/>
  <c r="H10" i="1"/>
  <c r="AF10" i="1" s="1"/>
  <c r="G10" i="1"/>
  <c r="H14" i="1"/>
  <c r="AF14" i="1" s="1"/>
  <c r="G14" i="1"/>
  <c r="H18" i="1"/>
  <c r="AF18" i="1" s="1"/>
  <c r="G18" i="1"/>
  <c r="H22" i="1"/>
  <c r="AF22" i="1" s="1"/>
  <c r="G22" i="1"/>
  <c r="H26" i="1"/>
  <c r="AF26" i="1" s="1"/>
  <c r="G26" i="1"/>
  <c r="H30" i="1"/>
  <c r="AF30" i="1" s="1"/>
  <c r="G30" i="1"/>
  <c r="H34" i="1"/>
  <c r="AF34" i="1" s="1"/>
  <c r="G34" i="1"/>
  <c r="H38" i="1"/>
  <c r="AF38" i="1" s="1"/>
  <c r="G38" i="1"/>
  <c r="H42" i="1"/>
  <c r="AF42" i="1" s="1"/>
  <c r="G42" i="1"/>
  <c r="H46" i="1"/>
  <c r="AF46" i="1" s="1"/>
  <c r="G46" i="1"/>
  <c r="H50" i="1"/>
  <c r="AF50" i="1" s="1"/>
  <c r="G50" i="1"/>
  <c r="H54" i="1"/>
  <c r="AF54" i="1" s="1"/>
  <c r="G54" i="1"/>
  <c r="H58" i="1"/>
  <c r="AF58" i="1" s="1"/>
  <c r="G58" i="1"/>
  <c r="H62" i="1"/>
  <c r="AF62" i="1" s="1"/>
  <c r="G62" i="1"/>
  <c r="I109" i="1"/>
  <c r="I99" i="1"/>
  <c r="I91" i="1"/>
  <c r="I82" i="1"/>
  <c r="I50" i="1"/>
  <c r="I34" i="1"/>
  <c r="I18" i="1"/>
  <c r="I2" i="1"/>
  <c r="J99" i="1"/>
  <c r="J78" i="1"/>
  <c r="J46" i="1"/>
  <c r="J30" i="1"/>
  <c r="K105" i="1"/>
  <c r="K41" i="1"/>
  <c r="L85" i="1"/>
  <c r="L21" i="1"/>
  <c r="M4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8" i="1"/>
  <c r="M106" i="1"/>
  <c r="N57" i="1"/>
  <c r="N41" i="1"/>
  <c r="N25" i="1"/>
  <c r="N9" i="1"/>
  <c r="G101" i="1"/>
  <c r="G85" i="1"/>
  <c r="G69" i="1"/>
  <c r="K4" i="1"/>
  <c r="I4" i="1"/>
  <c r="K12" i="1"/>
  <c r="I12" i="1"/>
  <c r="L24" i="1"/>
  <c r="J24" i="1"/>
  <c r="I24" i="1"/>
  <c r="K36" i="1"/>
  <c r="J36" i="1"/>
  <c r="I36" i="1"/>
  <c r="K44" i="1"/>
  <c r="J44" i="1"/>
  <c r="I44" i="1"/>
  <c r="L56" i="1"/>
  <c r="J56" i="1"/>
  <c r="I56" i="1"/>
  <c r="L64" i="1"/>
  <c r="J64" i="1"/>
  <c r="I64" i="1"/>
  <c r="K76" i="1"/>
  <c r="J76" i="1"/>
  <c r="I76" i="1"/>
  <c r="K84" i="1"/>
  <c r="J84" i="1"/>
  <c r="I84" i="1"/>
  <c r="L96" i="1"/>
  <c r="J96" i="1"/>
  <c r="I96" i="1"/>
  <c r="L104" i="1"/>
  <c r="J104" i="1"/>
  <c r="I104" i="1"/>
  <c r="K5" i="1"/>
  <c r="I5" i="1"/>
  <c r="L9" i="1"/>
  <c r="J9" i="1"/>
  <c r="I9" i="1"/>
  <c r="K13" i="1"/>
  <c r="I13" i="1"/>
  <c r="L17" i="1"/>
  <c r="J17" i="1"/>
  <c r="I17" i="1"/>
  <c r="K21" i="1"/>
  <c r="J21" i="1"/>
  <c r="I21" i="1"/>
  <c r="L25" i="1"/>
  <c r="J25" i="1"/>
  <c r="I25" i="1"/>
  <c r="K29" i="1"/>
  <c r="J29" i="1"/>
  <c r="I29" i="1"/>
  <c r="L33" i="1"/>
  <c r="J33" i="1"/>
  <c r="I33" i="1"/>
  <c r="K37" i="1"/>
  <c r="J37" i="1"/>
  <c r="I37" i="1"/>
  <c r="L41" i="1"/>
  <c r="J41" i="1"/>
  <c r="I41" i="1"/>
  <c r="K45" i="1"/>
  <c r="J45" i="1"/>
  <c r="I45" i="1"/>
  <c r="L49" i="1"/>
  <c r="J49" i="1"/>
  <c r="I49" i="1"/>
  <c r="K53" i="1"/>
  <c r="J53" i="1"/>
  <c r="I53" i="1"/>
  <c r="L57" i="1"/>
  <c r="J57" i="1"/>
  <c r="I57" i="1"/>
  <c r="K61" i="1"/>
  <c r="J61" i="1"/>
  <c r="I61" i="1"/>
  <c r="L65" i="1"/>
  <c r="J65" i="1"/>
  <c r="I65" i="1"/>
  <c r="K69" i="1"/>
  <c r="J69" i="1"/>
  <c r="I69" i="1"/>
  <c r="L73" i="1"/>
  <c r="J73" i="1"/>
  <c r="I73" i="1"/>
  <c r="K77" i="1"/>
  <c r="J77" i="1"/>
  <c r="I77" i="1"/>
  <c r="L81" i="1"/>
  <c r="J81" i="1"/>
  <c r="K85" i="1"/>
  <c r="J85" i="1"/>
  <c r="L89" i="1"/>
  <c r="J89" i="1"/>
  <c r="K93" i="1"/>
  <c r="J93" i="1"/>
  <c r="L97" i="1"/>
  <c r="J97" i="1"/>
  <c r="K101" i="1"/>
  <c r="J101" i="1"/>
  <c r="L105" i="1"/>
  <c r="J105" i="1"/>
  <c r="K109" i="1"/>
  <c r="J109" i="1"/>
  <c r="I97" i="1"/>
  <c r="I81" i="1"/>
  <c r="J12" i="1"/>
  <c r="K104" i="1"/>
  <c r="K88" i="1"/>
  <c r="K72" i="1"/>
  <c r="K56" i="1"/>
  <c r="K40" i="1"/>
  <c r="K24" i="1"/>
  <c r="K8" i="1"/>
  <c r="L84" i="1"/>
  <c r="L36" i="1"/>
  <c r="L4" i="1"/>
  <c r="L2" i="1"/>
  <c r="K2" i="1"/>
  <c r="J2" i="1"/>
  <c r="L6" i="1"/>
  <c r="K6" i="1"/>
  <c r="J6" i="1"/>
  <c r="L10" i="1"/>
  <c r="K10" i="1"/>
  <c r="J10" i="1"/>
  <c r="L14" i="1"/>
  <c r="K14" i="1"/>
  <c r="J14" i="1"/>
  <c r="L18" i="1"/>
  <c r="K18" i="1"/>
  <c r="L22" i="1"/>
  <c r="K22" i="1"/>
  <c r="L26" i="1"/>
  <c r="K26" i="1"/>
  <c r="L30" i="1"/>
  <c r="K30" i="1"/>
  <c r="L34" i="1"/>
  <c r="K34" i="1"/>
  <c r="L38" i="1"/>
  <c r="K38" i="1"/>
  <c r="L42" i="1"/>
  <c r="K42" i="1"/>
  <c r="L46" i="1"/>
  <c r="K46" i="1"/>
  <c r="L50" i="1"/>
  <c r="K50" i="1"/>
  <c r="L54" i="1"/>
  <c r="K54" i="1"/>
  <c r="L58" i="1"/>
  <c r="K58" i="1"/>
  <c r="L62" i="1"/>
  <c r="K62" i="1"/>
  <c r="L66" i="1"/>
  <c r="K66" i="1"/>
  <c r="L70" i="1"/>
  <c r="K70" i="1"/>
  <c r="L74" i="1"/>
  <c r="K74" i="1"/>
  <c r="L78" i="1"/>
  <c r="K78" i="1"/>
  <c r="L82" i="1"/>
  <c r="K82" i="1"/>
  <c r="L86" i="1"/>
  <c r="K86" i="1"/>
  <c r="L90" i="1"/>
  <c r="K90" i="1"/>
  <c r="L94" i="1"/>
  <c r="K94" i="1"/>
  <c r="L98" i="1"/>
  <c r="K98" i="1"/>
  <c r="L102" i="1"/>
  <c r="K102" i="1"/>
  <c r="L106" i="1"/>
  <c r="K106" i="1"/>
  <c r="I106" i="1"/>
  <c r="I101" i="1"/>
  <c r="I90" i="1"/>
  <c r="I85" i="1"/>
  <c r="J5" i="1"/>
  <c r="K97" i="1"/>
  <c r="K81" i="1"/>
  <c r="K65" i="1"/>
  <c r="K49" i="1"/>
  <c r="K33" i="1"/>
  <c r="K17" i="1"/>
  <c r="L109" i="1"/>
  <c r="L93" i="1"/>
  <c r="L77" i="1"/>
  <c r="L61" i="1"/>
  <c r="L45" i="1"/>
  <c r="L29" i="1"/>
  <c r="L13" i="1"/>
  <c r="L8" i="1"/>
  <c r="J8" i="1"/>
  <c r="I8" i="1"/>
  <c r="L16" i="1"/>
  <c r="J16" i="1"/>
  <c r="I16" i="1"/>
  <c r="K20" i="1"/>
  <c r="J20" i="1"/>
  <c r="I20" i="1"/>
  <c r="K28" i="1"/>
  <c r="J28" i="1"/>
  <c r="I28" i="1"/>
  <c r="L32" i="1"/>
  <c r="J32" i="1"/>
  <c r="I32" i="1"/>
  <c r="L40" i="1"/>
  <c r="J40" i="1"/>
  <c r="I40" i="1"/>
  <c r="L48" i="1"/>
  <c r="J48" i="1"/>
  <c r="I48" i="1"/>
  <c r="K52" i="1"/>
  <c r="J52" i="1"/>
  <c r="I52" i="1"/>
  <c r="K60" i="1"/>
  <c r="J60" i="1"/>
  <c r="I60" i="1"/>
  <c r="K68" i="1"/>
  <c r="J68" i="1"/>
  <c r="I68" i="1"/>
  <c r="L72" i="1"/>
  <c r="J72" i="1"/>
  <c r="I72" i="1"/>
  <c r="L80" i="1"/>
  <c r="J80" i="1"/>
  <c r="I80" i="1"/>
  <c r="L88" i="1"/>
  <c r="J88" i="1"/>
  <c r="I88" i="1"/>
  <c r="K92" i="1"/>
  <c r="J92" i="1"/>
  <c r="I92" i="1"/>
  <c r="K100" i="1"/>
  <c r="J100" i="1"/>
  <c r="I100" i="1"/>
  <c r="K108" i="1"/>
  <c r="J108" i="1"/>
  <c r="I108" i="1"/>
  <c r="L3" i="1"/>
  <c r="K3" i="1"/>
  <c r="J3" i="1"/>
  <c r="L7" i="1"/>
  <c r="K7" i="1"/>
  <c r="J7" i="1"/>
  <c r="L11" i="1"/>
  <c r="K11" i="1"/>
  <c r="J11" i="1"/>
  <c r="L15" i="1"/>
  <c r="K15" i="1"/>
  <c r="J15" i="1"/>
  <c r="L19" i="1"/>
  <c r="K19" i="1"/>
  <c r="L23" i="1"/>
  <c r="K23" i="1"/>
  <c r="L27" i="1"/>
  <c r="K27" i="1"/>
  <c r="L31" i="1"/>
  <c r="K31" i="1"/>
  <c r="L35" i="1"/>
  <c r="K35" i="1"/>
  <c r="L39" i="1"/>
  <c r="K39" i="1"/>
  <c r="L43" i="1"/>
  <c r="K43" i="1"/>
  <c r="L47" i="1"/>
  <c r="K47" i="1"/>
  <c r="I105" i="1"/>
  <c r="I94" i="1"/>
  <c r="I89" i="1"/>
  <c r="I78" i="1"/>
  <c r="I70" i="1"/>
  <c r="I62" i="1"/>
  <c r="I54" i="1"/>
  <c r="I46" i="1"/>
  <c r="I38" i="1"/>
  <c r="I30" i="1"/>
  <c r="I22" i="1"/>
  <c r="I14" i="1"/>
  <c r="I6" i="1"/>
  <c r="J106" i="1"/>
  <c r="J98" i="1"/>
  <c r="J90" i="1"/>
  <c r="J82" i="1"/>
  <c r="J74" i="1"/>
  <c r="J66" i="1"/>
  <c r="J58" i="1"/>
  <c r="J50" i="1"/>
  <c r="J42" i="1"/>
  <c r="J34" i="1"/>
  <c r="J26" i="1"/>
  <c r="J18" i="1"/>
  <c r="J4" i="1"/>
  <c r="K96" i="1"/>
  <c r="K80" i="1"/>
  <c r="K64" i="1"/>
  <c r="K48" i="1"/>
  <c r="K32" i="1"/>
  <c r="K16" i="1"/>
  <c r="L108" i="1"/>
  <c r="L92" i="1"/>
  <c r="L76" i="1"/>
  <c r="L60" i="1"/>
  <c r="L44" i="1"/>
  <c r="L28" i="1"/>
  <c r="L12" i="1"/>
  <c r="L51" i="1"/>
  <c r="K51" i="1"/>
  <c r="L55" i="1"/>
  <c r="K55" i="1"/>
  <c r="L59" i="1"/>
  <c r="K59" i="1"/>
  <c r="L63" i="1"/>
  <c r="K63" i="1"/>
  <c r="L67" i="1"/>
  <c r="K67" i="1"/>
  <c r="L71" i="1"/>
  <c r="K71" i="1"/>
  <c r="L75" i="1"/>
  <c r="K75" i="1"/>
  <c r="L79" i="1"/>
  <c r="K79" i="1"/>
  <c r="L83" i="1"/>
  <c r="K83" i="1"/>
  <c r="L87" i="1"/>
  <c r="K87" i="1"/>
  <c r="L91" i="1"/>
  <c r="K91" i="1"/>
  <c r="L95" i="1"/>
  <c r="K95" i="1"/>
  <c r="L99" i="1"/>
  <c r="K99" i="1"/>
  <c r="L103" i="1"/>
  <c r="K103" i="1"/>
  <c r="L107" i="1"/>
  <c r="K107" i="1"/>
  <c r="AT65" i="1"/>
  <c r="AT97" i="1"/>
  <c r="AT81" i="1"/>
  <c r="AT49" i="1"/>
  <c r="AT17" i="1"/>
  <c r="AT109" i="1"/>
  <c r="AT105" i="1"/>
  <c r="AT101" i="1"/>
  <c r="AT93" i="1"/>
  <c r="AT89" i="1"/>
  <c r="AT85" i="1"/>
  <c r="AT77" i="1"/>
  <c r="AT73" i="1"/>
  <c r="AT69" i="1"/>
  <c r="AT61" i="1"/>
  <c r="AT57" i="1"/>
  <c r="AT53" i="1"/>
  <c r="AT45" i="1"/>
  <c r="AT41" i="1"/>
  <c r="AT37" i="1"/>
  <c r="AT21" i="1"/>
  <c r="AT102" i="1"/>
  <c r="AT90" i="1"/>
  <c r="AT74" i="1"/>
  <c r="AT62" i="1"/>
  <c r="AT46" i="1"/>
  <c r="AT34" i="1"/>
  <c r="AT22" i="1"/>
  <c r="AT10" i="1"/>
  <c r="AT94" i="1"/>
  <c r="AT82" i="1"/>
  <c r="AT70" i="1"/>
  <c r="AT58" i="1"/>
  <c r="AT50" i="1"/>
  <c r="AT38" i="1"/>
  <c r="AT26" i="1"/>
  <c r="AT14" i="1"/>
  <c r="AT2" i="1"/>
  <c r="AT108" i="1"/>
  <c r="AT104" i="1"/>
  <c r="AT100" i="1"/>
  <c r="AT96" i="1"/>
  <c r="AT92" i="1"/>
  <c r="AT88" i="1"/>
  <c r="AT84" i="1"/>
  <c r="AT80" i="1"/>
  <c r="AT76" i="1"/>
  <c r="AT72" i="1"/>
  <c r="AT68" i="1"/>
  <c r="AT64" i="1"/>
  <c r="AT60" i="1"/>
  <c r="AT56" i="1"/>
  <c r="AT52" i="1"/>
  <c r="AT48" i="1"/>
  <c r="AT44" i="1"/>
  <c r="AT40" i="1"/>
  <c r="AT36" i="1"/>
  <c r="AT32" i="1"/>
  <c r="AT28" i="1"/>
  <c r="AT24" i="1"/>
  <c r="AT20" i="1"/>
  <c r="AT16" i="1"/>
  <c r="AT12" i="1"/>
  <c r="AT8" i="1"/>
  <c r="AT4" i="1"/>
  <c r="AT106" i="1"/>
  <c r="AT98" i="1"/>
  <c r="AT86" i="1"/>
  <c r="AT78" i="1"/>
  <c r="AT66" i="1"/>
  <c r="AT54" i="1"/>
  <c r="AT42" i="1"/>
  <c r="AT30" i="1"/>
  <c r="AT18" i="1"/>
  <c r="AT6" i="1"/>
  <c r="AT107" i="1"/>
  <c r="AT103" i="1"/>
  <c r="AT99" i="1"/>
  <c r="AT95" i="1"/>
  <c r="AT91" i="1"/>
  <c r="AT87" i="1"/>
  <c r="AT83" i="1"/>
  <c r="AT79" i="1"/>
  <c r="AT75" i="1"/>
  <c r="AT71" i="1"/>
  <c r="AT67" i="1"/>
  <c r="AT63" i="1"/>
  <c r="AT59" i="1"/>
  <c r="AT55" i="1"/>
  <c r="AT51" i="1"/>
  <c r="AT47" i="1"/>
  <c r="AT43" i="1"/>
  <c r="AT39" i="1"/>
  <c r="AT35" i="1"/>
  <c r="AT31" i="1"/>
  <c r="AT27" i="1"/>
  <c r="AT23" i="1"/>
  <c r="AT19" i="1"/>
  <c r="AT15" i="1"/>
  <c r="AT11" i="1"/>
  <c r="AT7" i="1"/>
  <c r="AT3" i="1"/>
  <c r="AT33" i="1"/>
  <c r="AT29" i="1"/>
  <c r="AT25" i="1"/>
  <c r="AT13" i="1"/>
  <c r="AT9" i="1"/>
  <c r="AT5" i="1"/>
  <c r="P9" i="6" l="1"/>
  <c r="Q9" i="6" s="1"/>
  <c r="N9" i="6"/>
  <c r="O9" i="6" s="1"/>
  <c r="G10" i="6"/>
  <c r="E11" i="6"/>
  <c r="L9" i="6"/>
  <c r="M9" i="6" s="1"/>
  <c r="J9" i="6"/>
  <c r="K9" i="6" s="1"/>
  <c r="H9" i="6"/>
  <c r="I9" i="6" s="1"/>
  <c r="D9" i="5"/>
  <c r="G9" i="5" s="1"/>
  <c r="H9" i="5" s="1"/>
  <c r="B11" i="5"/>
  <c r="D10" i="5"/>
  <c r="D8" i="3"/>
  <c r="P10" i="6" l="1"/>
  <c r="Q10" i="6" s="1"/>
  <c r="N10" i="6"/>
  <c r="O10" i="6" s="1"/>
  <c r="E12" i="6"/>
  <c r="G11" i="6"/>
  <c r="J10" i="6"/>
  <c r="K10" i="6" s="1"/>
  <c r="H10" i="6"/>
  <c r="I10" i="6" s="1"/>
  <c r="L10" i="6"/>
  <c r="M10" i="6" s="1"/>
  <c r="I10" i="5"/>
  <c r="J10" i="5" s="1"/>
  <c r="E10" i="5"/>
  <c r="F10" i="5" s="1"/>
  <c r="I9" i="5"/>
  <c r="J9" i="5" s="1"/>
  <c r="E9" i="5"/>
  <c r="F9" i="5" s="1"/>
  <c r="D11" i="5"/>
  <c r="B12" i="5"/>
  <c r="G10" i="5"/>
  <c r="H10" i="5" s="1"/>
  <c r="D9" i="3"/>
  <c r="P11" i="6" l="1"/>
  <c r="Q11" i="6" s="1"/>
  <c r="N11" i="6"/>
  <c r="O11" i="6" s="1"/>
  <c r="H11" i="6"/>
  <c r="I11" i="6" s="1"/>
  <c r="L11" i="6"/>
  <c r="M11" i="6" s="1"/>
  <c r="J11" i="6"/>
  <c r="K11" i="6" s="1"/>
  <c r="G12" i="6"/>
  <c r="I11" i="5"/>
  <c r="J11" i="5" s="1"/>
  <c r="E11" i="5"/>
  <c r="F11" i="5" s="1"/>
  <c r="B13" i="5"/>
  <c r="D12" i="5"/>
  <c r="G11" i="5"/>
  <c r="H11" i="5" s="1"/>
  <c r="D10" i="3"/>
  <c r="P12" i="6" l="1"/>
  <c r="Q12" i="6" s="1"/>
  <c r="N12" i="6"/>
  <c r="O12" i="6" s="1"/>
  <c r="L12" i="6"/>
  <c r="M12" i="6" s="1"/>
  <c r="J12" i="6"/>
  <c r="K12" i="6" s="1"/>
  <c r="H12" i="6"/>
  <c r="I12" i="6" s="1"/>
  <c r="E12" i="5"/>
  <c r="F12" i="5" s="1"/>
  <c r="I12" i="5"/>
  <c r="J12" i="5" s="1"/>
  <c r="G12" i="5"/>
  <c r="H12" i="5" s="1"/>
  <c r="D13" i="5"/>
  <c r="D11" i="3"/>
  <c r="I13" i="5" l="1"/>
  <c r="J13" i="5" s="1"/>
  <c r="E13" i="5"/>
  <c r="F13" i="5" s="1"/>
  <c r="G13" i="5"/>
  <c r="H13" i="5" s="1"/>
  <c r="D13" i="3"/>
  <c r="D12" i="3"/>
</calcChain>
</file>

<file path=xl/sharedStrings.xml><?xml version="1.0" encoding="utf-8"?>
<sst xmlns="http://schemas.openxmlformats.org/spreadsheetml/2006/main" count="568" uniqueCount="423">
  <si>
    <t>_id</t>
  </si>
  <si>
    <t>timestamp</t>
  </si>
  <si>
    <t>type</t>
  </si>
  <si>
    <t>statusRaw</t>
  </si>
  <si>
    <t>hour</t>
  </si>
  <si>
    <t>ObjectId("5ff7a2e0a5310863ed374007")</t>
  </si>
  <si>
    <t>2021-01-08T01:10:08.331Z</t>
  </si>
  <si>
    <t>PumpStatusEventRaw</t>
  </si>
  <si>
    <t>02013C5000000000000000000000000000001B58278A41162E00010000109A0000000000000000001676320020B21E190000000000009D867476D3A115F6670060100002762A004F00000000000000000000000000000000000008C7000008C7</t>
  </si>
  <si>
    <t>ObjectId("5ff7a1b5a53108639940bd09")</t>
  </si>
  <si>
    <t>2021-01-08T01:05:09.697Z</t>
  </si>
  <si>
    <t>02013C5000000000000000000000000000001B58278A41162E00010000109A0000000000000000001482320020B4121900000000000098867475A7A115F66700801000027B2A006B00000000000000000000000000000000000008C7000008C7</t>
  </si>
  <si>
    <t>ObjectId("5ff7a088a53108605e67383f")</t>
  </si>
  <si>
    <t>2021-01-08T01:00:08.735Z</t>
  </si>
  <si>
    <t>02013C5000000000000000000000000000001B58278A41162E00010000109A0000000000000000001388320020B50C19000000000000928674747BA115F6670060100002802A006200000000000000000000000000000000000008C7000008C7</t>
  </si>
  <si>
    <t>ObjectId("5ff79f5da53108601336123f")</t>
  </si>
  <si>
    <t>2021-01-08T00:55:08.891Z</t>
  </si>
  <si>
    <t>02013C5000000000000000000000000000001B58278A41162E0001000011940000000000000000001194320020B70019000000000000868674734FA115F6670060100002852A004300000000000000000000000000000000000008C7000008C7</t>
  </si>
  <si>
    <t>ObjectId("5ff79e31a531085fe4ef1705")</t>
  </si>
  <si>
    <t>2021-01-08T00:50:09.268Z</t>
  </si>
  <si>
    <t>02013C5000000000000000000000000000001B58278A41162E000100001194000000000000000000109A320020B7FA1900000003E8007F86747223A115F66700601000028A2A000600000000000000000000000000000000000008C7000008C7</t>
  </si>
  <si>
    <t>ObjectId("5ff79d04a531085fb86c147c")</t>
  </si>
  <si>
    <t>2021-01-08T00:45:08.461Z</t>
  </si>
  <si>
    <t>02013C5000000000000000000000000000001B58278A41162E0001000011940000000000000000000EA6320020B9EE1900000003E8007A867470F7A115F66700601000028F2A000000000000000000000000000000000000000008C7000008C7</t>
  </si>
  <si>
    <t>ObjectId("5ff79bd7a531085f86c33898")</t>
  </si>
  <si>
    <t>2021-01-08T00:40:07.681Z</t>
  </si>
  <si>
    <t>02013C5000000000000000000000000000001B58278A41162E0001000011940000000000000000000DAC320020BAE81900000003E8007A86746FCBA115F6670060100002942AFFC900000000000000000000000000000000000008C7000008C7</t>
  </si>
  <si>
    <t>ObjectId("5ff79aada531085f657db6d3")</t>
  </si>
  <si>
    <t>2021-01-08T00:35:09.664Z</t>
  </si>
  <si>
    <t>02013C5000000000000000000000000000001B58278A41162E0001000011940000000000000000000BB8320020BCDC1900000003E8007F86746E9FA115F6670060100002992AFFCC00000000000000000000000000000000000008C7000008C7</t>
  </si>
  <si>
    <t>ObjectId("5ff79980a531085f2e538cf4")</t>
  </si>
  <si>
    <t>2021-01-08T00:30:08.084Z</t>
  </si>
  <si>
    <t>02013C5000000000000000000000000000001B58278A41162E0001000011940000000000000000000ABE320020BDD61900000003E8008786746D73A115F66700601000029E2A000000000000000000000000000000000000000008C7000008C7</t>
  </si>
  <si>
    <t>ObjectId("5ff79853a531085f03187fdf")</t>
  </si>
  <si>
    <t>2021-01-08T00:25:07.303Z</t>
  </si>
  <si>
    <t>02013C5000000000000000000000000000001B58278A41162E00010000119400000000000000000008CA320020BFCA1900000003E8008A86746C47A115F6670060100002A32A004B00000000000000000000000000000000000008C7000008C7</t>
  </si>
  <si>
    <t>ObjectId("5ff79728a531085ec39d55c5")</t>
  </si>
  <si>
    <t>2021-01-08T00:20:08.515Z</t>
  </si>
  <si>
    <t>02013C5000000000000000000000000000001B58278A41162E00010000119400000000000000000007D0320020C0C41900000003E8008786746B1BA115F6670060100002A82A002200000000000000000000000000000000000008C7000008C7</t>
  </si>
  <si>
    <t>ObjectId("5ff795fea531085e708c556f")</t>
  </si>
  <si>
    <t>2021-01-08T00:15:09.861Z</t>
  </si>
  <si>
    <t>02013C5000000000000000000000000000001B58278A41162E00010000119400000000000000000005DC320020C2B81900000007D00082867469EFA115F6670060100002AD2A002200000000000000000000000000000000000008C7000008C7</t>
  </si>
  <si>
    <t>ObjectId("5ff793a4a531085dc70fcd86")</t>
  </si>
  <si>
    <t>2021-01-08T00:05:08.102Z</t>
  </si>
  <si>
    <t>02013C5000000000000000000000000000001B58278A41162E00010000119400000000000000000002EE320020C5A61900000007D0007B86746797A115F6670060100002B72A000000000000000000000000000000000000000008C7000008C7</t>
  </si>
  <si>
    <t>ObjectId("5ff7927ba531085a65bc1dc8")</t>
  </si>
  <si>
    <t>2021-01-08T00:00:11.450Z</t>
  </si>
  <si>
    <t>02013C1000000000000000000000000000001B58278A41162E00010000119400000000000000000001F4320020C6A01900000007D00000000000000000000000000000000000000000000000000000000000000000000000000008C7000008C7</t>
  </si>
  <si>
    <t>ObjectId("5ff7914ca5310859f3a2eff0")</t>
  </si>
  <si>
    <t>2021-01-07T23:55:08.110Z</t>
  </si>
  <si>
    <t>02013C5000000000000000000000000000001B58278A41162E00010000157C000000000000000001DB96320020C8941900000007D000728674653FA115F6670060100002C12AFFDB00000000000000000000000000000000000008C7000008C7</t>
  </si>
  <si>
    <t>ObjectId("5ff7901fa5310859c412676f")</t>
  </si>
  <si>
    <t>2021-01-07T23:50:07.320Z</t>
  </si>
  <si>
    <t>02013C5000000000000000000000000000001B58278A41162E00010000157C000000000000000001DA9C320020C98E1900000007D0007486746413A115F6670060100002C62AFFB000000000000000000000000000000000000008C7000008C7</t>
  </si>
  <si>
    <t>ObjectId("5ff78ef5a53108598346c9fb")</t>
  </si>
  <si>
    <t>2021-01-07T23:45:08.974Z</t>
  </si>
  <si>
    <t>02013C5000000000000000000000000000001B58278A41162E00010000157C000000000000000001D8A8320020CB82190000000BB80079867462E7A115F6670060100002CB2AFFAA00000000000000000000000000000000000008C7000008C7</t>
  </si>
  <si>
    <t>ObjectId("5ff78dcaa5310859431d7774")</t>
  </si>
  <si>
    <t>2021-01-07T23:40:10.386Z</t>
  </si>
  <si>
    <t>02013C5000000000000000000000000000001B58278A41162E00010000157C000000000000000001D6B4320020CD76190000000BB80082867461BBA115F6670060100002D02AFFD500000000000000000000000000000000000008C7000008C7</t>
  </si>
  <si>
    <t>ObjectId("5ff78c9da5310858f9fc987a")</t>
  </si>
  <si>
    <t>2021-01-07T23:35:09.356Z</t>
  </si>
  <si>
    <t>02013C5000000000000000000000000000001B58278A41162E00010000157C000000000000000001D4C0320020CF6A190000000BB8007F8674608FA115F6670060100002D52AFFF300009F00000000000000000000000000000008C7000008C7</t>
  </si>
  <si>
    <t>ObjectId("5ff78b72a53108588f452469")</t>
  </si>
  <si>
    <t>2021-01-07T23:30:10.178Z</t>
  </si>
  <si>
    <t>02013C5000000000000000000000000000001B58278A41162E00010000157C000000000000000001D2CC320020D15E190000000BB8007486745F63A115F66700601000005A2AFFF500009F00000000000000000000000000000008C7000008C7</t>
  </si>
  <si>
    <t>ObjectId("5ff78a55a5310857e091362b")</t>
  </si>
  <si>
    <t>2021-01-07T23:25:25.035Z</t>
  </si>
  <si>
    <t>02013C5000000000000000000000000000001B58278A41162E00010000157C000000000000000001D0D8320020D352190000000FA0007486745F63A115F66700601000005A2AFFF500000000000000000000000000000000000008C7000008C7</t>
  </si>
  <si>
    <t>ObjectId("5ff78918a5310857978ee85d")</t>
  </si>
  <si>
    <t>2021-01-07T23:20:08.543Z</t>
  </si>
  <si>
    <t>02013C5000000000000000000000000000001B58278A41162E00010000157C000000000000000001CFDE320020D44C190000000FA0007A86745D0BA115F6670060100000642AFFD200000000000000000000000000000000000008C7000008C7</t>
  </si>
  <si>
    <t>ObjectId("5ff787eba53108570aa67ec6")</t>
  </si>
  <si>
    <t>2021-01-07T23:15:07.755Z</t>
  </si>
  <si>
    <t>02013C5000000000000000000000000000001B58278A41162E00010000157C000000000000000001CDEA320020D640190000000FA0007B86745BDFA115F6670060100000692AFFD200000000000000000000000000000000000008C7000008C7</t>
  </si>
  <si>
    <t>ObjectId("5ff786c1a53108568db911ef")</t>
  </si>
  <si>
    <t>2021-01-07T23:10:09.466Z</t>
  </si>
  <si>
    <t>02013C5000000000000000000000000000001B58278A41162E00010000157C000000000000000001CBF6320020D834190000000FA0007B86745AB3A115F66700601000006E2A000000000000000000000000000000000000000008C7000008C7</t>
  </si>
  <si>
    <t>ObjectId("5ff78594a53108563b93f2f7")</t>
  </si>
  <si>
    <t>2021-01-07T23:05:08.158Z</t>
  </si>
  <si>
    <t>02013C5000000000000000000000000000001B58278A41162E00010000157C000000000000000001CA02320020DA28190000001388008186745987A115F6670060100000732A000000000000000000000000000000000000000008C7000008C7</t>
  </si>
  <si>
    <t>ObjectId("5ff78469a53108531c71b2a2")</t>
  </si>
  <si>
    <t>2021-01-07T23:00:09.395Z</t>
  </si>
  <si>
    <t>02013C5000000000000000000000000000001B58278A41162E00010000157C000000000000000001C80E320020DC1C19000000138800808674585BA115F6670020100000782AFF3700000000000000000000000000000000000008C7000008C7</t>
  </si>
  <si>
    <t>ObjectId("5ff77fbaa531085233d12319")</t>
  </si>
  <si>
    <t>2021-01-07T22:40:10.355Z</t>
  </si>
  <si>
    <t>02013C5000000000000000000000000000001B58278A41162E000100001770000000000000000001C03E320020E3EC190000001B5800AF867453ABA115F66700401000008C2AFF4E00000000000000000000000000000000000008C7000008C7</t>
  </si>
  <si>
    <t>ObjectId("5ff77e8da5310851f6a3e1fb")</t>
  </si>
  <si>
    <t>2021-01-07T22:35:09.361Z</t>
  </si>
  <si>
    <t>02013C5000000000000000000000000000001B58278A41162E000100001770000000000000000001BE4A320020E5E0190000001B5800B98674527FA115F6670060100000912AFFD500000000000000000000000000000000000008C7000008C7</t>
  </si>
  <si>
    <t>ObjectId("5ff77d61a5310851b818a23e")</t>
  </si>
  <si>
    <t>2021-01-07T22:30:09.462Z</t>
  </si>
  <si>
    <t>02013C5000000000000000000000000000001B58278A41162E000100001770000000000000000001BC56320020E7D4190000001F4000C386745153A115F6670060100000962A000000000000000000000000000000000000000008C7000008C7</t>
  </si>
  <si>
    <t>ObjectId("5ff77c33a531085181a5f53e")</t>
  </si>
  <si>
    <t>2021-01-07T22:25:07.801Z</t>
  </si>
  <si>
    <t>02013C5000000000000000000000000000001B58278A41162E000100001770000000000000000001BA62320020E9C8190000001F4000C586745027A115F66700601000009B2A001C00000000000000000000000000000000000008C7000008C7</t>
  </si>
  <si>
    <t>ObjectId("5ff77b13a53108511d93ac19")</t>
  </si>
  <si>
    <t>2021-01-07T22:20:18.842Z</t>
  </si>
  <si>
    <t>02013C5000000000000000000000000000001B58278A41162E000100001770000000000000000001B86E320020EBBC190000001F4000C586745027A115F66700601000009B2A001C00000000000000000000000000000000000008C7000008C7</t>
  </si>
  <si>
    <t>ObjectId("5ff779dca5310850a2829be6")</t>
  </si>
  <si>
    <t>2021-01-07T22:15:08.199Z</t>
  </si>
  <si>
    <t>02013C5000000000000000000000000000001B58278A41162E000100001770000000000000000001B67A320020EDB019000000232800C086744DCFA115F6670060100000A52A000000000000000000000000000000000000000008C7000008C7</t>
  </si>
  <si>
    <t>ObjectId("5ff778afa5310850302b1dfe")</t>
  </si>
  <si>
    <t>2021-01-07T22:10:07.425Z</t>
  </si>
  <si>
    <t>02013C5000000000000000000000000000001B58278A41162E000100001770000000000000000001B486320020EFA419000000232800C386744CA3A115F6670060100000AA2A001900000000000000000000000000000000000008C7000008C7</t>
  </si>
  <si>
    <t>ObjectId("5ff76aaca5310849ba76da27")</t>
  </si>
  <si>
    <t>2021-01-07T21:10:20.459Z</t>
  </si>
  <si>
    <t>02013C5000000000000000000000000000002710278A247E2D0001000019640000000000000000019C1C32002123661900000032C800CF86743E93A115F6670560100000E62AFFEA00000000000000000000000000000000000008C7000008C7</t>
  </si>
  <si>
    <t>ObjectId("5ff7697fa53108495cabcd2d")</t>
  </si>
  <si>
    <t>2021-01-07T21:05:19.301Z</t>
  </si>
  <si>
    <t>02013C5000000000000000000000000000002710278A247E2D0001000019640000000000000000019A28320021255A190000003A9800D086743D67A115F6670560100000EB2AFFE400000000000000000000000000000000000008C7000008C7</t>
  </si>
  <si>
    <t>ObjectId("5ff7671da5310845b3cd80ab")</t>
  </si>
  <si>
    <t>2021-01-07T20:55:09.469Z</t>
  </si>
  <si>
    <t>02013C5000000000000000000000000000002710278A247E2D00010000177000000000000000000195463200212A3C19000000465000D586743B0FA115F6670560100000F52AFFDE00000000000000000000000000000000000008C7000008C7</t>
  </si>
  <si>
    <t>ObjectId("5ff765f0a53108458db9560d")</t>
  </si>
  <si>
    <t>2021-01-07T20:50:08.591Z</t>
  </si>
  <si>
    <t>02013C5000000000000000000000000000002710278A247E2D00010000177000000000000000000193523200212C30190000004A3800D7867439E3A115F6670140100000FA2AFF9300000000000000000000000000000000000008C7000008C7</t>
  </si>
  <si>
    <t>ObjectId("5ff764c6a5310844ea3f097d")</t>
  </si>
  <si>
    <t>2021-01-07T20:45:10.037Z</t>
  </si>
  <si>
    <t>02013C5000000000000000000000000000002710278A247E2D000100001770000000000000000001915E3200212E2419000000520800E0867438B7A115F6670560100000FF2AFFB600000000000000000000000000000000000008C7000008C7</t>
  </si>
  <si>
    <t>ObjectId("5ff7626ca53108447a7c2ee6")</t>
  </si>
  <si>
    <t>2021-01-07T20:35:08.323Z</t>
  </si>
  <si>
    <t>02013C5000000000000000000000000000002710278A247E2D0001000017700000000000000000018D76320021320C190000005DC000E98674365FA115F6670560100001092A000000000000000000000000000000000000000008C7000008C7</t>
  </si>
  <si>
    <t>ObjectId("5ff7614ba531084427328925")</t>
  </si>
  <si>
    <t>2021-01-07T20:30:19.789Z</t>
  </si>
  <si>
    <t>02013C5000000000000000000000000000002710278A247E2D0001000017700000000000000000018B82320021340019000000659000E98674365FA115F6670560100001092A000000000000000000000000000000000000000008C7000008C7</t>
  </si>
  <si>
    <t>ObjectId("5ff76015a5310843be72ba12")</t>
  </si>
  <si>
    <t>2021-01-07T20:25:09.326Z</t>
  </si>
  <si>
    <t>02013C1000000000000000000000000000002710278A247E2D000100001770000000000000000001898E32002135F4190000006D600000000000000000000000000000000000000000000000000000000000000000000000000008C7000008C7</t>
  </si>
  <si>
    <t>ObjectId("5ff75ee8a531084358bcbe15")</t>
  </si>
  <si>
    <t>2021-01-07T20:20:07.950Z</t>
  </si>
  <si>
    <t>02013C1000000000000000000000000000002710278A247E2D00010000177000000000000000000188943200213EBE1900000075300000000000000000000000000000000000000000000000000000000000000000000000000008C6000008C6</t>
  </si>
  <si>
    <t>ObjectId("5ff75dbda5310842efcfa04e")</t>
  </si>
  <si>
    <t>2021-01-07T20:15:09.138Z</t>
  </si>
  <si>
    <t>02013C1000000000000000000000000000002710278A247E2D00010000177000000000000000000186A032002140B21900000079180000000000000000000000000000000000000000000000000000000000000000000000000008C6000008C6</t>
  </si>
  <si>
    <t>ObjectId("5ff75a39a531083e7d5cefcd")</t>
  </si>
  <si>
    <t>2021-01-07T20:00:09.233Z</t>
  </si>
  <si>
    <t>02013C5000000000000000000000000000002710278A247E2D00010000177000000000000000000182B832000B1AC619000000908800F686742E2AA115F66705601000012C2A001C00000000000000000000000000000000000008C5000008C5</t>
  </si>
  <si>
    <t>ObjectId("5ff7590ca531083e4aa6a0bb")</t>
  </si>
  <si>
    <t>2021-01-07T19:55:07.980Z</t>
  </si>
  <si>
    <t>02013C5200000DAC0000000000002D0000004268278A18A12C000100001B5800000000000000000180C432000B361E190000007D0000F286742CFEA115F6670560100001312A000500000000000000000000000000000000000008C5000008C5</t>
  </si>
  <si>
    <t>ObjectId("5ff7558aa531083d8b93dec9")</t>
  </si>
  <si>
    <t>2021-01-07T19:40:10.297Z</t>
  </si>
  <si>
    <t>02013C5000000000000000000000000000004268278A18A12C000100001B5800000000000000000179EE32000B4AA0190000007D0000F48674297AA115F6670560100001402AFFC400000000000000000000000000000000000008C5000008C5</t>
  </si>
  <si>
    <t>ObjectId("5ff7545da531083d20fa5d05")</t>
  </si>
  <si>
    <t>2021-01-07T19:35:09.202Z</t>
  </si>
  <si>
    <t>02013C5000000000000000000000000000004268278A18A12C000100001B5800000000000000000177FA32000B4C941900000084D001028674284EA115F6670560100001452A000000000000000000000000000000000000000008C5000008C5</t>
  </si>
  <si>
    <t>ObjectId("5ff74faba531083becec338c")</t>
  </si>
  <si>
    <t>2021-01-07T19:15:07.629Z</t>
  </si>
  <si>
    <t>02013C5000000000000000000000000000004268278A18A12C000100001B580000000000000000016F3032000B555E19000000908800FD8674239EA115F6670560140001592A000400000000000000000000000000000000000008C5000008C5</t>
  </si>
  <si>
    <t>ObjectId("5ff74afda5310837a3296386")</t>
  </si>
  <si>
    <t>2021-01-07T18:55:09.004Z</t>
  </si>
  <si>
    <t>02013C5000000000000000000000000000002710278A16002A000100001C52000000000000000001656C32000BCC8219000000271000FA86741EEEA115F66705601400016D2A002500000000000000000000000000000000000008C5000008C5</t>
  </si>
  <si>
    <t>ObjectId("5ff749d1a5310837561473ed")</t>
  </si>
  <si>
    <t>2021-01-07T18:50:09.694Z</t>
  </si>
  <si>
    <t>02013C50000000000000000000000000000027102789ECB329000100001C52000000000000000001637832000BF5861900000003E800F786741DC2A115F6670560140001722A002500000000000000000000000000000000000008C5000008C5</t>
  </si>
  <si>
    <t>ObjectId("5ff74778a53108369fc20de2")</t>
  </si>
  <si>
    <t>2021-01-07T18:40:08.066Z</t>
  </si>
  <si>
    <t>02013C50000000000000000000000000000027102789ECB329000100001C520000000000000000015E9632000BFA681900000003E800F086741B6AA115F66705801400017C2A008C00000000000000000000000000000000000008C5000008C5</t>
  </si>
  <si>
    <t>ObjectId("5ff7464ba53108364c959c04")</t>
  </si>
  <si>
    <t>2021-01-07T18:35:07.299Z</t>
  </si>
  <si>
    <t>02013C50000000000000000000000000000027102789ECB329000100001C520000000000000000015CA232000BFC5C1900000003E800E986741A3EA115F6670580140001812A008C00000000000000000000000000000000000008C5000008C5</t>
  </si>
  <si>
    <t>ObjectId("5ff74522a5310835fad9ce89")</t>
  </si>
  <si>
    <t>2021-01-07T18:30:10.698Z</t>
  </si>
  <si>
    <t>02013C50000000000000000000000000000027102789ECB329000100001C5200000000000000000159B432000BFF4A1900000007D000E186741912A115F6670580100001862B007B00000000000000000000000000000000000008C5000008C5</t>
  </si>
  <si>
    <t>ObjectId("5ff74400a53108359839ae67")</t>
  </si>
  <si>
    <t>2021-01-07T18:25:20.181Z</t>
  </si>
  <si>
    <t>02013C10000000000000000000000000000027102789ECB329000100001C5200000000000000000157C032000C013E1900000007D00000000000000000000000000000000000000000000000000000000000000000000000000008C5000008C5</t>
  </si>
  <si>
    <t>ObjectId("5ff742c7a5310834f903a280")</t>
  </si>
  <si>
    <t>2021-01-07T18:20:07.049Z</t>
  </si>
  <si>
    <t>02013C50000000000000000000000000000027102789ECB329000100001C5200000000000000000155CC32000C03321900000007D000D2867416BAA115F6670560100001902B003E00000000000000000000000000000000000008C5000008C5</t>
  </si>
  <si>
    <t>ObjectId("5ff7419ca531083483b65fb4")</t>
  </si>
  <si>
    <t>2021-01-07T18:15:08.231Z</t>
  </si>
  <si>
    <t>02013C50000000000000000000000000000027102789ECB329000100001C5200000000000000000152DE32000C06201900000007D000CF8674158EA115F6670580100001952B008800000000000000000000000000000000000008C5000008C5</t>
  </si>
  <si>
    <t>ObjectId("5ff7406fa5310834127641a9")</t>
  </si>
  <si>
    <t>2021-01-07T18:10:07.448Z</t>
  </si>
  <si>
    <t>02013C50000000000000000000000000000027102789ECB329000100001C5200000000000000000150EA32000C0814190000000BB800C886741462A115F66705601000019A2B005000000000000000000000000000000000000008C5000008C5</t>
  </si>
  <si>
    <t>ObjectId("5ff73f45a5310833781f35fa")</t>
  </si>
  <si>
    <t>2021-01-07T18:05:09.467Z</t>
  </si>
  <si>
    <t>02013C50000000000000000000000000000027102789ECB329000100001C520000000000000000014DFC32000C0B02190000000BB800C186741336A115F66704601000019F2B005000000000000000000000000000000000000008C5000008C5</t>
  </si>
  <si>
    <t>ObjectId("5ff73e1aa531082f8e0640a3")</t>
  </si>
  <si>
    <t>2021-01-07T18:00:10.148Z</t>
  </si>
  <si>
    <t>02013C50000000000000000000000000000027102789ECB329000100001C520000000000000000014C0832000C0CF6190000000BB800BD8674120AA115F6670480100001A42B00A300000000000000000000000000000000000008C5000008C5</t>
  </si>
  <si>
    <t>ObjectId("5ff73ceda531082f663c22b0")</t>
  </si>
  <si>
    <t>2021-01-07T17:55:09.308Z</t>
  </si>
  <si>
    <t>02013C50000000000000000000000000000027102789ECB329000100001770000000000000000001491A32000C0FE4190000000FA000B5867410DEA115F6670060100001A92B004900000000000000000000000000000000000008C5000008C5</t>
  </si>
  <si>
    <t>ObjectId("5ff73bc1a531082f3e320246")</t>
  </si>
  <si>
    <t>2021-01-07T17:50:09.020Z</t>
  </si>
  <si>
    <t>02013C50000000000000000000000000000027102789ECB329000100001770000000000000000001472632000C11D8190000000FA000AB86740FB2A115F6670060100001AE2B004900000000000000000000000000000000000008C5000008C5</t>
  </si>
  <si>
    <t>ObjectId("5ff73a95a531082f21b95809")</t>
  </si>
  <si>
    <t>2021-01-07T17:45:09.321Z</t>
  </si>
  <si>
    <t>02013C50000000000000000000000000000027102789ECB329000100001770000000000000000001453232000C13CC190000000FA000A786740E86A115F6670080100001B32B007F00000000000000000000000000000000000008C5000008C5</t>
  </si>
  <si>
    <t>ObjectId("5ff73969a531082edef7c29b")</t>
  </si>
  <si>
    <t>2021-01-07T17:40:09.545Z</t>
  </si>
  <si>
    <t>02013C50000000000000000000000000000027102789ECB329000100001770000000000000000001433E32000C15C0190000001388009586740D5AA115F6670060100001B82B004F00000000000000000000000000000000000008C5000008C5</t>
  </si>
  <si>
    <t>ObjectId("5ff7383ea531082ea1c68f0f")</t>
  </si>
  <si>
    <t>2021-01-07T17:35:09.986Z</t>
  </si>
  <si>
    <t>02013C50000000000000000000000000000027102789ECB329000100001770000000000000000001414A32000C17B4190000001388008E86740C2EA115F6670060100001BD2B004F00000000000000000000000000000000000008C5000008C5</t>
  </si>
  <si>
    <t>ObjectId("5ff73711a531082e7b6ff6b7")</t>
  </si>
  <si>
    <t>2021-01-07T17:30:09.147Z</t>
  </si>
  <si>
    <t>02013C50000000000000000000000000000027102789ECB3290001000017700000000000000000013F5632000C19A8190000001770008986740B02A115F6670060100001C22B005900000000000000000000000000000000000008C5000008C5</t>
  </si>
  <si>
    <t>ObjectId("5ff735e4a531082e230b5fc4")</t>
  </si>
  <si>
    <t>2021-01-07T17:25:08.279Z</t>
  </si>
  <si>
    <t>02013C50000000000000000000000000000027102789ECB3290001000017700000000000000000013D6232000C1B9C190000001770007F867409D6A115F6670060100001C72B003E00000000000000000000000000000000000008C5000008C5</t>
  </si>
  <si>
    <t>ObjectId("5ff734baa531082d94d53af8")</t>
  </si>
  <si>
    <t>2021-01-07T17:20:09.879Z</t>
  </si>
  <si>
    <t>02013C50000000000000000000000000000027102789ECB3290001000017700000000000000000013B6E32000C1D90190000001B580078867408AAA115F6670060100001CC2B002F00000000000000000000000000000000000008C5000008C5</t>
  </si>
  <si>
    <t>ObjectId("5ff7338da531082d1f0b5c1d")</t>
  </si>
  <si>
    <t>2021-01-07T17:15:08.935Z</t>
  </si>
  <si>
    <t>02013C50000000000000000000000000000027102789ECB329000100001770000000000000000001397A32000C1F84190000001F4000728674077EA115F6670060100001D12B000000000000000000000000000000000000000008C5000008C5</t>
  </si>
  <si>
    <t>ObjectId("5ff73135a531082c0dc32a57")</t>
  </si>
  <si>
    <t>2021-01-07T17:05:09.090Z</t>
  </si>
  <si>
    <t>02013C50000000000000000000000000000027102789ECB329000100001770000000000000000001359232000C236C190000002328006F86740526A115F6670040100001DB2BFF9000000000000000000000000000000000000008C5000008C5</t>
  </si>
  <si>
    <t>ObjectId("5ff727d7a53108273cf314b5")</t>
  </si>
  <si>
    <t>2021-01-07T16:25:11.513Z</t>
  </si>
  <si>
    <t>02013C50000000000000000000000000000027102789ECB32900010000138800000000000000000127E632000C31181900000032C800BE8673FBC6A115F6670460100002032B005500000000000000000000000000000000000008C5000008C5</t>
  </si>
  <si>
    <t>ObjectId("5ff726a8a531082708e6e5a8")</t>
  </si>
  <si>
    <t>2021-01-07T16:20:07.976Z</t>
  </si>
  <si>
    <t>02013C50000000000000000000000000000027102789ECB32900010000138800000000000000000126EC32000C32121900000036B000AE8673FA9AA115F6670060100002082B000000000000000000000000000000000000000008C5000008C5</t>
  </si>
  <si>
    <t>ObjectId("5ff72456a5310826119c2a5a")</t>
  </si>
  <si>
    <t>2021-01-07T16:10:14.165Z</t>
  </si>
  <si>
    <t>02013C50000000000000000000000000000027102789ECB329000100001388000000000000000001230432000C35FA190000003A9800B08673F842A115F6670080100002122B008C00000000000000000000000000000000000008C5000008C5</t>
  </si>
  <si>
    <t>ObjectId("5ff72325a5310825d9c7a98d")</t>
  </si>
  <si>
    <t>2021-01-07T16:05:09.564Z</t>
  </si>
  <si>
    <t>02013C50000000000000000000000000000027102789ECB329000100001388000000000000000001220A32000C36F4190000003E8000A88673F716A115F6670080100002172B008C00000000000000000000000000000000000008C5000008C5</t>
  </si>
  <si>
    <t>ObjectId("5ff720cea5310822511838ad")</t>
  </si>
  <si>
    <t>2021-01-07T15:55:10.043Z</t>
  </si>
  <si>
    <t>02013C50000000000000000000000000000013882789E791280001000016760000000000000000011E2232000C61EC19000000177000948673F4BEA115F6670060100002212B003700000000000000000000000000000000000008C5000008C5</t>
  </si>
  <si>
    <t>ObjectId("5ff71f9fa531082223397c1c")</t>
  </si>
  <si>
    <t>2021-01-07T15:50:07.232Z</t>
  </si>
  <si>
    <t>02013C50000000000000000000000000000013882789E791280001000016760000000000000000011D2832000C62E6190000001B58008B8673F392A115F6670060100002262B000000000000000000000000000000000000000008C5000008C5</t>
  </si>
  <si>
    <t>ObjectId("5ff71e76a5310821e0ad23d4")</t>
  </si>
  <si>
    <t>2021-01-07T15:45:10.373Z</t>
  </si>
  <si>
    <t>02013C50000000000000000000000000000013882789E791280001000016760000000000000000011B3432000C64DA190000001B5800888673F266A115F66700601000022B2BFFE900000000000000000000000000000000000008C5000008C5</t>
  </si>
  <si>
    <t>ObjectId("5ff71d49a5310821b555be89")</t>
  </si>
  <si>
    <t>2021-01-07T15:40:09.586Z</t>
  </si>
  <si>
    <t>02013C50000000000000000000000000000013882789E79128000100001676000000000000000001194032000C66CE190000001B5800888673F13AA115F6670060100002302B000000000000000000000000000000000000000008C5000008C5</t>
  </si>
  <si>
    <t>ObjectId("5ff71898a5310820dae929ae")</t>
  </si>
  <si>
    <t>2021-01-07T15:20:08.504Z</t>
  </si>
  <si>
    <t>02013C50000000000000000000000000000032C82789C7BF27000100001676000000000000000001117032000C8226190000000FA0008A8673EC8AA115F6670040100002442BFF3F00000000000000000000000000000000000008C5000008C5</t>
  </si>
  <si>
    <t>ObjectId("5ff7176ba531082068500a2e")</t>
  </si>
  <si>
    <t>2021-01-07T15:15:07.671Z</t>
  </si>
  <si>
    <t>02013C50000000000000000000000000000032C82789C7BF270001000016760000000000000000010F7C32000C841A190000000FA000948673EB5EA115F6670040100002492BFF9A00000000000000000000000000000000000008C5000008C5</t>
  </si>
  <si>
    <t>ObjectId("5ff71641a531081feeff5964")</t>
  </si>
  <si>
    <t>2021-01-07T15:10:09.685Z</t>
  </si>
  <si>
    <t>02013C50000000000000000000000000000032C82789C7BF270001000016760000000000000000010D8832000C860E19000000138800A58673EA32A115F66700601000024E2BFFE000000000000000000000000000000000000008C5000008C5</t>
  </si>
  <si>
    <t>ObjectId("5ff71514a531081fc5f27ce3")</t>
  </si>
  <si>
    <t>2021-01-07T15:05:07.955Z</t>
  </si>
  <si>
    <t>02013C50000000000000000000000000000032C82789C7BF270001000016760000000000000000010B9432000C880219000000138800AB8673E906A115F6670060100002532BFFE000000000000000000000000000000000000008C5000008C5</t>
  </si>
  <si>
    <t>ObjectId("5ff713e9a531081c96b1894a")</t>
  </si>
  <si>
    <t>2021-01-07T15:00:09.568Z</t>
  </si>
  <si>
    <t>02013C50000000000000000000000000000032C82789C7BF2700010000167600000000000000000109A032000C89F619000000177000AD8673E7D8A115F6670060100002582B000000000000000000000000000000000000000008C5000008C5</t>
  </si>
  <si>
    <t>ObjectId("5ff71063a531081be83fe10f")</t>
  </si>
  <si>
    <t>2021-01-07T14:45:07.731Z</t>
  </si>
  <si>
    <t>02013C50000000000000000000000000000032C82789C7BF2700010000186A00000000000000000103C432000C8FD219000000232800AF8673E454A115F6670060100002672B000800000000000000000000000000000000000008C5000008C5</t>
  </si>
  <si>
    <t>ObjectId("5ff70f39a531081b89b1fb2e")</t>
  </si>
  <si>
    <t>2021-01-07T14:40:08.913Z</t>
  </si>
  <si>
    <t>02013C50000000000000000000000000000032C82789C7BF2700010000186A00000000000000000101D032000C91C619000000271000AF8673E328A115F66700601000026C2B000300000000000000000000000000000000000008C5000008C5</t>
  </si>
  <si>
    <t>ObjectId("5ff70e0ca531081b43ee9c03")</t>
  </si>
  <si>
    <t>2021-01-07T14:35:08.134Z</t>
  </si>
  <si>
    <t>02013C50000000000000000000000000000032C82789C7BF2700010000186A000000000000000000FFDC32000C93BA190000002AF800AD8673E1FCA115F6670060100002712B000000000000000000000000000000000000000008C5000008C5</t>
  </si>
  <si>
    <t>ObjectId("5ff70cdfa531081b273fbc53")</t>
  </si>
  <si>
    <t>2021-01-07T14:30:07.358Z</t>
  </si>
  <si>
    <t>02013C50000000000000000000000000000032C82789C7BF2700010000186A000000000000000000FDE832000C95AE190000002AF800AA8673E0D0A115F6670060100002762B000000000000000000000000000000000000000008C5000008C5</t>
  </si>
  <si>
    <t>ObjectId("5ff70bb4a531081acac2eb9b")</t>
  </si>
  <si>
    <t>2021-01-07T14:25:08.537Z</t>
  </si>
  <si>
    <t>02013C50000000000000000000000000000032C82789C7BF2700010000186A000000000000000000FBF432000C97A2190000002EE000A88673DFA4A115F66700601000027B2B000000000000000000000000000000000000000008C5000008C5</t>
  </si>
  <si>
    <t>ObjectId("5ff70a87a531081a77d3f15e")</t>
  </si>
  <si>
    <t>2021-01-07T14:20:07.757Z</t>
  </si>
  <si>
    <t>02013C50000000000000000000000000000032C82789C7BF2700010000186A000000000000000000FA0032000C99961900000036B000A68673DE78A115F6670040100002802BFF7300000000000000000000000000000000000008C5000008C5</t>
  </si>
  <si>
    <t>ObjectId("5ff70831a5310819a4c50a31")</t>
  </si>
  <si>
    <t>2021-01-07T14:10:08.894Z</t>
  </si>
  <si>
    <t>02013C50000000000000000000000000000032C82789C7BF2700010000186A000000000000000000F61832000C9D7E190000003E8000BA8673DC20A115F66700601000028A2BFFC900000000000000000000000000000000000008C5000008C5</t>
  </si>
  <si>
    <t>ObjectId("5ff70703a531081946a11dca")</t>
  </si>
  <si>
    <t>2021-01-07T14:05:07.818Z</t>
  </si>
  <si>
    <t>02013C50000000000000000000000000000032C82789C7BF2700010000186A000000000000000000F42432000C9F7219000000426800C08673DAF4A115F66700601000028F2BFFC900000000000000000000000000000000000008C5000008C5</t>
  </si>
  <si>
    <t>ObjectId("5ff705d9a5310816478577a8")</t>
  </si>
  <si>
    <t>2021-01-07T14:00:09.772Z</t>
  </si>
  <si>
    <t>02013C50000000000000000000000000000032C82789C7BF2700010000186A000000000000000000F23032000CA16619000000465000C58673D9C8A115F6670060100002942BFFB500000000000000000000000000000000000008C5000008C5</t>
  </si>
  <si>
    <t>ObjectId("5ff704aca531081624b84f6e")</t>
  </si>
  <si>
    <t>2021-01-07T13:55:08.220Z</t>
  </si>
  <si>
    <t>02013C50000000000000000000000000000032C82789C7BF27000100001388000000000000000000EF4232000CA454190000004A3800CB8673D89CA115F6670160100002992BFFD300000000000000000000000000000000000008C5000008C5</t>
  </si>
  <si>
    <t>ObjectId("5ff703f1a5310815eb20352c")</t>
  </si>
  <si>
    <t>2021-01-07T13:52:01.340Z</t>
  </si>
  <si>
    <t>02013C50000000000000000000000000000032C82789C7BF27000100001388000000000000000000EE4832000CA54E190000004E2000CB8673D89CA115F6670160100002992BFFD300000000000000000000000000000000000008C5000008C5</t>
  </si>
  <si>
    <t>ObjectId("5ff70127a5310811151ed879")</t>
  </si>
  <si>
    <t>2021-01-07T13:40:07.836Z</t>
  </si>
  <si>
    <t>02013C50000000000000000000000000000032C82789C7BF27000100001388000000000000000000EA6032000CA9361900000059D800CA8673D518A115F6670560100002A82B001300000000000000000000000000000000000008C5000008C5</t>
  </si>
  <si>
    <t>ObjectId("5ff6fffda5310810f64f4287")</t>
  </si>
  <si>
    <t>2021-01-07T13:35:09.273Z</t>
  </si>
  <si>
    <t>02013C50000000000000000000000000000032C82789C7BF27000100001388000000000000000000E96632000CAA30190000005DC000C48673D3ECA115F6670060100002AD2B001300000000000000000000000000000000000008C5000008C5</t>
  </si>
  <si>
    <t>ObjectId("5ff6fed0a531081075a47851")</t>
  </si>
  <si>
    <t>2021-01-07T13:30:08.237Z</t>
  </si>
  <si>
    <t>02013C50000000000000000000000000000032C82789C7BF27000100001388000000000000000000E77232000CAC241900000061A800C28673D2C0A115F6670060100002B22B000600000000000000000000000000000000000008C5000008C5</t>
  </si>
  <si>
    <t>ObjectId("5ff6fc78a531080f6f868473")</t>
  </si>
  <si>
    <t>2021-01-07T13:20:08.684Z</t>
  </si>
  <si>
    <t>02013C50000000000000000000000000000032C82789C7BF27000100001388000000000000000000E48432000CAF1219000000697800BC8673D068A115F6670060100002BC2BFFDB00000000000000000000000000000000000008C5000008C5</t>
  </si>
  <si>
    <t>ObjectId("5ff6fa19a531080dc8743af0")</t>
  </si>
  <si>
    <t>2021-01-07T13:10:01.186Z</t>
  </si>
  <si>
    <t>02013C50000000000000000000000000000023282789BBC526000100001388000000000000000000E09C32000CE5C2190000003E8000C18673CE10A115F6670060100002C62BFFD300000000000000000000000000000000000008C5000008C5</t>
  </si>
  <si>
    <t>ObjectId("5ff6f946a531080da801c897")</t>
  </si>
  <si>
    <t>2021-01-07T13:06:30.734Z</t>
  </si>
  <si>
    <t>02013C50000000000000000000000000000023282789BBC526000100001388000000000000000000DFA232000CE6BC19000000426800C18673CE10A115F6670060100002C62BFFD300000000000000000000000000000000000008C5000008C5</t>
  </si>
  <si>
    <t>ObjectId("5ff6f8f4a531080d8e5bf1bf")</t>
  </si>
  <si>
    <t>2021-01-07T13:05:08.162Z</t>
  </si>
  <si>
    <t>02013C50000000000000000000000000000023282789BBC526000100001388000000000000000000DFA232000CE6BC19000000426800C58673CCE4A115F6670060100002CB2B000000000000000000000000000000000000000008C5000008C5</t>
  </si>
  <si>
    <t>ObjectId("5ff6f7c7a5310809c9cd56ea")</t>
  </si>
  <si>
    <t>2021-01-07T13:00:07.484Z</t>
  </si>
  <si>
    <t>02013C50000000000000000000000000000023282789BBC526000100001388000000000000000000DDAE32000CE8B019000000465000C98673CBB8A115F6670560100002D02B000F00000000000000000000000000000000000008C5000008C5</t>
  </si>
  <si>
    <t>ObjectId("5ff6f69ca5310809a6e71017")</t>
  </si>
  <si>
    <t>2021-01-07T12:55:08.669Z</t>
  </si>
  <si>
    <t>02013C50000000000000000000000000000023282789BBC526000100000FA0000000000000000000DBBA32000CEAA4190000004A3800C28673CA8CA115F6670460100002D52B00340000D900000000000000000000000000000008C5000008C5</t>
  </si>
  <si>
    <t>ObjectId("5ff6f570a53108090ba2c3e2")</t>
  </si>
  <si>
    <t>2021-01-07T12:50:07.891Z</t>
  </si>
  <si>
    <t>02013C50000000000000000000000000000023282789BBC526000100000FA0000000000000000000DAC032000CEB9E190000004A3803028673C960A115F66700E0140000002B00000000D900000000000000000000000000000008C5000008C5</t>
  </si>
  <si>
    <t>ObjectId("5ff6f4b3a5310808f59dc557")</t>
  </si>
  <si>
    <t>2021-01-07T12:46:59.280Z</t>
  </si>
  <si>
    <t>02013C50000000000000000000000000000023282789BBC526000100000FA0000000000000000000D9C632000CEC98190000004E2003028673C960A115F66700E0140000002B00000000D900000000000000000000000000000008C5000008C5</t>
  </si>
  <si>
    <t>ObjectId("5ff6f445a5310808e277a827")</t>
  </si>
  <si>
    <t>2021-01-07T12:45:09.083Z</t>
  </si>
  <si>
    <t>02013C50000000000000000000000000000023282789BBC526000100000FA0000000000000000000D9C632000CEC98190000004E2000AF8673C834A115F6670060100000052B004300000000000000000000000000000000000008C5000008C5</t>
  </si>
  <si>
    <t>ObjectId("5ff6f318a5310808af794232")</t>
  </si>
  <si>
    <t>2021-01-07T12:40:08.294Z</t>
  </si>
  <si>
    <t>02013C50000000000000000000000000000023282789BBC526000100000FA0000000000000000000D7D232000CEE8C19000000520800AC8673C708A115F66700601000000A2B005100000000000000000000000000000000000008C5000008C5</t>
  </si>
  <si>
    <t>ObjectId("5ff6f2b2a53108088e674b0d")</t>
  </si>
  <si>
    <t>2021-01-07T12:38:26.066Z</t>
  </si>
  <si>
    <t>ObjectId("5ff6ef8ca5310807e9d69ae4")</t>
  </si>
  <si>
    <t>2021-01-07T12:25:00.221Z</t>
  </si>
  <si>
    <t>02013C50000000000000000000000000000032C82789B6ED25000100000FA0000000000000000000D3EA32000D159C1900000032C800958673C384A115F6670080100000192B007500000000000000000000000000000000000008C5000008C5</t>
  </si>
  <si>
    <t>trend</t>
  </si>
  <si>
    <t>01100000 0x60</t>
  </si>
  <si>
    <t>10000000 0x80</t>
  </si>
  <si>
    <t>00000000 0x00</t>
  </si>
  <si>
    <t>00100000 0x20</t>
  </si>
  <si>
    <t>01000000 0x40</t>
  </si>
  <si>
    <t>11100000 0xE0</t>
  </si>
  <si>
    <t>No arrows</t>
  </si>
  <si>
    <t>3 arrows up</t>
  </si>
  <si>
    <t>11000000 0xC0</t>
  </si>
  <si>
    <t>2 arrows up</t>
  </si>
  <si>
    <t>10100000 0xA0</t>
  </si>
  <si>
    <t>2 arrows down</t>
  </si>
  <si>
    <t>3 arrows down</t>
  </si>
  <si>
    <t>40 trend</t>
  </si>
  <si>
    <t>45 battery</t>
  </si>
  <si>
    <t>Undefined ??</t>
  </si>
  <si>
    <t>calc rate of change</t>
  </si>
  <si>
    <t>calc arrow</t>
  </si>
  <si>
    <t>1 arrows up</t>
  </si>
  <si>
    <t>1 arrows down</t>
  </si>
  <si>
    <t>comp</t>
  </si>
  <si>
    <t>43 calib time remaining</t>
  </si>
  <si>
    <t>35 - SGV (2)</t>
  </si>
  <si>
    <t>37 - sgv time (4)2</t>
  </si>
  <si>
    <t>3B - sgv time offst (4)</t>
  </si>
  <si>
    <t>3F - low susp (1)</t>
  </si>
  <si>
    <t>41 status (1)</t>
  </si>
  <si>
    <t>42 control (1)</t>
  </si>
  <si>
    <t>48 bolus wizard ?</t>
  </si>
  <si>
    <t>4B Alerts1 (1)</t>
  </si>
  <si>
    <t>4C Alerts2 (1)</t>
  </si>
  <si>
    <t>4D - alert time (4)</t>
  </si>
  <si>
    <t>51 - alert time offst (4)</t>
  </si>
  <si>
    <t>55 ???</t>
  </si>
  <si>
    <t>56 ???</t>
  </si>
  <si>
    <t>57 ???</t>
  </si>
  <si>
    <t>58 - sensor active (4)2</t>
  </si>
  <si>
    <t>5C - sensor active (4)</t>
  </si>
  <si>
    <t>Comments / observations</t>
  </si>
  <si>
    <t>Normal calibration (before due)</t>
  </si>
  <si>
    <t>calibration (over time)</t>
  </si>
  <si>
    <t>31 - active insulin (4)</t>
  </si>
  <si>
    <t>30 - res. min (1)</t>
  </si>
  <si>
    <t>2F - res. hours (1)</t>
  </si>
  <si>
    <t>sensor distant (bath), injection set changed + insuln reloaded</t>
  </si>
  <si>
    <t>2A - battery (1)</t>
  </si>
  <si>
    <t>2B - res. insulin (4)2</t>
  </si>
  <si>
    <t>26 - basal units/day  (4)</t>
  </si>
  <si>
    <t>03 - pump status (1)</t>
  </si>
  <si>
    <t>cgm</t>
  </si>
  <si>
    <t>temp basal</t>
  </si>
  <si>
    <t>bol. dual</t>
  </si>
  <si>
    <t>bol. square</t>
  </si>
  <si>
    <t>bol. Normal</t>
  </si>
  <si>
    <t>suspended</t>
  </si>
  <si>
    <t>???</t>
  </si>
  <si>
    <t>ins. del.</t>
  </si>
  <si>
    <t>04 - now bolusing (4)</t>
  </si>
  <si>
    <t>08 - ?? (4)</t>
  </si>
  <si>
    <t>0C - NM (2)</t>
  </si>
  <si>
    <t>0E - NR (2)</t>
  </si>
  <si>
    <t>10 - last bolus amount (4)</t>
  </si>
  <si>
    <t>14 - last bolus time (4)</t>
  </si>
  <si>
    <t>18 - last bolus ref. (2)</t>
  </si>
  <si>
    <t>1A - basal pattern (1)</t>
  </si>
  <si>
    <t>1B - basal rate (4)</t>
  </si>
  <si>
    <t>1F -temp basal rate (4)</t>
  </si>
  <si>
    <t>24 - temp. min (2)</t>
  </si>
  <si>
    <t>35 - SGV special bit (2)</t>
  </si>
  <si>
    <t>49 - BGV (2)</t>
  </si>
  <si>
    <t>46 rate of change (2)</t>
  </si>
  <si>
    <t>03012C2E7007000000000000019000000000000000044C0B000000000000044C11000000000000044C13000000000000028A1600000000000001F41E00000000000001F424</t>
  </si>
  <si>
    <t>COUNT</t>
  </si>
  <si>
    <t>00</t>
  </si>
  <si>
    <t>01</t>
  </si>
  <si>
    <t>02</t>
  </si>
  <si>
    <t>PREAMBLE</t>
  </si>
  <si>
    <t>COMMAND</t>
  </si>
  <si>
    <t>??</t>
  </si>
  <si>
    <t>REC1</t>
  </si>
  <si>
    <t>REC2</t>
  </si>
  <si>
    <t>REC3</t>
  </si>
  <si>
    <t>REC4</t>
  </si>
  <si>
    <t>REC5</t>
  </si>
  <si>
    <t>REC6</t>
  </si>
  <si>
    <t>REC7</t>
  </si>
  <si>
    <t>start</t>
  </si>
  <si>
    <t>end</t>
  </si>
  <si>
    <t>ratio</t>
  </si>
  <si>
    <t xml:space="preserve">04012F1AB7050096005300007800430C00640038140078004324008C004E2E
</t>
  </si>
  <si>
    <t>mmol/L</t>
  </si>
  <si>
    <t>mg/dL</t>
  </si>
  <si>
    <t xml:space="preserve">050132D1E10400780043005A003200007800430050002C0A007800430050002C1000780043005A003224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</si>
</sst>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sz val="11"/>
      <color rgb="FFCE9178"/>
      <name val="Consolas"/>
      <family val="3"/>
    </font>
    <font>
      <sz val="11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9" fillId="0" borderId="0" xfId="0" applyFont="1" applyAlignment="1">
      <alignment vertical="center"/>
    </xf>
    <xf numFmtId="0" fontId="18" fillId="0" borderId="0" xfId="0" applyNumberFormat="1" applyFont="1"/>
    <xf numFmtId="0" fontId="18" fillId="33" borderId="0" xfId="0" applyFont="1" applyFill="1"/>
    <xf numFmtId="0" fontId="18" fillId="33" borderId="0" xfId="0" applyNumberFormat="1" applyFont="1" applyFill="1"/>
    <xf numFmtId="0" fontId="0" fillId="33" borderId="0" xfId="0" applyFill="1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NumberFormat="1" applyFont="1" applyAlignment="1">
      <alignment wrapText="1"/>
    </xf>
    <xf numFmtId="0" fontId="18" fillId="33" borderId="0" xfId="0" applyNumberFormat="1" applyFont="1" applyFill="1" applyAlignment="1">
      <alignment wrapText="1"/>
    </xf>
    <xf numFmtId="0" fontId="18" fillId="0" borderId="0" xfId="0" applyNumberFormat="1" applyFont="1" applyFill="1"/>
    <xf numFmtId="0" fontId="18" fillId="34" borderId="0" xfId="0" applyFont="1" applyFill="1" applyAlignment="1">
      <alignment wrapText="1"/>
    </xf>
    <xf numFmtId="0" fontId="20" fillId="0" borderId="0" xfId="0" applyFont="1" applyAlignment="1">
      <alignment vertical="center"/>
    </xf>
    <xf numFmtId="20" fontId="0" fillId="0" borderId="0" xfId="0" applyNumberFormat="1"/>
    <xf numFmtId="49" fontId="0" fillId="0" borderId="0" xfId="0" applyNumberFormat="1"/>
    <xf numFmtId="0" fontId="0" fillId="0" borderId="0" xfId="0" applyNumberFormat="1"/>
    <xf numFmtId="0" fontId="16" fillId="0" borderId="0" xfId="0" applyFont="1"/>
    <xf numFmtId="0" fontId="20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BF109" totalsRowShown="0" headerRowDxfId="59" dataDxfId="58">
  <autoFilter ref="A1:BF109"/>
  <tableColumns count="58">
    <tableColumn id="1" name="_id" dataDxfId="57"/>
    <tableColumn id="2" name="timestamp" dataDxfId="56"/>
    <tableColumn id="3" name="type" dataDxfId="55"/>
    <tableColumn id="4" name="statusRaw" dataDxfId="54"/>
    <tableColumn id="5" name="hour" dataDxfId="53"/>
    <tableColumn id="39" name="03 - pump status (1)" dataDxfId="52">
      <calculatedColumnFormula>HEX2BIN(MID(Table1[[#This Row],[statusRaw]],1+HEX2DEC(LEFT(F$1,2))*2, 2),8) &amp; " 0x" &amp;MID(Table1[[#This Row],[statusRaw]],1+HEX2DEC(LEFT(F$1,2))*2, 2)</calculatedColumnFormula>
    </tableColumn>
    <tableColumn id="46" name="???" dataDxfId="51">
      <calculatedColumnFormula>MID(Table1[[#This Row],[03 - pump status (1)]],1,1)="1"</calculatedColumnFormula>
    </tableColumn>
    <tableColumn id="45" name="cgm" dataDxfId="50">
      <calculatedColumnFormula>MID(Table1[[#This Row],[03 - pump status (1)]],2,1)="1"</calculatedColumnFormula>
    </tableColumn>
    <tableColumn id="44" name="temp basal" dataDxfId="49">
      <calculatedColumnFormula>MID(Table1[[#This Row],[03 - pump status (1)]],3,1)="1"</calculatedColumnFormula>
    </tableColumn>
    <tableColumn id="43" name="ins. del." dataDxfId="48">
      <calculatedColumnFormula>MID(Table1[[#This Row],[03 - pump status (1)]],4,1)="1"</calculatedColumnFormula>
    </tableColumn>
    <tableColumn id="42" name="bol. dual" dataDxfId="47">
      <calculatedColumnFormula>MID(Table1[[#This Row],[03 - pump status (1)]],5,1)="1"</calculatedColumnFormula>
    </tableColumn>
    <tableColumn id="41" name="bol. square" dataDxfId="46">
      <calculatedColumnFormula>MID(Table1[[#This Row],[03 - pump status (1)]],6,1)="1"</calculatedColumnFormula>
    </tableColumn>
    <tableColumn id="47" name="bol. Normal" dataDxfId="45">
      <calculatedColumnFormula>MID(Table1[[#This Row],[03 - pump status (1)]],7,1)="1"</calculatedColumnFormula>
    </tableColumn>
    <tableColumn id="40" name="suspended" dataDxfId="44">
      <calculatedColumnFormula>MID(Table1[[#This Row],[03 - pump status (1)]],8,1)="1"</calculatedColumnFormula>
    </tableColumn>
    <tableColumn id="48" name="04 - now bolusing (4)" dataDxfId="43">
      <calculatedColumnFormula>MID(Table1[[#This Row],[statusRaw]],1+HEX2DEC(LEFT(O$1,2))*2, 8)</calculatedColumnFormula>
    </tableColumn>
    <tableColumn id="49" name="08 - ?? (4)" dataDxfId="42">
      <calculatedColumnFormula>MID(Table1[[#This Row],[statusRaw]],1+HEX2DEC(LEFT(P$1,2))*2, 8)</calculatedColumnFormula>
    </tableColumn>
    <tableColumn id="51" name="0C - NM (2)" dataDxfId="41">
      <calculatedColumnFormula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calculatedColumnFormula>
    </tableColumn>
    <tableColumn id="50" name="0E - NR (2)" dataDxfId="40">
      <calculatedColumnFormula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calculatedColumnFormula>
    </tableColumn>
    <tableColumn id="52" name="10 - last bolus amount (4)" dataDxfId="39">
      <calculatedColumnFormula>HEX2DEC(MID(Table1[[#This Row],[statusRaw]],1+HEX2DEC(LEFT(S$1,2))*2, 8))/10000</calculatedColumnFormula>
    </tableColumn>
    <tableColumn id="53" name="14 - last bolus time (4)" dataDxfId="38">
      <calculatedColumnFormula>MID(Table1[[#This Row],[statusRaw]],1+HEX2DEC(LEFT(T$1,2))*2, 8)</calculatedColumnFormula>
    </tableColumn>
    <tableColumn id="54" name="18 - last bolus ref. (2)" dataDxfId="37">
      <calculatedColumnFormula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calculatedColumnFormula>
    </tableColumn>
    <tableColumn id="55" name="1A - basal pattern (1)" dataDxfId="36">
      <calculatedColumnFormula>HEX2BIN(MID(Table1[[#This Row],[statusRaw]],1+HEX2DEC(LEFT(V$1,2))*2, 2),8) &amp; " 0x" &amp;MID(Table1[[#This Row],[statusRaw]],1+HEX2DEC(LEFT(V$1,2))*2, 2)</calculatedColumnFormula>
    </tableColumn>
    <tableColumn id="56" name="1B - basal rate (4)" dataDxfId="35">
      <calculatedColumnFormula>HEX2DEC(MID(Table1[[#This Row],[statusRaw]],1+HEX2DEC(LEFT(W$1,2))*2, 8))/10000</calculatedColumnFormula>
    </tableColumn>
    <tableColumn id="57" name="1F -temp basal rate (4)" dataDxfId="34">
      <calculatedColumnFormula>HEX2DEC(MID(Table1[[#This Row],[statusRaw]],1+HEX2DEC(LEFT(X$1,2))*2, 8))/10000</calculatedColumnFormula>
    </tableColumn>
    <tableColumn id="58" name="24 - temp. min (2)" dataDxfId="33">
      <calculatedColumnFormula>IF(HEX2DEC(MID(Table1[[#This Row],[statusRaw]],1+HEX2DEC(LEFT(Y$1,2))*2, 4))&gt;32768,HEX2DEC(MID(Table1[[#This Row],[statusRaw]],1+HEX2DEC(LEFT(Y$1,2))*2, 4))-65536,HEX2DEC(MID(Table1[[#This Row],[statusRaw]],1+HEX2DEC(LEFT(Y$1,2))*2, 4)))</calculatedColumnFormula>
    </tableColumn>
    <tableColumn id="38" name="26 - basal units/day  (4)" dataDxfId="32">
      <calculatedColumnFormula>HEX2DEC(MID(Table1[[#This Row],[statusRaw]],1+HEX2DEC(LEFT(Z$1,2))*2, 8))/10000</calculatedColumnFormula>
    </tableColumn>
    <tableColumn id="37" name="2A - battery (1)" dataDxfId="31">
      <calculatedColumnFormula>HEX2DEC(MID(Table1[[#This Row],[statusRaw]],1+HEX2DEC(LEFT(AA$1,2))*2, 2))</calculatedColumnFormula>
    </tableColumn>
    <tableColumn id="36" name="2B - res. insulin (4)2" dataDxfId="30">
      <calculatedColumnFormula>HEX2DEC(MID(Table1[[#This Row],[statusRaw]],1+HEX2DEC(LEFT(AB$1,2))*2, 8))/10000</calculatedColumnFormula>
    </tableColumn>
    <tableColumn id="35" name="2F - res. hours (1)" dataDxfId="29">
      <calculatedColumnFormula>HEX2DEC(MID(Table1[[#This Row],[statusRaw]],1+HEX2DEC(LEFT(AC$1,2))*2, 2))</calculatedColumnFormula>
    </tableColumn>
    <tableColumn id="34" name="30 - res. min (1)" dataDxfId="28">
      <calculatedColumnFormula>HEX2DEC(MID(Table1[[#This Row],[statusRaw]],1+HEX2DEC(LEFT(AD$1,2))*2, 2))</calculatedColumnFormula>
    </tableColumn>
    <tableColumn id="33" name="31 - active insulin (4)" dataDxfId="27">
      <calculatedColumnFormula>HEX2DEC(MID(Table1[[#This Row],[statusRaw]],1+HEX2DEC(LEFT(AE$1,2))*2, 8))/10000</calculatedColumnFormula>
    </tableColumn>
    <tableColumn id="14" name="35 - SGV (2)" dataDxfId="26">
      <calculatedColumnFormula>IF(AND(Table1[[#This Row],[cgm]],NOT(Table1[[#This Row],[35 - SGV special bit (2)]])), _xlfn.BITAND(HEX2DEC(MID(Table1[[#This Row],[statusRaw]],1+HEX2DEC(LEFT(AF$1,2))*2, 4)),HEX2DEC("1FF")),"")</calculatedColumnFormula>
    </tableColumn>
    <tableColumn id="59" name="35 - SGV special bit (2)" dataDxfId="25">
      <calculatedColumnFormula>_xlfn.BITAND(HEX2DEC(MID(Table1[[#This Row],[statusRaw]],1+HEX2DEC(LEFT(AG$1,2))*2, 4)),512)=512</calculatedColumnFormula>
    </tableColumn>
    <tableColumn id="15" name="37 - sgv time (4)2" dataDxfId="24">
      <calculatedColumnFormula>MID(Table1[[#This Row],[statusRaw]],1+HEX2DEC(LEFT(AF$1,2))*2, 8)</calculatedColumnFormula>
    </tableColumn>
    <tableColumn id="16" name="3B - sgv time offst (4)" dataDxfId="23">
      <calculatedColumnFormula>MID(Table1[[#This Row],[statusRaw]],1+HEX2DEC(LEFT(AH$1,2))*2, 8)</calculatedColumnFormula>
    </tableColumn>
    <tableColumn id="17" name="3F - low susp (1)" dataDxfId="22">
      <calculatedColumnFormula>HEX2BIN(MID(Table1[[#This Row],[statusRaw]],1+HEX2DEC(LEFT(AJ$1,2))*2, 2),8) &amp; " 0x" &amp;MID(Table1[[#This Row],[statusRaw]],1+HEX2DEC(LEFT(AJ$1,2))*2, 2)</calculatedColumnFormula>
    </tableColumn>
    <tableColumn id="7" name="40 trend" dataDxfId="21">
      <calculatedColumnFormula>HEX2BIN(MID(Table1[[#This Row],[statusRaw]],1+HEX2DEC(LEFT(AK$1,2))*2, 2),8) &amp; " 0x" &amp;MID(Table1[[#This Row],[statusRaw]],1+HEX2DEC(LEFT(AK$1,2))*2, 2)</calculatedColumnFormula>
    </tableColumn>
    <tableColumn id="9" name="trend" dataDxfId="20">
      <calculatedColumnFormula>VLOOKUP(Table1[[#This Row],[40 trend]],'Arrow status mapping'!$A$1:$B$8,2,FALSE)</calculatedColumnFormula>
    </tableColumn>
    <tableColumn id="18" name="41 status (1)" dataDxfId="19">
      <calculatedColumnFormula>HEX2BIN(MID(Table1[[#This Row],[statusRaw]],1+HEX2DEC(LEFT(AM$1,2))*2, 2),8) &amp; " 0x" &amp;MID(Table1[[#This Row],[statusRaw]],1+HEX2DEC(LEFT(AM$1,2))*2, 2)</calculatedColumnFormula>
    </tableColumn>
    <tableColumn id="19" name="42 control (1)" dataDxfId="18">
      <calculatedColumnFormula>HEX2BIN(MID(Table1[[#This Row],[statusRaw]],1+HEX2DEC(LEFT(AN$1,2))*2, 2),8) &amp; " 0x" &amp;MID(Table1[[#This Row],[statusRaw]],1+HEX2DEC(LEFT(AN$1,2))*2, 2)</calculatedColumnFormula>
    </tableColumn>
    <tableColumn id="13" name="43 calib time remaining" dataDxfId="17">
      <calculatedColumnFormula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calculatedColumnFormula>
    </tableColumn>
    <tableColumn id="6" name="45 battery" dataDxfId="16">
      <calculatedColumnFormula>HEX2BIN(MID(Table1[[#This Row],[statusRaw]],1+HEX2DEC(LEFT(AP$1,2))*2, 2),8) &amp; " 0x" &amp;MID(Table1[[#This Row],[statusRaw]],1+HEX2DEC(LEFT(AP$1,2))*2, 2)</calculatedColumnFormula>
    </tableColumn>
    <tableColumn id="8" name="46 rate of change (2)" dataDxfId="15">
      <calculatedColumnFormula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calculatedColumnFormula>
    </tableColumn>
    <tableColumn id="10" name="calc rate of change" dataDxfId="14">
      <calculatedColumnFormula>TRUNC(_xlfn.NUMBERVALUE(RIGHT(Table1[[#This Row],[46 rate of change (2)]],LEN(Table1[[#This Row],[46 rate of change (2)]])-7))/100)</calculatedColumnFormula>
    </tableColumn>
    <tableColumn id="11" name="calc arrow" dataDxfId="13">
      <calculatedColumnFormula>IF(Table1[[#This Row],[calc rate of change]]&gt;0,Table1[[#This Row],[calc rate of change]]&amp;" arrows up",IF(Table1[[#This Row],[calc rate of change]]&lt;0,(0-Table1[[#This Row],[calc rate of change]])&amp;" arrows down","No arrows"))</calculatedColumnFormula>
    </tableColumn>
    <tableColumn id="12" name="comp" dataDxfId="12">
      <calculatedColumnFormula>Table1[[#This Row],[calc arrow]]=Table1[[#This Row],[trend]]</calculatedColumnFormula>
    </tableColumn>
    <tableColumn id="20" name="48 bolus wizard ?" dataDxfId="11">
      <calculatedColumnFormula>HEX2BIN(MID(Table1[[#This Row],[statusRaw]],1+HEX2DEC(LEFT(AU$1,2))*2, 2),8) &amp; " 0x" &amp;MID(Table1[[#This Row],[statusRaw]],1+HEX2DEC(LEFT(AU$1,2))*2, 2)</calculatedColumnFormula>
    </tableColumn>
    <tableColumn id="21" name="49 - BGV (2)" dataDxfId="10">
      <calculatedColumnFormula>HEX2DEC(MID(Table1[[#This Row],[statusRaw]],1+HEX2DEC(LEFT(AV$1,2))*2, 4))</calculatedColumnFormula>
    </tableColumn>
    <tableColumn id="23" name="4B Alerts1 (1)" dataDxfId="9">
      <calculatedColumnFormula>HEX2BIN(MID(Table1[[#This Row],[statusRaw]],1+HEX2DEC(LEFT(AW$1,2))*2, 2),8) &amp; " 0x" &amp;MID(Table1[[#This Row],[statusRaw]],1+HEX2DEC(LEFT(AW$1,2))*2, 2)</calculatedColumnFormula>
    </tableColumn>
    <tableColumn id="24" name="4C Alerts2 (1)" dataDxfId="8">
      <calculatedColumnFormula>HEX2BIN(MID(Table1[[#This Row],[statusRaw]],1+HEX2DEC(LEFT(AX$1,2))*2, 2),8) &amp; " 0x" &amp;MID(Table1[[#This Row],[statusRaw]],1+HEX2DEC(LEFT(AX$1,2))*2, 2)</calculatedColumnFormula>
    </tableColumn>
    <tableColumn id="25" name="4D - alert time (4)" dataDxfId="7">
      <calculatedColumnFormula>MID(Table1[[#This Row],[statusRaw]],1+HEX2DEC(LEFT(AY$1,2))*2, 8)</calculatedColumnFormula>
    </tableColumn>
    <tableColumn id="26" name="51 - alert time offst (4)" dataDxfId="6">
      <calculatedColumnFormula>MID(Table1[[#This Row],[statusRaw]],1+HEX2DEC(LEFT(AZ$1,2))*2, 8)</calculatedColumnFormula>
    </tableColumn>
    <tableColumn id="27" name="55 ???" dataDxfId="5">
      <calculatedColumnFormula>HEX2BIN(MID(Table1[[#This Row],[statusRaw]],1+HEX2DEC(LEFT(BA$1,2))*2, 2),8) &amp; " 0x" &amp;MID(Table1[[#This Row],[statusRaw]],1+HEX2DEC(LEFT(BA$1,2))*2, 2)</calculatedColumnFormula>
    </tableColumn>
    <tableColumn id="28" name="56 ???" dataDxfId="4">
      <calculatedColumnFormula>HEX2BIN(MID(Table1[[#This Row],[statusRaw]],1+HEX2DEC(LEFT(BB$1,2))*2, 2),8) &amp; " 0x" &amp;MID(Table1[[#This Row],[statusRaw]],1+HEX2DEC(LEFT(BB$1,2))*2, 2)</calculatedColumnFormula>
    </tableColumn>
    <tableColumn id="29" name="57 ???" dataDxfId="3">
      <calculatedColumnFormula>HEX2BIN(MID(Table1[[#This Row],[statusRaw]],1+HEX2DEC(LEFT(BC$1,2))*2, 2),8) &amp; " 0x" &amp;MID(Table1[[#This Row],[statusRaw]],1+HEX2DEC(LEFT(BC$1,2))*2, 2)</calculatedColumnFormula>
    </tableColumn>
    <tableColumn id="30" name="58 - sensor active (4)2" dataDxfId="2">
      <calculatedColumnFormula>MID(Table1[[#This Row],[statusRaw]],1+HEX2DEC(LEFT(BD$1,2))*2, 8)</calculatedColumnFormula>
    </tableColumn>
    <tableColumn id="31" name="5C - sensor active (4)" dataDxfId="1">
      <calculatedColumnFormula>MID(Table1[[#This Row],[statusRaw]],1+HEX2DEC(LEFT(BE$1,2))*2, 8)</calculatedColumnFormula>
    </tableColumn>
    <tableColumn id="32" name="Comments / observation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9"/>
  <sheetViews>
    <sheetView topLeftCell="AI1" zoomScaleNormal="100" workbookViewId="0">
      <selection activeCell="AQ2" sqref="AQ2"/>
    </sheetView>
  </sheetViews>
  <sheetFormatPr defaultRowHeight="15" outlineLevelCol="1" x14ac:dyDescent="0.25"/>
  <cols>
    <col min="1" max="1" width="43.28515625" style="1" hidden="1" customWidth="1" outlineLevel="1"/>
    <col min="2" max="2" width="23.5703125" style="1" bestFit="1" customWidth="1" collapsed="1"/>
    <col min="3" max="3" width="22" style="1" customWidth="1" outlineLevel="1"/>
    <col min="4" max="4" width="64.140625" style="1" customWidth="1" outlineLevel="1"/>
    <col min="5" max="5" width="7.7109375" style="1" customWidth="1"/>
    <col min="6" max="6" width="16" style="1" bestFit="1" customWidth="1"/>
    <col min="7" max="14" width="8.85546875" style="1" customWidth="1" outlineLevel="1"/>
    <col min="15" max="16" width="10.140625" style="1" customWidth="1" outlineLevel="1"/>
    <col min="17" max="17" width="11.28515625" style="1" customWidth="1" outlineLevel="1"/>
    <col min="18" max="18" width="16" style="1" bestFit="1" customWidth="1" outlineLevel="1"/>
    <col min="19" max="20" width="11.7109375" style="1" customWidth="1"/>
    <col min="21" max="21" width="16" style="1" bestFit="1" customWidth="1"/>
    <col min="22" max="23" width="16" style="1" customWidth="1"/>
    <col min="24" max="24" width="14.7109375" style="1" bestFit="1" customWidth="1"/>
    <col min="25" max="25" width="14.7109375" style="1" customWidth="1"/>
    <col min="26" max="27" width="7.7109375" style="1" customWidth="1"/>
    <col min="28" max="28" width="11.140625" style="1" customWidth="1"/>
    <col min="29" max="30" width="7.7109375" style="1" customWidth="1"/>
    <col min="31" max="31" width="11.28515625" style="1" bestFit="1" customWidth="1"/>
    <col min="32" max="32" width="10.42578125" customWidth="1"/>
    <col min="33" max="33" width="13.7109375" bestFit="1" customWidth="1"/>
    <col min="34" max="34" width="10.5703125" customWidth="1"/>
    <col min="35" max="35" width="11.5703125" customWidth="1"/>
    <col min="36" max="36" width="16.42578125" customWidth="1"/>
    <col min="37" max="38" width="16" bestFit="1" customWidth="1"/>
    <col min="39" max="39" width="16.5703125" customWidth="1"/>
    <col min="40" max="40" width="16.140625" customWidth="1"/>
    <col min="41" max="41" width="14.140625" customWidth="1"/>
    <col min="42" max="42" width="16" customWidth="1"/>
    <col min="43" max="43" width="15.28515625" customWidth="1"/>
    <col min="44" max="44" width="7.140625" customWidth="1"/>
    <col min="45" max="45" width="14.140625" customWidth="1"/>
    <col min="46" max="46" width="9.140625" customWidth="1"/>
    <col min="47" max="47" width="16" bestFit="1" customWidth="1"/>
    <col min="48" max="48" width="8" customWidth="1"/>
    <col min="49" max="49" width="16" customWidth="1" outlineLevel="1"/>
    <col min="50" max="50" width="16.7109375" customWidth="1" outlineLevel="1"/>
    <col min="51" max="51" width="12.140625" style="1" customWidth="1" outlineLevel="1"/>
    <col min="52" max="52" width="12.140625" customWidth="1" outlineLevel="1"/>
    <col min="53" max="53" width="16" customWidth="1" outlineLevel="1" collapsed="1"/>
    <col min="54" max="55" width="16" customWidth="1" outlineLevel="1"/>
    <col min="56" max="57" width="10.140625" bestFit="1" customWidth="1"/>
    <col min="58" max="58" width="41.7109375" customWidth="1"/>
  </cols>
  <sheetData>
    <row r="1" spans="1:58" s="8" customFormat="1" ht="7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2" t="s">
        <v>378</v>
      </c>
      <c r="G1" s="7" t="s">
        <v>385</v>
      </c>
      <c r="H1" s="7" t="s">
        <v>379</v>
      </c>
      <c r="I1" s="7" t="s">
        <v>380</v>
      </c>
      <c r="J1" s="7" t="s">
        <v>386</v>
      </c>
      <c r="K1" s="7" t="s">
        <v>381</v>
      </c>
      <c r="L1" s="7" t="s">
        <v>382</v>
      </c>
      <c r="M1" s="7" t="s">
        <v>383</v>
      </c>
      <c r="N1" s="7" t="s">
        <v>384</v>
      </c>
      <c r="O1" s="7" t="s">
        <v>387</v>
      </c>
      <c r="P1" s="7" t="s">
        <v>388</v>
      </c>
      <c r="Q1" s="7" t="s">
        <v>389</v>
      </c>
      <c r="R1" s="7" t="s">
        <v>390</v>
      </c>
      <c r="S1" s="12" t="s">
        <v>391</v>
      </c>
      <c r="T1" s="12" t="s">
        <v>392</v>
      </c>
      <c r="U1" s="7" t="s">
        <v>393</v>
      </c>
      <c r="V1" s="12" t="s">
        <v>394</v>
      </c>
      <c r="W1" s="12" t="s">
        <v>395</v>
      </c>
      <c r="X1" s="12" t="s">
        <v>396</v>
      </c>
      <c r="Y1" s="12" t="s">
        <v>397</v>
      </c>
      <c r="Z1" s="7" t="s">
        <v>377</v>
      </c>
      <c r="AA1" s="12" t="s">
        <v>375</v>
      </c>
      <c r="AB1" s="12" t="s">
        <v>376</v>
      </c>
      <c r="AC1" s="7" t="s">
        <v>373</v>
      </c>
      <c r="AD1" s="7" t="s">
        <v>372</v>
      </c>
      <c r="AE1" s="7" t="s">
        <v>371</v>
      </c>
      <c r="AF1" s="12" t="s">
        <v>352</v>
      </c>
      <c r="AG1" s="12" t="s">
        <v>398</v>
      </c>
      <c r="AH1" s="7" t="s">
        <v>353</v>
      </c>
      <c r="AI1" s="7" t="s">
        <v>354</v>
      </c>
      <c r="AJ1" s="12" t="s">
        <v>355</v>
      </c>
      <c r="AK1" s="12" t="s">
        <v>343</v>
      </c>
      <c r="AL1" s="12" t="s">
        <v>329</v>
      </c>
      <c r="AM1" s="12" t="s">
        <v>356</v>
      </c>
      <c r="AN1" s="7" t="s">
        <v>357</v>
      </c>
      <c r="AO1" s="7" t="s">
        <v>351</v>
      </c>
      <c r="AP1" s="7" t="s">
        <v>344</v>
      </c>
      <c r="AQ1" s="12" t="s">
        <v>400</v>
      </c>
      <c r="AR1" s="7" t="s">
        <v>346</v>
      </c>
      <c r="AS1" s="7" t="s">
        <v>347</v>
      </c>
      <c r="AT1" s="7" t="s">
        <v>350</v>
      </c>
      <c r="AU1" s="7" t="s">
        <v>358</v>
      </c>
      <c r="AV1" s="12" t="s">
        <v>399</v>
      </c>
      <c r="AW1" s="7" t="s">
        <v>359</v>
      </c>
      <c r="AX1" s="7" t="s">
        <v>360</v>
      </c>
      <c r="AY1" s="7" t="s">
        <v>361</v>
      </c>
      <c r="AZ1" s="7" t="s">
        <v>362</v>
      </c>
      <c r="BA1" s="7" t="s">
        <v>363</v>
      </c>
      <c r="BB1" s="7" t="s">
        <v>364</v>
      </c>
      <c r="BC1" s="7" t="s">
        <v>365</v>
      </c>
      <c r="BD1" s="7" t="s">
        <v>366</v>
      </c>
      <c r="BE1" s="7" t="s">
        <v>367</v>
      </c>
      <c r="BF1" s="7" t="s">
        <v>368</v>
      </c>
    </row>
    <row r="2" spans="1:58" x14ac:dyDescent="0.25">
      <c r="A2" s="1" t="s">
        <v>5</v>
      </c>
      <c r="B2" s="1" t="s">
        <v>6</v>
      </c>
      <c r="C2" s="1" t="s">
        <v>7</v>
      </c>
      <c r="D2" s="1" t="s">
        <v>8</v>
      </c>
      <c r="E2" s="1">
        <v>1</v>
      </c>
      <c r="F2" s="1" t="str">
        <f>HEX2BIN(MID(Table1[[#This Row],[statusRaw]],1+HEX2DEC(LEFT(F$1,2))*2, 2),8) &amp; " 0x" &amp;MID(Table1[[#This Row],[statusRaw]],1+HEX2DEC(LEFT(F$1,2))*2, 2)</f>
        <v>01010000 0x50</v>
      </c>
      <c r="G2" s="1" t="b">
        <f>MID(Table1[[#This Row],[03 - pump status (1)]],1,1)="1"</f>
        <v>0</v>
      </c>
      <c r="H2" s="1" t="b">
        <f>MID(Table1[[#This Row],[03 - pump status (1)]],2,1)="1"</f>
        <v>1</v>
      </c>
      <c r="I2" s="1" t="b">
        <f>MID(Table1[[#This Row],[03 - pump status (1)]],3,1)="1"</f>
        <v>0</v>
      </c>
      <c r="J2" s="1" t="b">
        <f>MID(Table1[[#This Row],[03 - pump status (1)]],4,1)="1"</f>
        <v>1</v>
      </c>
      <c r="K2" s="1" t="b">
        <f>MID(Table1[[#This Row],[03 - pump status (1)]],5,1)="1"</f>
        <v>0</v>
      </c>
      <c r="L2" s="1" t="b">
        <f>MID(Table1[[#This Row],[03 - pump status (1)]],6,1)="1"</f>
        <v>0</v>
      </c>
      <c r="M2" s="1" t="b">
        <f>MID(Table1[[#This Row],[03 - pump status (1)]],7,1)="1"</f>
        <v>0</v>
      </c>
      <c r="N2" s="1" t="b">
        <f>MID(Table1[[#This Row],[03 - pump status (1)]],8,1)="1"</f>
        <v>0</v>
      </c>
      <c r="O2" s="3" t="str">
        <f>MID(Table1[[#This Row],[statusRaw]],1+HEX2DEC(LEFT(O$1,2))*2, 8)</f>
        <v>00000000</v>
      </c>
      <c r="P2" s="3" t="str">
        <f>MID(Table1[[#This Row],[statusRaw]],1+HEX2DEC(LEFT(P$1,2))*2, 8)</f>
        <v>00000000</v>
      </c>
      <c r="Q2" s="1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2" s="1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2" s="3">
        <f>HEX2DEC(MID(Table1[[#This Row],[statusRaw]],1+HEX2DEC(LEFT(S$1,2))*2, 8))/10000</f>
        <v>0.7</v>
      </c>
      <c r="T2" s="3" t="str">
        <f>MID(Table1[[#This Row],[statusRaw]],1+HEX2DEC(LEFT(T$1,2))*2, 8)</f>
        <v>278A4116</v>
      </c>
      <c r="U2" s="1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2" s="1" t="str">
        <f>HEX2BIN(MID(Table1[[#This Row],[statusRaw]],1+HEX2DEC(LEFT(V$1,2))*2, 2),8) &amp; " 0x" &amp;MID(Table1[[#This Row],[statusRaw]],1+HEX2DEC(LEFT(V$1,2))*2, 2)</f>
        <v>00000001 0x01</v>
      </c>
      <c r="W2" s="3">
        <f>HEX2DEC(MID(Table1[[#This Row],[statusRaw]],1+HEX2DEC(LEFT(W$1,2))*2, 8))/10000</f>
        <v>0.42499999999999999</v>
      </c>
      <c r="X2" s="3">
        <f>HEX2DEC(MID(Table1[[#This Row],[statusRaw]],1+HEX2DEC(LEFT(X$1,2))*2, 8))/10000</f>
        <v>0</v>
      </c>
      <c r="Y2" s="1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2" s="3">
        <f>HEX2DEC(MID(Table1[[#This Row],[statusRaw]],1+HEX2DEC(LEFT(Z$1,2))*2, 8))/10000</f>
        <v>0.57499999999999996</v>
      </c>
      <c r="AA2" s="1">
        <f>HEX2DEC(MID(Table1[[#This Row],[statusRaw]],1+HEX2DEC(LEFT(AA$1,2))*2, 2))</f>
        <v>50</v>
      </c>
      <c r="AB2" s="3">
        <f>HEX2DEC(MID(Table1[[#This Row],[statusRaw]],1+HEX2DEC(LEFT(AB$1,2))*2, 8))/10000</f>
        <v>214.27500000000001</v>
      </c>
      <c r="AC2" s="1">
        <f>HEX2DEC(MID(Table1[[#This Row],[statusRaw]],1+HEX2DEC(LEFT(AC$1,2))*2, 2))</f>
        <v>25</v>
      </c>
      <c r="AD2" s="1">
        <f>HEX2DEC(MID(Table1[[#This Row],[statusRaw]],1+HEX2DEC(LEFT(AD$1,2))*2, 2))</f>
        <v>0</v>
      </c>
      <c r="AE2" s="3">
        <f>HEX2DEC(MID(Table1[[#This Row],[statusRaw]],1+HEX2DEC(LEFT(AE$1,2))*2, 8))/10000</f>
        <v>0</v>
      </c>
      <c r="AF2" s="1">
        <f>IF(AND(Table1[[#This Row],[cgm]],NOT(Table1[[#This Row],[35 - SGV special bit (2)]])), _xlfn.BITAND(HEX2DEC(MID(Table1[[#This Row],[statusRaw]],1+HEX2DEC(LEFT(AF$1,2))*2, 4)),HEX2DEC("1FF")),"")</f>
        <v>157</v>
      </c>
      <c r="AG2" s="1" t="b">
        <f>_xlfn.BITAND(HEX2DEC(MID(Table1[[#This Row],[statusRaw]],1+HEX2DEC(LEFT(AG$1,2))*2, 4)),512)=512</f>
        <v>0</v>
      </c>
      <c r="AH2" s="3" t="str">
        <f>MID(Table1[[#This Row],[statusRaw]],1+HEX2DEC(LEFT(AF$1,2))*2, 8)</f>
        <v>009D8674</v>
      </c>
      <c r="AI2" s="3" t="str">
        <f>MID(Table1[[#This Row],[statusRaw]],1+HEX2DEC(LEFT(AH$1,2))*2, 8)</f>
        <v>867476D3</v>
      </c>
      <c r="AJ2" s="1" t="str">
        <f>HEX2BIN(MID(Table1[[#This Row],[statusRaw]],1+HEX2DEC(LEFT(AJ$1,2))*2, 2),8) &amp; " 0x" &amp;MID(Table1[[#This Row],[statusRaw]],1+HEX2DEC(LEFT(AJ$1,2))*2, 2)</f>
        <v>00000000 0x00</v>
      </c>
      <c r="AK2" s="1" t="str">
        <f>HEX2BIN(MID(Table1[[#This Row],[statusRaw]],1+HEX2DEC(LEFT(AK$1,2))*2, 2),8) &amp; " 0x" &amp;MID(Table1[[#This Row],[statusRaw]],1+HEX2DEC(LEFT(AK$1,2))*2, 2)</f>
        <v>01100000 0x60</v>
      </c>
      <c r="AL2" s="1" t="str">
        <f>VLOOKUP(Table1[[#This Row],[40 trend]],'Arrow status mapping'!$A$1:$B$8,2,FALSE)</f>
        <v>No arrows</v>
      </c>
      <c r="AM2" s="1" t="str">
        <f>HEX2BIN(MID(Table1[[#This Row],[statusRaw]],1+HEX2DEC(LEFT(AM$1,2))*2, 2),8) &amp; " 0x" &amp;MID(Table1[[#This Row],[statusRaw]],1+HEX2DEC(LEFT(AM$1,2))*2, 2)</f>
        <v>00010000 0x10</v>
      </c>
      <c r="AN2" s="1" t="str">
        <f>HEX2BIN(MID(Table1[[#This Row],[statusRaw]],1+HEX2DEC(LEFT(AN$1,2))*2, 2),8) &amp; " 0x" &amp;MID(Table1[[#This Row],[statusRaw]],1+HEX2DEC(LEFT(AN$1,2))*2, 2)</f>
        <v>00000000 0x00</v>
      </c>
      <c r="AO2" s="1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0x0276 630</v>
      </c>
      <c r="AP2" s="1" t="str">
        <f>HEX2BIN(MID(Table1[[#This Row],[statusRaw]],1+HEX2DEC(LEFT(AP$1,2))*2, 2),8) &amp; " 0x" &amp;MID(Table1[[#This Row],[statusRaw]],1+HEX2DEC(LEFT(AP$1,2))*2, 2)</f>
        <v>00101010 0x2A</v>
      </c>
      <c r="AQ2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0x004F 79</v>
      </c>
      <c r="AR2" s="3">
        <f>TRUNC(_xlfn.NUMBERVALUE(RIGHT(Table1[[#This Row],[46 rate of change (2)]],LEN(Table1[[#This Row],[46 rate of change (2)]])-7))/100)</f>
        <v>0</v>
      </c>
      <c r="AS2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2" s="3" t="b">
        <f>Table1[[#This Row],[calc arrow]]=Table1[[#This Row],[trend]]</f>
        <v>1</v>
      </c>
      <c r="AU2" s="3" t="str">
        <f>HEX2BIN(MID(Table1[[#This Row],[statusRaw]],1+HEX2DEC(LEFT(AU$1,2))*2, 2),8) &amp; " 0x" &amp;MID(Table1[[#This Row],[statusRaw]],1+HEX2DEC(LEFT(AU$1,2))*2, 2)</f>
        <v>00000000 0x00</v>
      </c>
      <c r="AV2" s="3">
        <f>HEX2DEC(MID(Table1[[#This Row],[statusRaw]],1+HEX2DEC(LEFT(AV$1,2))*2, 4))</f>
        <v>0</v>
      </c>
      <c r="AW2" s="3" t="str">
        <f>HEX2BIN(MID(Table1[[#This Row],[statusRaw]],1+HEX2DEC(LEFT(AW$1,2))*2, 2),8) &amp; " 0x" &amp;MID(Table1[[#This Row],[statusRaw]],1+HEX2DEC(LEFT(AW$1,2))*2, 2)</f>
        <v>00000000 0x00</v>
      </c>
      <c r="AX2" s="3" t="str">
        <f>HEX2BIN(MID(Table1[[#This Row],[statusRaw]],1+HEX2DEC(LEFT(AX$1,2))*2, 2),8) &amp; " 0x" &amp;MID(Table1[[#This Row],[statusRaw]],1+HEX2DEC(LEFT(AX$1,2))*2, 2)</f>
        <v>00000000 0x00</v>
      </c>
      <c r="AY2" s="3" t="str">
        <f>MID(Table1[[#This Row],[statusRaw]],1+HEX2DEC(LEFT(AY$1,2))*2, 8)</f>
        <v>00000000</v>
      </c>
      <c r="AZ2" s="3" t="str">
        <f>MID(Table1[[#This Row],[statusRaw]],1+HEX2DEC(LEFT(AZ$1,2))*2, 8)</f>
        <v>00000000</v>
      </c>
      <c r="BA2" s="3" t="str">
        <f>HEX2BIN(MID(Table1[[#This Row],[statusRaw]],1+HEX2DEC(LEFT(BA$1,2))*2, 2),8) &amp; " 0x" &amp;MID(Table1[[#This Row],[statusRaw]],1+HEX2DEC(LEFT(BA$1,2))*2, 2)</f>
        <v>00000000 0x00</v>
      </c>
      <c r="BB2" s="3" t="str">
        <f>HEX2BIN(MID(Table1[[#This Row],[statusRaw]],1+HEX2DEC(LEFT(BB$1,2))*2, 2),8) &amp; " 0x" &amp;MID(Table1[[#This Row],[statusRaw]],1+HEX2DEC(LEFT(BB$1,2))*2, 2)</f>
        <v>00000000 0x00</v>
      </c>
      <c r="BC2" s="3" t="str">
        <f>HEX2BIN(MID(Table1[[#This Row],[statusRaw]],1+HEX2DEC(LEFT(BC$1,2))*2, 2),8) &amp; " 0x" &amp;MID(Table1[[#This Row],[statusRaw]],1+HEX2DEC(LEFT(BC$1,2))*2, 2)</f>
        <v>00000000 0x00</v>
      </c>
      <c r="BD2" s="3" t="str">
        <f>MID(Table1[[#This Row],[statusRaw]],1+HEX2DEC(LEFT(BD$1,2))*2, 8)</f>
        <v>000008C7</v>
      </c>
      <c r="BE2" s="3" t="str">
        <f>MID(Table1[[#This Row],[statusRaw]],1+HEX2DEC(LEFT(BE$1,2))*2, 8)</f>
        <v>000008C7</v>
      </c>
      <c r="BF2" s="9"/>
    </row>
    <row r="3" spans="1:58" x14ac:dyDescent="0.25">
      <c r="A3" s="1" t="s">
        <v>9</v>
      </c>
      <c r="B3" s="1" t="s">
        <v>10</v>
      </c>
      <c r="C3" s="1" t="s">
        <v>7</v>
      </c>
      <c r="D3" s="1" t="s">
        <v>11</v>
      </c>
      <c r="E3" s="1">
        <v>1</v>
      </c>
      <c r="F3" s="3" t="str">
        <f>HEX2BIN(MID(Table1[[#This Row],[statusRaw]],1+HEX2DEC(LEFT(F$1,2))*2, 2),8) &amp; " 0x" &amp;MID(Table1[[#This Row],[statusRaw]],1+HEX2DEC(LEFT(F$1,2))*2, 2)</f>
        <v>01010000 0x50</v>
      </c>
      <c r="G3" s="3" t="b">
        <f>MID(Table1[[#This Row],[03 - pump status (1)]],1,1)="1"</f>
        <v>0</v>
      </c>
      <c r="H3" s="3" t="b">
        <f>MID(Table1[[#This Row],[03 - pump status (1)]],2,1)="1"</f>
        <v>1</v>
      </c>
      <c r="I3" s="3" t="b">
        <f>MID(Table1[[#This Row],[03 - pump status (1)]],3,1)="1"</f>
        <v>0</v>
      </c>
      <c r="J3" s="3" t="b">
        <f>MID(Table1[[#This Row],[03 - pump status (1)]],4,1)="1"</f>
        <v>1</v>
      </c>
      <c r="K3" s="3" t="b">
        <f>MID(Table1[[#This Row],[03 - pump status (1)]],5,1)="1"</f>
        <v>0</v>
      </c>
      <c r="L3" s="3" t="b">
        <f>MID(Table1[[#This Row],[03 - pump status (1)]],6,1)="1"</f>
        <v>0</v>
      </c>
      <c r="M3" s="3" t="b">
        <f>MID(Table1[[#This Row],[03 - pump status (1)]],7,1)="1"</f>
        <v>0</v>
      </c>
      <c r="N3" s="3" t="b">
        <f>MID(Table1[[#This Row],[03 - pump status (1)]],8,1)="1"</f>
        <v>0</v>
      </c>
      <c r="O3" s="3" t="str">
        <f>MID(Table1[[#This Row],[statusRaw]],1+HEX2DEC(LEFT(O$1,2))*2, 8)</f>
        <v>00000000</v>
      </c>
      <c r="P3" s="3" t="str">
        <f>MID(Table1[[#This Row],[statusRaw]],1+HEX2DEC(LEFT(P$1,2))*2, 8)</f>
        <v>00000000</v>
      </c>
      <c r="Q3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3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3" s="3">
        <f>HEX2DEC(MID(Table1[[#This Row],[statusRaw]],1+HEX2DEC(LEFT(S$1,2))*2, 8))/10000</f>
        <v>0.7</v>
      </c>
      <c r="T3" s="3" t="str">
        <f>MID(Table1[[#This Row],[statusRaw]],1+HEX2DEC(LEFT(T$1,2))*2, 8)</f>
        <v>278A4116</v>
      </c>
      <c r="U3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3" s="3" t="str">
        <f>HEX2BIN(MID(Table1[[#This Row],[statusRaw]],1+HEX2DEC(LEFT(V$1,2))*2, 2),8) &amp; " 0x" &amp;MID(Table1[[#This Row],[statusRaw]],1+HEX2DEC(LEFT(V$1,2))*2, 2)</f>
        <v>00000001 0x01</v>
      </c>
      <c r="W3" s="3">
        <f>HEX2DEC(MID(Table1[[#This Row],[statusRaw]],1+HEX2DEC(LEFT(W$1,2))*2, 8))/10000</f>
        <v>0.42499999999999999</v>
      </c>
      <c r="X3" s="3">
        <f>HEX2DEC(MID(Table1[[#This Row],[statusRaw]],1+HEX2DEC(LEFT(X$1,2))*2, 8))/10000</f>
        <v>0</v>
      </c>
      <c r="Y3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3" s="3">
        <f>HEX2DEC(MID(Table1[[#This Row],[statusRaw]],1+HEX2DEC(LEFT(Z$1,2))*2, 8))/10000</f>
        <v>0.52500000000000002</v>
      </c>
      <c r="AA3" s="3">
        <f>HEX2DEC(MID(Table1[[#This Row],[statusRaw]],1+HEX2DEC(LEFT(AA$1,2))*2, 2))</f>
        <v>50</v>
      </c>
      <c r="AB3" s="3">
        <f>HEX2DEC(MID(Table1[[#This Row],[statusRaw]],1+HEX2DEC(LEFT(AB$1,2))*2, 8))/10000</f>
        <v>214.32499999999999</v>
      </c>
      <c r="AC3" s="3">
        <f>HEX2DEC(MID(Table1[[#This Row],[statusRaw]],1+HEX2DEC(LEFT(AC$1,2))*2, 2))</f>
        <v>25</v>
      </c>
      <c r="AD3" s="3">
        <f>HEX2DEC(MID(Table1[[#This Row],[statusRaw]],1+HEX2DEC(LEFT(AD$1,2))*2, 2))</f>
        <v>0</v>
      </c>
      <c r="AE3" s="3">
        <f>HEX2DEC(MID(Table1[[#This Row],[statusRaw]],1+HEX2DEC(LEFT(AE$1,2))*2, 8))/10000</f>
        <v>0</v>
      </c>
      <c r="AF3" s="3">
        <f>IF(AND(Table1[[#This Row],[cgm]],NOT(Table1[[#This Row],[35 - SGV special bit (2)]])), _xlfn.BITAND(HEX2DEC(MID(Table1[[#This Row],[statusRaw]],1+HEX2DEC(LEFT(AF$1,2))*2, 4)),HEX2DEC("1FF")),"")</f>
        <v>152</v>
      </c>
      <c r="AG3" s="3" t="b">
        <f>_xlfn.BITAND(HEX2DEC(MID(Table1[[#This Row],[statusRaw]],1+HEX2DEC(LEFT(AG$1,2))*2, 4)),512)=512</f>
        <v>0</v>
      </c>
      <c r="AH3" s="3" t="str">
        <f>MID(Table1[[#This Row],[statusRaw]],1+HEX2DEC(LEFT(AF$1,2))*2, 8)</f>
        <v>00988674</v>
      </c>
      <c r="AI3" s="3" t="str">
        <f>MID(Table1[[#This Row],[statusRaw]],1+HEX2DEC(LEFT(AH$1,2))*2, 8)</f>
        <v>867475A7</v>
      </c>
      <c r="AJ3" s="3" t="str">
        <f>HEX2BIN(MID(Table1[[#This Row],[statusRaw]],1+HEX2DEC(LEFT(AJ$1,2))*2, 2),8) &amp; " 0x" &amp;MID(Table1[[#This Row],[statusRaw]],1+HEX2DEC(LEFT(AJ$1,2))*2, 2)</f>
        <v>00000000 0x00</v>
      </c>
      <c r="AK3" s="1" t="str">
        <f>HEX2BIN(MID(Table1[[#This Row],[statusRaw]],1+HEX2DEC(LEFT(AK$1,2))*2, 2),8) &amp; " 0x" &amp;MID(Table1[[#This Row],[statusRaw]],1+HEX2DEC(LEFT(AK$1,2))*2, 2)</f>
        <v>10000000 0x80</v>
      </c>
      <c r="AL3" s="1" t="str">
        <f>VLOOKUP(Table1[[#This Row],[40 trend]],'Arrow status mapping'!$A$1:$B$8,2,FALSE)</f>
        <v>1 arrows up</v>
      </c>
      <c r="AM3" s="3" t="str">
        <f>HEX2BIN(MID(Table1[[#This Row],[statusRaw]],1+HEX2DEC(LEFT(AM$1,2))*2, 2),8) &amp; " 0x" &amp;MID(Table1[[#This Row],[statusRaw]],1+HEX2DEC(LEFT(AM$1,2))*2, 2)</f>
        <v>00010000 0x10</v>
      </c>
      <c r="AN3" s="3" t="str">
        <f>HEX2BIN(MID(Table1[[#This Row],[statusRaw]],1+HEX2DEC(LEFT(AN$1,2))*2, 2),8) &amp; " 0x" &amp;MID(Table1[[#This Row],[statusRaw]],1+HEX2DEC(LEFT(AN$1,2))*2, 2)</f>
        <v>00000000 0x00</v>
      </c>
      <c r="AO3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0x027B 635</v>
      </c>
      <c r="AP3" s="1" t="str">
        <f>HEX2BIN(MID(Table1[[#This Row],[statusRaw]],1+HEX2DEC(LEFT(AP$1,2))*2, 2),8) &amp; " 0x" &amp;MID(Table1[[#This Row],[statusRaw]],1+HEX2DEC(LEFT(AP$1,2))*2, 2)</f>
        <v>00101010 0x2A</v>
      </c>
      <c r="AQ3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0x006B 107</v>
      </c>
      <c r="AR3" s="3">
        <f>TRUNC(_xlfn.NUMBERVALUE(RIGHT(Table1[[#This Row],[46 rate of change (2)]],LEN(Table1[[#This Row],[46 rate of change (2)]])-7))/100)</f>
        <v>1</v>
      </c>
      <c r="AS3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up</v>
      </c>
      <c r="AT3" s="3" t="b">
        <f>Table1[[#This Row],[calc arrow]]=Table1[[#This Row],[trend]]</f>
        <v>1</v>
      </c>
      <c r="AU3" s="3" t="str">
        <f>HEX2BIN(MID(Table1[[#This Row],[statusRaw]],1+HEX2DEC(LEFT(AU$1,2))*2, 2),8) &amp; " 0x" &amp;MID(Table1[[#This Row],[statusRaw]],1+HEX2DEC(LEFT(AU$1,2))*2, 2)</f>
        <v>00000000 0x00</v>
      </c>
      <c r="AV3" s="3">
        <f>HEX2DEC(MID(Table1[[#This Row],[statusRaw]],1+HEX2DEC(LEFT(AV$1,2))*2, 4))</f>
        <v>0</v>
      </c>
      <c r="AW3" s="3" t="str">
        <f>HEX2BIN(MID(Table1[[#This Row],[statusRaw]],1+HEX2DEC(LEFT(AW$1,2))*2, 2),8) &amp; " 0x" &amp;MID(Table1[[#This Row],[statusRaw]],1+HEX2DEC(LEFT(AW$1,2))*2, 2)</f>
        <v>00000000 0x00</v>
      </c>
      <c r="AX3" s="3" t="str">
        <f>HEX2BIN(MID(Table1[[#This Row],[statusRaw]],1+HEX2DEC(LEFT(AX$1,2))*2, 2),8) &amp; " 0x" &amp;MID(Table1[[#This Row],[statusRaw]],1+HEX2DEC(LEFT(AX$1,2))*2, 2)</f>
        <v>00000000 0x00</v>
      </c>
      <c r="AY3" s="3" t="str">
        <f>MID(Table1[[#This Row],[statusRaw]],1+HEX2DEC(LEFT(AY$1,2))*2, 8)</f>
        <v>00000000</v>
      </c>
      <c r="AZ3" s="3" t="str">
        <f>MID(Table1[[#This Row],[statusRaw]],1+HEX2DEC(LEFT(AZ$1,2))*2, 8)</f>
        <v>00000000</v>
      </c>
      <c r="BA3" s="3" t="str">
        <f>HEX2BIN(MID(Table1[[#This Row],[statusRaw]],1+HEX2DEC(LEFT(BA$1,2))*2, 2),8) &amp; " 0x" &amp;MID(Table1[[#This Row],[statusRaw]],1+HEX2DEC(LEFT(BA$1,2))*2, 2)</f>
        <v>00000000 0x00</v>
      </c>
      <c r="BB3" s="3" t="str">
        <f>HEX2BIN(MID(Table1[[#This Row],[statusRaw]],1+HEX2DEC(LEFT(BB$1,2))*2, 2),8) &amp; " 0x" &amp;MID(Table1[[#This Row],[statusRaw]],1+HEX2DEC(LEFT(BB$1,2))*2, 2)</f>
        <v>00000000 0x00</v>
      </c>
      <c r="BC3" s="3" t="str">
        <f>HEX2BIN(MID(Table1[[#This Row],[statusRaw]],1+HEX2DEC(LEFT(BC$1,2))*2, 2),8) &amp; " 0x" &amp;MID(Table1[[#This Row],[statusRaw]],1+HEX2DEC(LEFT(BC$1,2))*2, 2)</f>
        <v>00000000 0x00</v>
      </c>
      <c r="BD3" s="3" t="str">
        <f>MID(Table1[[#This Row],[statusRaw]],1+HEX2DEC(LEFT(BD$1,2))*2, 8)</f>
        <v>000008C7</v>
      </c>
      <c r="BE3" s="3" t="str">
        <f>MID(Table1[[#This Row],[statusRaw]],1+HEX2DEC(LEFT(BE$1,2))*2, 8)</f>
        <v>000008C7</v>
      </c>
      <c r="BF3" s="9"/>
    </row>
    <row r="4" spans="1:58" x14ac:dyDescent="0.25">
      <c r="A4" s="1" t="s">
        <v>12</v>
      </c>
      <c r="B4" s="1" t="s">
        <v>13</v>
      </c>
      <c r="C4" s="1" t="s">
        <v>7</v>
      </c>
      <c r="D4" s="1" t="s">
        <v>14</v>
      </c>
      <c r="E4" s="1">
        <v>1</v>
      </c>
      <c r="F4" s="3" t="str">
        <f>HEX2BIN(MID(Table1[[#This Row],[statusRaw]],1+HEX2DEC(LEFT(F$1,2))*2, 2),8) &amp; " 0x" &amp;MID(Table1[[#This Row],[statusRaw]],1+HEX2DEC(LEFT(F$1,2))*2, 2)</f>
        <v>01010000 0x50</v>
      </c>
      <c r="G4" s="3" t="b">
        <f>MID(Table1[[#This Row],[03 - pump status (1)]],1,1)="1"</f>
        <v>0</v>
      </c>
      <c r="H4" s="3" t="b">
        <f>MID(Table1[[#This Row],[03 - pump status (1)]],2,1)="1"</f>
        <v>1</v>
      </c>
      <c r="I4" s="3" t="b">
        <f>MID(Table1[[#This Row],[03 - pump status (1)]],3,1)="1"</f>
        <v>0</v>
      </c>
      <c r="J4" s="3" t="b">
        <f>MID(Table1[[#This Row],[03 - pump status (1)]],4,1)="1"</f>
        <v>1</v>
      </c>
      <c r="K4" s="3" t="b">
        <f>MID(Table1[[#This Row],[03 - pump status (1)]],5,1)="1"</f>
        <v>0</v>
      </c>
      <c r="L4" s="3" t="b">
        <f>MID(Table1[[#This Row],[03 - pump status (1)]],6,1)="1"</f>
        <v>0</v>
      </c>
      <c r="M4" s="3" t="b">
        <f>MID(Table1[[#This Row],[03 - pump status (1)]],7,1)="1"</f>
        <v>0</v>
      </c>
      <c r="N4" s="3" t="b">
        <f>MID(Table1[[#This Row],[03 - pump status (1)]],8,1)="1"</f>
        <v>0</v>
      </c>
      <c r="O4" s="3" t="str">
        <f>MID(Table1[[#This Row],[statusRaw]],1+HEX2DEC(LEFT(O$1,2))*2, 8)</f>
        <v>00000000</v>
      </c>
      <c r="P4" s="3" t="str">
        <f>MID(Table1[[#This Row],[statusRaw]],1+HEX2DEC(LEFT(P$1,2))*2, 8)</f>
        <v>00000000</v>
      </c>
      <c r="Q4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4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4" s="3">
        <f>HEX2DEC(MID(Table1[[#This Row],[statusRaw]],1+HEX2DEC(LEFT(S$1,2))*2, 8))/10000</f>
        <v>0.7</v>
      </c>
      <c r="T4" s="3" t="str">
        <f>MID(Table1[[#This Row],[statusRaw]],1+HEX2DEC(LEFT(T$1,2))*2, 8)</f>
        <v>278A4116</v>
      </c>
      <c r="U4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4" s="3" t="str">
        <f>HEX2BIN(MID(Table1[[#This Row],[statusRaw]],1+HEX2DEC(LEFT(V$1,2))*2, 2),8) &amp; " 0x" &amp;MID(Table1[[#This Row],[statusRaw]],1+HEX2DEC(LEFT(V$1,2))*2, 2)</f>
        <v>00000001 0x01</v>
      </c>
      <c r="W4" s="3">
        <f>HEX2DEC(MID(Table1[[#This Row],[statusRaw]],1+HEX2DEC(LEFT(W$1,2))*2, 8))/10000</f>
        <v>0.42499999999999999</v>
      </c>
      <c r="X4" s="3">
        <f>HEX2DEC(MID(Table1[[#This Row],[statusRaw]],1+HEX2DEC(LEFT(X$1,2))*2, 8))/10000</f>
        <v>0</v>
      </c>
      <c r="Y4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4" s="3">
        <f>HEX2DEC(MID(Table1[[#This Row],[statusRaw]],1+HEX2DEC(LEFT(Z$1,2))*2, 8))/10000</f>
        <v>0.5</v>
      </c>
      <c r="AA4" s="3">
        <f>HEX2DEC(MID(Table1[[#This Row],[statusRaw]],1+HEX2DEC(LEFT(AA$1,2))*2, 2))</f>
        <v>50</v>
      </c>
      <c r="AB4" s="3">
        <f>HEX2DEC(MID(Table1[[#This Row],[statusRaw]],1+HEX2DEC(LEFT(AB$1,2))*2, 8))/10000</f>
        <v>214.35</v>
      </c>
      <c r="AC4" s="3">
        <f>HEX2DEC(MID(Table1[[#This Row],[statusRaw]],1+HEX2DEC(LEFT(AC$1,2))*2, 2))</f>
        <v>25</v>
      </c>
      <c r="AD4" s="3">
        <f>HEX2DEC(MID(Table1[[#This Row],[statusRaw]],1+HEX2DEC(LEFT(AD$1,2))*2, 2))</f>
        <v>0</v>
      </c>
      <c r="AE4" s="3">
        <f>HEX2DEC(MID(Table1[[#This Row],[statusRaw]],1+HEX2DEC(LEFT(AE$1,2))*2, 8))/10000</f>
        <v>0</v>
      </c>
      <c r="AF4" s="3">
        <f>IF(AND(Table1[[#This Row],[cgm]],NOT(Table1[[#This Row],[35 - SGV special bit (2)]])), _xlfn.BITAND(HEX2DEC(MID(Table1[[#This Row],[statusRaw]],1+HEX2DEC(LEFT(AF$1,2))*2, 4)),HEX2DEC("1FF")),"")</f>
        <v>146</v>
      </c>
      <c r="AG4" s="3" t="b">
        <f>_xlfn.BITAND(HEX2DEC(MID(Table1[[#This Row],[statusRaw]],1+HEX2DEC(LEFT(AG$1,2))*2, 4)),512)=512</f>
        <v>0</v>
      </c>
      <c r="AH4" s="3" t="str">
        <f>MID(Table1[[#This Row],[statusRaw]],1+HEX2DEC(LEFT(AF$1,2))*2, 8)</f>
        <v>00928674</v>
      </c>
      <c r="AI4" s="3" t="str">
        <f>MID(Table1[[#This Row],[statusRaw]],1+HEX2DEC(LEFT(AH$1,2))*2, 8)</f>
        <v>8674747B</v>
      </c>
      <c r="AJ4" s="3" t="str">
        <f>HEX2BIN(MID(Table1[[#This Row],[statusRaw]],1+HEX2DEC(LEFT(AJ$1,2))*2, 2),8) &amp; " 0x" &amp;MID(Table1[[#This Row],[statusRaw]],1+HEX2DEC(LEFT(AJ$1,2))*2, 2)</f>
        <v>00000000 0x00</v>
      </c>
      <c r="AK4" s="1" t="str">
        <f>HEX2BIN(MID(Table1[[#This Row],[statusRaw]],1+HEX2DEC(LEFT(AK$1,2))*2, 2),8) &amp; " 0x" &amp;MID(Table1[[#This Row],[statusRaw]],1+HEX2DEC(LEFT(AK$1,2))*2, 2)</f>
        <v>01100000 0x60</v>
      </c>
      <c r="AL4" s="1" t="str">
        <f>VLOOKUP(Table1[[#This Row],[40 trend]],'Arrow status mapping'!$A$1:$B$8,2,FALSE)</f>
        <v>No arrows</v>
      </c>
      <c r="AM4" s="3" t="str">
        <f>HEX2BIN(MID(Table1[[#This Row],[statusRaw]],1+HEX2DEC(LEFT(AM$1,2))*2, 2),8) &amp; " 0x" &amp;MID(Table1[[#This Row],[statusRaw]],1+HEX2DEC(LEFT(AM$1,2))*2, 2)</f>
        <v>00010000 0x10</v>
      </c>
      <c r="AN4" s="3" t="str">
        <f>HEX2BIN(MID(Table1[[#This Row],[statusRaw]],1+HEX2DEC(LEFT(AN$1,2))*2, 2),8) &amp; " 0x" &amp;MID(Table1[[#This Row],[statusRaw]],1+HEX2DEC(LEFT(AN$1,2))*2, 2)</f>
        <v>00000000 0x00</v>
      </c>
      <c r="AO4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0x0280 640</v>
      </c>
      <c r="AP4" s="1" t="str">
        <f>HEX2BIN(MID(Table1[[#This Row],[statusRaw]],1+HEX2DEC(LEFT(AP$1,2))*2, 2),8) &amp; " 0x" &amp;MID(Table1[[#This Row],[statusRaw]],1+HEX2DEC(LEFT(AP$1,2))*2, 2)</f>
        <v>00101010 0x2A</v>
      </c>
      <c r="AQ4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0x0062 98</v>
      </c>
      <c r="AR4" s="3">
        <f>TRUNC(_xlfn.NUMBERVALUE(RIGHT(Table1[[#This Row],[46 rate of change (2)]],LEN(Table1[[#This Row],[46 rate of change (2)]])-7))/100)</f>
        <v>0</v>
      </c>
      <c r="AS4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4" s="3" t="b">
        <f>Table1[[#This Row],[calc arrow]]=Table1[[#This Row],[trend]]</f>
        <v>1</v>
      </c>
      <c r="AU4" s="3" t="str">
        <f>HEX2BIN(MID(Table1[[#This Row],[statusRaw]],1+HEX2DEC(LEFT(AU$1,2))*2, 2),8) &amp; " 0x" &amp;MID(Table1[[#This Row],[statusRaw]],1+HEX2DEC(LEFT(AU$1,2))*2, 2)</f>
        <v>00000000 0x00</v>
      </c>
      <c r="AV4" s="3">
        <f>HEX2DEC(MID(Table1[[#This Row],[statusRaw]],1+HEX2DEC(LEFT(AV$1,2))*2, 4))</f>
        <v>0</v>
      </c>
      <c r="AW4" s="3" t="str">
        <f>HEX2BIN(MID(Table1[[#This Row],[statusRaw]],1+HEX2DEC(LEFT(AW$1,2))*2, 2),8) &amp; " 0x" &amp;MID(Table1[[#This Row],[statusRaw]],1+HEX2DEC(LEFT(AW$1,2))*2, 2)</f>
        <v>00000000 0x00</v>
      </c>
      <c r="AX4" s="3" t="str">
        <f>HEX2BIN(MID(Table1[[#This Row],[statusRaw]],1+HEX2DEC(LEFT(AX$1,2))*2, 2),8) &amp; " 0x" &amp;MID(Table1[[#This Row],[statusRaw]],1+HEX2DEC(LEFT(AX$1,2))*2, 2)</f>
        <v>00000000 0x00</v>
      </c>
      <c r="AY4" s="3" t="str">
        <f>MID(Table1[[#This Row],[statusRaw]],1+HEX2DEC(LEFT(AY$1,2))*2, 8)</f>
        <v>00000000</v>
      </c>
      <c r="AZ4" s="3" t="str">
        <f>MID(Table1[[#This Row],[statusRaw]],1+HEX2DEC(LEFT(AZ$1,2))*2, 8)</f>
        <v>00000000</v>
      </c>
      <c r="BA4" s="3" t="str">
        <f>HEX2BIN(MID(Table1[[#This Row],[statusRaw]],1+HEX2DEC(LEFT(BA$1,2))*2, 2),8) &amp; " 0x" &amp;MID(Table1[[#This Row],[statusRaw]],1+HEX2DEC(LEFT(BA$1,2))*2, 2)</f>
        <v>00000000 0x00</v>
      </c>
      <c r="BB4" s="3" t="str">
        <f>HEX2BIN(MID(Table1[[#This Row],[statusRaw]],1+HEX2DEC(LEFT(BB$1,2))*2, 2),8) &amp; " 0x" &amp;MID(Table1[[#This Row],[statusRaw]],1+HEX2DEC(LEFT(BB$1,2))*2, 2)</f>
        <v>00000000 0x00</v>
      </c>
      <c r="BC4" s="3" t="str">
        <f>HEX2BIN(MID(Table1[[#This Row],[statusRaw]],1+HEX2DEC(LEFT(BC$1,2))*2, 2),8) &amp; " 0x" &amp;MID(Table1[[#This Row],[statusRaw]],1+HEX2DEC(LEFT(BC$1,2))*2, 2)</f>
        <v>00000000 0x00</v>
      </c>
      <c r="BD4" s="3" t="str">
        <f>MID(Table1[[#This Row],[statusRaw]],1+HEX2DEC(LEFT(BD$1,2))*2, 8)</f>
        <v>000008C7</v>
      </c>
      <c r="BE4" s="3" t="str">
        <f>MID(Table1[[#This Row],[statusRaw]],1+HEX2DEC(LEFT(BE$1,2))*2, 8)</f>
        <v>000008C7</v>
      </c>
      <c r="BF4" s="9"/>
    </row>
    <row r="5" spans="1:58" x14ac:dyDescent="0.25">
      <c r="A5" s="1" t="s">
        <v>15</v>
      </c>
      <c r="B5" s="1" t="s">
        <v>16</v>
      </c>
      <c r="C5" s="1" t="s">
        <v>7</v>
      </c>
      <c r="D5" s="1" t="s">
        <v>17</v>
      </c>
      <c r="E5" s="1">
        <v>0</v>
      </c>
      <c r="F5" s="3" t="str">
        <f>HEX2BIN(MID(Table1[[#This Row],[statusRaw]],1+HEX2DEC(LEFT(F$1,2))*2, 2),8) &amp; " 0x" &amp;MID(Table1[[#This Row],[statusRaw]],1+HEX2DEC(LEFT(F$1,2))*2, 2)</f>
        <v>01010000 0x50</v>
      </c>
      <c r="G5" s="3" t="b">
        <f>MID(Table1[[#This Row],[03 - pump status (1)]],1,1)="1"</f>
        <v>0</v>
      </c>
      <c r="H5" s="3" t="b">
        <f>MID(Table1[[#This Row],[03 - pump status (1)]],2,1)="1"</f>
        <v>1</v>
      </c>
      <c r="I5" s="3" t="b">
        <f>MID(Table1[[#This Row],[03 - pump status (1)]],3,1)="1"</f>
        <v>0</v>
      </c>
      <c r="J5" s="3" t="b">
        <f>MID(Table1[[#This Row],[03 - pump status (1)]],4,1)="1"</f>
        <v>1</v>
      </c>
      <c r="K5" s="3" t="b">
        <f>MID(Table1[[#This Row],[03 - pump status (1)]],5,1)="1"</f>
        <v>0</v>
      </c>
      <c r="L5" s="3" t="b">
        <f>MID(Table1[[#This Row],[03 - pump status (1)]],6,1)="1"</f>
        <v>0</v>
      </c>
      <c r="M5" s="3" t="b">
        <f>MID(Table1[[#This Row],[03 - pump status (1)]],7,1)="1"</f>
        <v>0</v>
      </c>
      <c r="N5" s="3" t="b">
        <f>MID(Table1[[#This Row],[03 - pump status (1)]],8,1)="1"</f>
        <v>0</v>
      </c>
      <c r="O5" s="3" t="str">
        <f>MID(Table1[[#This Row],[statusRaw]],1+HEX2DEC(LEFT(O$1,2))*2, 8)</f>
        <v>00000000</v>
      </c>
      <c r="P5" s="3" t="str">
        <f>MID(Table1[[#This Row],[statusRaw]],1+HEX2DEC(LEFT(P$1,2))*2, 8)</f>
        <v>00000000</v>
      </c>
      <c r="Q5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5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5" s="3">
        <f>HEX2DEC(MID(Table1[[#This Row],[statusRaw]],1+HEX2DEC(LEFT(S$1,2))*2, 8))/10000</f>
        <v>0.7</v>
      </c>
      <c r="T5" s="3" t="str">
        <f>MID(Table1[[#This Row],[statusRaw]],1+HEX2DEC(LEFT(T$1,2))*2, 8)</f>
        <v>278A4116</v>
      </c>
      <c r="U5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5" s="3" t="str">
        <f>HEX2BIN(MID(Table1[[#This Row],[statusRaw]],1+HEX2DEC(LEFT(V$1,2))*2, 2),8) &amp; " 0x" &amp;MID(Table1[[#This Row],[statusRaw]],1+HEX2DEC(LEFT(V$1,2))*2, 2)</f>
        <v>00000001 0x01</v>
      </c>
      <c r="W5" s="3">
        <f>HEX2DEC(MID(Table1[[#This Row],[statusRaw]],1+HEX2DEC(LEFT(W$1,2))*2, 8))/10000</f>
        <v>0.45</v>
      </c>
      <c r="X5" s="3">
        <f>HEX2DEC(MID(Table1[[#This Row],[statusRaw]],1+HEX2DEC(LEFT(X$1,2))*2, 8))/10000</f>
        <v>0</v>
      </c>
      <c r="Y5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5" s="3">
        <f>HEX2DEC(MID(Table1[[#This Row],[statusRaw]],1+HEX2DEC(LEFT(Z$1,2))*2, 8))/10000</f>
        <v>0.45</v>
      </c>
      <c r="AA5" s="3">
        <f>HEX2DEC(MID(Table1[[#This Row],[statusRaw]],1+HEX2DEC(LEFT(AA$1,2))*2, 2))</f>
        <v>50</v>
      </c>
      <c r="AB5" s="3">
        <f>HEX2DEC(MID(Table1[[#This Row],[statusRaw]],1+HEX2DEC(LEFT(AB$1,2))*2, 8))/10000</f>
        <v>214.4</v>
      </c>
      <c r="AC5" s="3">
        <f>HEX2DEC(MID(Table1[[#This Row],[statusRaw]],1+HEX2DEC(LEFT(AC$1,2))*2, 2))</f>
        <v>25</v>
      </c>
      <c r="AD5" s="3">
        <f>HEX2DEC(MID(Table1[[#This Row],[statusRaw]],1+HEX2DEC(LEFT(AD$1,2))*2, 2))</f>
        <v>0</v>
      </c>
      <c r="AE5" s="3">
        <f>HEX2DEC(MID(Table1[[#This Row],[statusRaw]],1+HEX2DEC(LEFT(AE$1,2))*2, 8))/10000</f>
        <v>0</v>
      </c>
      <c r="AF5" s="3">
        <f>IF(AND(Table1[[#This Row],[cgm]],NOT(Table1[[#This Row],[35 - SGV special bit (2)]])), _xlfn.BITAND(HEX2DEC(MID(Table1[[#This Row],[statusRaw]],1+HEX2DEC(LEFT(AF$1,2))*2, 4)),HEX2DEC("1FF")),"")</f>
        <v>134</v>
      </c>
      <c r="AG5" s="3" t="b">
        <f>_xlfn.BITAND(HEX2DEC(MID(Table1[[#This Row],[statusRaw]],1+HEX2DEC(LEFT(AG$1,2))*2, 4)),512)=512</f>
        <v>0</v>
      </c>
      <c r="AH5" s="3" t="str">
        <f>MID(Table1[[#This Row],[statusRaw]],1+HEX2DEC(LEFT(AF$1,2))*2, 8)</f>
        <v>00868674</v>
      </c>
      <c r="AI5" s="3" t="str">
        <f>MID(Table1[[#This Row],[statusRaw]],1+HEX2DEC(LEFT(AH$1,2))*2, 8)</f>
        <v>8674734F</v>
      </c>
      <c r="AJ5" s="3" t="str">
        <f>HEX2BIN(MID(Table1[[#This Row],[statusRaw]],1+HEX2DEC(LEFT(AJ$1,2))*2, 2),8) &amp; " 0x" &amp;MID(Table1[[#This Row],[statusRaw]],1+HEX2DEC(LEFT(AJ$1,2))*2, 2)</f>
        <v>00000000 0x00</v>
      </c>
      <c r="AK5" s="1" t="str">
        <f>HEX2BIN(MID(Table1[[#This Row],[statusRaw]],1+HEX2DEC(LEFT(AK$1,2))*2, 2),8) &amp; " 0x" &amp;MID(Table1[[#This Row],[statusRaw]],1+HEX2DEC(LEFT(AK$1,2))*2, 2)</f>
        <v>01100000 0x60</v>
      </c>
      <c r="AL5" s="1" t="str">
        <f>VLOOKUP(Table1[[#This Row],[40 trend]],'Arrow status mapping'!$A$1:$B$8,2,FALSE)</f>
        <v>No arrows</v>
      </c>
      <c r="AM5" s="3" t="str">
        <f>HEX2BIN(MID(Table1[[#This Row],[statusRaw]],1+HEX2DEC(LEFT(AM$1,2))*2, 2),8) &amp; " 0x" &amp;MID(Table1[[#This Row],[statusRaw]],1+HEX2DEC(LEFT(AM$1,2))*2, 2)</f>
        <v>00010000 0x10</v>
      </c>
      <c r="AN5" s="3" t="str">
        <f>HEX2BIN(MID(Table1[[#This Row],[statusRaw]],1+HEX2DEC(LEFT(AN$1,2))*2, 2),8) &amp; " 0x" &amp;MID(Table1[[#This Row],[statusRaw]],1+HEX2DEC(LEFT(AN$1,2))*2, 2)</f>
        <v>00000000 0x00</v>
      </c>
      <c r="AO5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0x0285 645</v>
      </c>
      <c r="AP5" s="1" t="str">
        <f>HEX2BIN(MID(Table1[[#This Row],[statusRaw]],1+HEX2DEC(LEFT(AP$1,2))*2, 2),8) &amp; " 0x" &amp;MID(Table1[[#This Row],[statusRaw]],1+HEX2DEC(LEFT(AP$1,2))*2, 2)</f>
        <v>00101010 0x2A</v>
      </c>
      <c r="AQ5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0x0043 67</v>
      </c>
      <c r="AR5" s="3">
        <f>TRUNC(_xlfn.NUMBERVALUE(RIGHT(Table1[[#This Row],[46 rate of change (2)]],LEN(Table1[[#This Row],[46 rate of change (2)]])-7))/100)</f>
        <v>0</v>
      </c>
      <c r="AS5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5" s="3" t="b">
        <f>Table1[[#This Row],[calc arrow]]=Table1[[#This Row],[trend]]</f>
        <v>1</v>
      </c>
      <c r="AU5" s="3" t="str">
        <f>HEX2BIN(MID(Table1[[#This Row],[statusRaw]],1+HEX2DEC(LEFT(AU$1,2))*2, 2),8) &amp; " 0x" &amp;MID(Table1[[#This Row],[statusRaw]],1+HEX2DEC(LEFT(AU$1,2))*2, 2)</f>
        <v>00000000 0x00</v>
      </c>
      <c r="AV5" s="3">
        <f>HEX2DEC(MID(Table1[[#This Row],[statusRaw]],1+HEX2DEC(LEFT(AV$1,2))*2, 4))</f>
        <v>0</v>
      </c>
      <c r="AW5" s="3" t="str">
        <f>HEX2BIN(MID(Table1[[#This Row],[statusRaw]],1+HEX2DEC(LEFT(AW$1,2))*2, 2),8) &amp; " 0x" &amp;MID(Table1[[#This Row],[statusRaw]],1+HEX2DEC(LEFT(AW$1,2))*2, 2)</f>
        <v>00000000 0x00</v>
      </c>
      <c r="AX5" s="3" t="str">
        <f>HEX2BIN(MID(Table1[[#This Row],[statusRaw]],1+HEX2DEC(LEFT(AX$1,2))*2, 2),8) &amp; " 0x" &amp;MID(Table1[[#This Row],[statusRaw]],1+HEX2DEC(LEFT(AX$1,2))*2, 2)</f>
        <v>00000000 0x00</v>
      </c>
      <c r="AY5" s="3" t="str">
        <f>MID(Table1[[#This Row],[statusRaw]],1+HEX2DEC(LEFT(AY$1,2))*2, 8)</f>
        <v>00000000</v>
      </c>
      <c r="AZ5" s="3" t="str">
        <f>MID(Table1[[#This Row],[statusRaw]],1+HEX2DEC(LEFT(AZ$1,2))*2, 8)</f>
        <v>00000000</v>
      </c>
      <c r="BA5" s="3" t="str">
        <f>HEX2BIN(MID(Table1[[#This Row],[statusRaw]],1+HEX2DEC(LEFT(BA$1,2))*2, 2),8) &amp; " 0x" &amp;MID(Table1[[#This Row],[statusRaw]],1+HEX2DEC(LEFT(BA$1,2))*2, 2)</f>
        <v>00000000 0x00</v>
      </c>
      <c r="BB5" s="3" t="str">
        <f>HEX2BIN(MID(Table1[[#This Row],[statusRaw]],1+HEX2DEC(LEFT(BB$1,2))*2, 2),8) &amp; " 0x" &amp;MID(Table1[[#This Row],[statusRaw]],1+HEX2DEC(LEFT(BB$1,2))*2, 2)</f>
        <v>00000000 0x00</v>
      </c>
      <c r="BC5" s="3" t="str">
        <f>HEX2BIN(MID(Table1[[#This Row],[statusRaw]],1+HEX2DEC(LEFT(BC$1,2))*2, 2),8) &amp; " 0x" &amp;MID(Table1[[#This Row],[statusRaw]],1+HEX2DEC(LEFT(BC$1,2))*2, 2)</f>
        <v>00000000 0x00</v>
      </c>
      <c r="BD5" s="3" t="str">
        <f>MID(Table1[[#This Row],[statusRaw]],1+HEX2DEC(LEFT(BD$1,2))*2, 8)</f>
        <v>000008C7</v>
      </c>
      <c r="BE5" s="3" t="str">
        <f>MID(Table1[[#This Row],[statusRaw]],1+HEX2DEC(LEFT(BE$1,2))*2, 8)</f>
        <v>000008C7</v>
      </c>
      <c r="BF5" s="9"/>
    </row>
    <row r="6" spans="1:58" x14ac:dyDescent="0.25">
      <c r="A6" s="1" t="s">
        <v>18</v>
      </c>
      <c r="B6" s="1" t="s">
        <v>19</v>
      </c>
      <c r="C6" s="1" t="s">
        <v>7</v>
      </c>
      <c r="D6" s="1" t="s">
        <v>20</v>
      </c>
      <c r="E6" s="1">
        <v>0</v>
      </c>
      <c r="F6" s="3" t="str">
        <f>HEX2BIN(MID(Table1[[#This Row],[statusRaw]],1+HEX2DEC(LEFT(F$1,2))*2, 2),8) &amp; " 0x" &amp;MID(Table1[[#This Row],[statusRaw]],1+HEX2DEC(LEFT(F$1,2))*2, 2)</f>
        <v>01010000 0x50</v>
      </c>
      <c r="G6" s="3" t="b">
        <f>MID(Table1[[#This Row],[03 - pump status (1)]],1,1)="1"</f>
        <v>0</v>
      </c>
      <c r="H6" s="3" t="b">
        <f>MID(Table1[[#This Row],[03 - pump status (1)]],2,1)="1"</f>
        <v>1</v>
      </c>
      <c r="I6" s="3" t="b">
        <f>MID(Table1[[#This Row],[03 - pump status (1)]],3,1)="1"</f>
        <v>0</v>
      </c>
      <c r="J6" s="3" t="b">
        <f>MID(Table1[[#This Row],[03 - pump status (1)]],4,1)="1"</f>
        <v>1</v>
      </c>
      <c r="K6" s="3" t="b">
        <f>MID(Table1[[#This Row],[03 - pump status (1)]],5,1)="1"</f>
        <v>0</v>
      </c>
      <c r="L6" s="3" t="b">
        <f>MID(Table1[[#This Row],[03 - pump status (1)]],6,1)="1"</f>
        <v>0</v>
      </c>
      <c r="M6" s="3" t="b">
        <f>MID(Table1[[#This Row],[03 - pump status (1)]],7,1)="1"</f>
        <v>0</v>
      </c>
      <c r="N6" s="3" t="b">
        <f>MID(Table1[[#This Row],[03 - pump status (1)]],8,1)="1"</f>
        <v>0</v>
      </c>
      <c r="O6" s="3" t="str">
        <f>MID(Table1[[#This Row],[statusRaw]],1+HEX2DEC(LEFT(O$1,2))*2, 8)</f>
        <v>00000000</v>
      </c>
      <c r="P6" s="3" t="str">
        <f>MID(Table1[[#This Row],[statusRaw]],1+HEX2DEC(LEFT(P$1,2))*2, 8)</f>
        <v>00000000</v>
      </c>
      <c r="Q6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6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6" s="3">
        <f>HEX2DEC(MID(Table1[[#This Row],[statusRaw]],1+HEX2DEC(LEFT(S$1,2))*2, 8))/10000</f>
        <v>0.7</v>
      </c>
      <c r="T6" s="3" t="str">
        <f>MID(Table1[[#This Row],[statusRaw]],1+HEX2DEC(LEFT(T$1,2))*2, 8)</f>
        <v>278A4116</v>
      </c>
      <c r="U6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6" s="3" t="str">
        <f>HEX2BIN(MID(Table1[[#This Row],[statusRaw]],1+HEX2DEC(LEFT(V$1,2))*2, 2),8) &amp; " 0x" &amp;MID(Table1[[#This Row],[statusRaw]],1+HEX2DEC(LEFT(V$1,2))*2, 2)</f>
        <v>00000001 0x01</v>
      </c>
      <c r="W6" s="3">
        <f>HEX2DEC(MID(Table1[[#This Row],[statusRaw]],1+HEX2DEC(LEFT(W$1,2))*2, 8))/10000</f>
        <v>0.45</v>
      </c>
      <c r="X6" s="3">
        <f>HEX2DEC(MID(Table1[[#This Row],[statusRaw]],1+HEX2DEC(LEFT(X$1,2))*2, 8))/10000</f>
        <v>0</v>
      </c>
      <c r="Y6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6" s="3">
        <f>HEX2DEC(MID(Table1[[#This Row],[statusRaw]],1+HEX2DEC(LEFT(Z$1,2))*2, 8))/10000</f>
        <v>0.42499999999999999</v>
      </c>
      <c r="AA6" s="3">
        <f>HEX2DEC(MID(Table1[[#This Row],[statusRaw]],1+HEX2DEC(LEFT(AA$1,2))*2, 2))</f>
        <v>50</v>
      </c>
      <c r="AB6" s="3">
        <f>HEX2DEC(MID(Table1[[#This Row],[statusRaw]],1+HEX2DEC(LEFT(AB$1,2))*2, 8))/10000</f>
        <v>214.42500000000001</v>
      </c>
      <c r="AC6" s="3">
        <f>HEX2DEC(MID(Table1[[#This Row],[statusRaw]],1+HEX2DEC(LEFT(AC$1,2))*2, 2))</f>
        <v>25</v>
      </c>
      <c r="AD6" s="3">
        <f>HEX2DEC(MID(Table1[[#This Row],[statusRaw]],1+HEX2DEC(LEFT(AD$1,2))*2, 2))</f>
        <v>0</v>
      </c>
      <c r="AE6" s="3">
        <f>HEX2DEC(MID(Table1[[#This Row],[statusRaw]],1+HEX2DEC(LEFT(AE$1,2))*2, 8))/10000</f>
        <v>0.1</v>
      </c>
      <c r="AF6" s="3">
        <f>IF(AND(Table1[[#This Row],[cgm]],NOT(Table1[[#This Row],[35 - SGV special bit (2)]])), _xlfn.BITAND(HEX2DEC(MID(Table1[[#This Row],[statusRaw]],1+HEX2DEC(LEFT(AF$1,2))*2, 4)),HEX2DEC("1FF")),"")</f>
        <v>127</v>
      </c>
      <c r="AG6" s="3" t="b">
        <f>_xlfn.BITAND(HEX2DEC(MID(Table1[[#This Row],[statusRaw]],1+HEX2DEC(LEFT(AG$1,2))*2, 4)),512)=512</f>
        <v>0</v>
      </c>
      <c r="AH6" s="3" t="str">
        <f>MID(Table1[[#This Row],[statusRaw]],1+HEX2DEC(LEFT(AF$1,2))*2, 8)</f>
        <v>007F8674</v>
      </c>
      <c r="AI6" s="3" t="str">
        <f>MID(Table1[[#This Row],[statusRaw]],1+HEX2DEC(LEFT(AH$1,2))*2, 8)</f>
        <v>86747223</v>
      </c>
      <c r="AJ6" s="3" t="str">
        <f>HEX2BIN(MID(Table1[[#This Row],[statusRaw]],1+HEX2DEC(LEFT(AJ$1,2))*2, 2),8) &amp; " 0x" &amp;MID(Table1[[#This Row],[statusRaw]],1+HEX2DEC(LEFT(AJ$1,2))*2, 2)</f>
        <v>00000000 0x00</v>
      </c>
      <c r="AK6" s="1" t="str">
        <f>HEX2BIN(MID(Table1[[#This Row],[statusRaw]],1+HEX2DEC(LEFT(AK$1,2))*2, 2),8) &amp; " 0x" &amp;MID(Table1[[#This Row],[statusRaw]],1+HEX2DEC(LEFT(AK$1,2))*2, 2)</f>
        <v>01100000 0x60</v>
      </c>
      <c r="AL6" s="1" t="str">
        <f>VLOOKUP(Table1[[#This Row],[40 trend]],'Arrow status mapping'!$A$1:$B$8,2,FALSE)</f>
        <v>No arrows</v>
      </c>
      <c r="AM6" s="3" t="str">
        <f>HEX2BIN(MID(Table1[[#This Row],[statusRaw]],1+HEX2DEC(LEFT(AM$1,2))*2, 2),8) &amp; " 0x" &amp;MID(Table1[[#This Row],[statusRaw]],1+HEX2DEC(LEFT(AM$1,2))*2, 2)</f>
        <v>00010000 0x10</v>
      </c>
      <c r="AN6" s="3" t="str">
        <f>HEX2BIN(MID(Table1[[#This Row],[statusRaw]],1+HEX2DEC(LEFT(AN$1,2))*2, 2),8) &amp; " 0x" &amp;MID(Table1[[#This Row],[statusRaw]],1+HEX2DEC(LEFT(AN$1,2))*2, 2)</f>
        <v>00000000 0x00</v>
      </c>
      <c r="AO6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0x028A 650</v>
      </c>
      <c r="AP6" s="1" t="str">
        <f>HEX2BIN(MID(Table1[[#This Row],[statusRaw]],1+HEX2DEC(LEFT(AP$1,2))*2, 2),8) &amp; " 0x" &amp;MID(Table1[[#This Row],[statusRaw]],1+HEX2DEC(LEFT(AP$1,2))*2, 2)</f>
        <v>00101010 0x2A</v>
      </c>
      <c r="AQ6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0x0006 6</v>
      </c>
      <c r="AR6" s="3">
        <f>TRUNC(_xlfn.NUMBERVALUE(RIGHT(Table1[[#This Row],[46 rate of change (2)]],LEN(Table1[[#This Row],[46 rate of change (2)]])-7))/100)</f>
        <v>0</v>
      </c>
      <c r="AS6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6" s="3" t="b">
        <f>Table1[[#This Row],[calc arrow]]=Table1[[#This Row],[trend]]</f>
        <v>1</v>
      </c>
      <c r="AU6" s="3" t="str">
        <f>HEX2BIN(MID(Table1[[#This Row],[statusRaw]],1+HEX2DEC(LEFT(AU$1,2))*2, 2),8) &amp; " 0x" &amp;MID(Table1[[#This Row],[statusRaw]],1+HEX2DEC(LEFT(AU$1,2))*2, 2)</f>
        <v>00000000 0x00</v>
      </c>
      <c r="AV6" s="3">
        <f>HEX2DEC(MID(Table1[[#This Row],[statusRaw]],1+HEX2DEC(LEFT(AV$1,2))*2, 4))</f>
        <v>0</v>
      </c>
      <c r="AW6" s="3" t="str">
        <f>HEX2BIN(MID(Table1[[#This Row],[statusRaw]],1+HEX2DEC(LEFT(AW$1,2))*2, 2),8) &amp; " 0x" &amp;MID(Table1[[#This Row],[statusRaw]],1+HEX2DEC(LEFT(AW$1,2))*2, 2)</f>
        <v>00000000 0x00</v>
      </c>
      <c r="AX6" s="3" t="str">
        <f>HEX2BIN(MID(Table1[[#This Row],[statusRaw]],1+HEX2DEC(LEFT(AX$1,2))*2, 2),8) &amp; " 0x" &amp;MID(Table1[[#This Row],[statusRaw]],1+HEX2DEC(LEFT(AX$1,2))*2, 2)</f>
        <v>00000000 0x00</v>
      </c>
      <c r="AY6" s="3" t="str">
        <f>MID(Table1[[#This Row],[statusRaw]],1+HEX2DEC(LEFT(AY$1,2))*2, 8)</f>
        <v>00000000</v>
      </c>
      <c r="AZ6" s="3" t="str">
        <f>MID(Table1[[#This Row],[statusRaw]],1+HEX2DEC(LEFT(AZ$1,2))*2, 8)</f>
        <v>00000000</v>
      </c>
      <c r="BA6" s="3" t="str">
        <f>HEX2BIN(MID(Table1[[#This Row],[statusRaw]],1+HEX2DEC(LEFT(BA$1,2))*2, 2),8) &amp; " 0x" &amp;MID(Table1[[#This Row],[statusRaw]],1+HEX2DEC(LEFT(BA$1,2))*2, 2)</f>
        <v>00000000 0x00</v>
      </c>
      <c r="BB6" s="3" t="str">
        <f>HEX2BIN(MID(Table1[[#This Row],[statusRaw]],1+HEX2DEC(LEFT(BB$1,2))*2, 2),8) &amp; " 0x" &amp;MID(Table1[[#This Row],[statusRaw]],1+HEX2DEC(LEFT(BB$1,2))*2, 2)</f>
        <v>00000000 0x00</v>
      </c>
      <c r="BC6" s="3" t="str">
        <f>HEX2BIN(MID(Table1[[#This Row],[statusRaw]],1+HEX2DEC(LEFT(BC$1,2))*2, 2),8) &amp; " 0x" &amp;MID(Table1[[#This Row],[statusRaw]],1+HEX2DEC(LEFT(BC$1,2))*2, 2)</f>
        <v>00000000 0x00</v>
      </c>
      <c r="BD6" s="3" t="str">
        <f>MID(Table1[[#This Row],[statusRaw]],1+HEX2DEC(LEFT(BD$1,2))*2, 8)</f>
        <v>000008C7</v>
      </c>
      <c r="BE6" s="3" t="str">
        <f>MID(Table1[[#This Row],[statusRaw]],1+HEX2DEC(LEFT(BE$1,2))*2, 8)</f>
        <v>000008C7</v>
      </c>
      <c r="BF6" s="9"/>
    </row>
    <row r="7" spans="1:58" x14ac:dyDescent="0.25">
      <c r="A7" s="1" t="s">
        <v>21</v>
      </c>
      <c r="B7" s="1" t="s">
        <v>22</v>
      </c>
      <c r="C7" s="1" t="s">
        <v>7</v>
      </c>
      <c r="D7" s="1" t="s">
        <v>23</v>
      </c>
      <c r="E7" s="1">
        <v>0</v>
      </c>
      <c r="F7" s="3" t="str">
        <f>HEX2BIN(MID(Table1[[#This Row],[statusRaw]],1+HEX2DEC(LEFT(F$1,2))*2, 2),8) &amp; " 0x" &amp;MID(Table1[[#This Row],[statusRaw]],1+HEX2DEC(LEFT(F$1,2))*2, 2)</f>
        <v>01010000 0x50</v>
      </c>
      <c r="G7" s="3" t="b">
        <f>MID(Table1[[#This Row],[03 - pump status (1)]],1,1)="1"</f>
        <v>0</v>
      </c>
      <c r="H7" s="3" t="b">
        <f>MID(Table1[[#This Row],[03 - pump status (1)]],2,1)="1"</f>
        <v>1</v>
      </c>
      <c r="I7" s="3" t="b">
        <f>MID(Table1[[#This Row],[03 - pump status (1)]],3,1)="1"</f>
        <v>0</v>
      </c>
      <c r="J7" s="3" t="b">
        <f>MID(Table1[[#This Row],[03 - pump status (1)]],4,1)="1"</f>
        <v>1</v>
      </c>
      <c r="K7" s="3" t="b">
        <f>MID(Table1[[#This Row],[03 - pump status (1)]],5,1)="1"</f>
        <v>0</v>
      </c>
      <c r="L7" s="3" t="b">
        <f>MID(Table1[[#This Row],[03 - pump status (1)]],6,1)="1"</f>
        <v>0</v>
      </c>
      <c r="M7" s="3" t="b">
        <f>MID(Table1[[#This Row],[03 - pump status (1)]],7,1)="1"</f>
        <v>0</v>
      </c>
      <c r="N7" s="3" t="b">
        <f>MID(Table1[[#This Row],[03 - pump status (1)]],8,1)="1"</f>
        <v>0</v>
      </c>
      <c r="O7" s="3" t="str">
        <f>MID(Table1[[#This Row],[statusRaw]],1+HEX2DEC(LEFT(O$1,2))*2, 8)</f>
        <v>00000000</v>
      </c>
      <c r="P7" s="3" t="str">
        <f>MID(Table1[[#This Row],[statusRaw]],1+HEX2DEC(LEFT(P$1,2))*2, 8)</f>
        <v>00000000</v>
      </c>
      <c r="Q7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7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7" s="3">
        <f>HEX2DEC(MID(Table1[[#This Row],[statusRaw]],1+HEX2DEC(LEFT(S$1,2))*2, 8))/10000</f>
        <v>0.7</v>
      </c>
      <c r="T7" s="3" t="str">
        <f>MID(Table1[[#This Row],[statusRaw]],1+HEX2DEC(LEFT(T$1,2))*2, 8)</f>
        <v>278A4116</v>
      </c>
      <c r="U7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7" s="3" t="str">
        <f>HEX2BIN(MID(Table1[[#This Row],[statusRaw]],1+HEX2DEC(LEFT(V$1,2))*2, 2),8) &amp; " 0x" &amp;MID(Table1[[#This Row],[statusRaw]],1+HEX2DEC(LEFT(V$1,2))*2, 2)</f>
        <v>00000001 0x01</v>
      </c>
      <c r="W7" s="3">
        <f>HEX2DEC(MID(Table1[[#This Row],[statusRaw]],1+HEX2DEC(LEFT(W$1,2))*2, 8))/10000</f>
        <v>0.45</v>
      </c>
      <c r="X7" s="3">
        <f>HEX2DEC(MID(Table1[[#This Row],[statusRaw]],1+HEX2DEC(LEFT(X$1,2))*2, 8))/10000</f>
        <v>0</v>
      </c>
      <c r="Y7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7" s="3">
        <f>HEX2DEC(MID(Table1[[#This Row],[statusRaw]],1+HEX2DEC(LEFT(Z$1,2))*2, 8))/10000</f>
        <v>0.375</v>
      </c>
      <c r="AA7" s="3">
        <f>HEX2DEC(MID(Table1[[#This Row],[statusRaw]],1+HEX2DEC(LEFT(AA$1,2))*2, 2))</f>
        <v>50</v>
      </c>
      <c r="AB7" s="3">
        <f>HEX2DEC(MID(Table1[[#This Row],[statusRaw]],1+HEX2DEC(LEFT(AB$1,2))*2, 8))/10000</f>
        <v>214.47499999999999</v>
      </c>
      <c r="AC7" s="3">
        <f>HEX2DEC(MID(Table1[[#This Row],[statusRaw]],1+HEX2DEC(LEFT(AC$1,2))*2, 2))</f>
        <v>25</v>
      </c>
      <c r="AD7" s="3">
        <f>HEX2DEC(MID(Table1[[#This Row],[statusRaw]],1+HEX2DEC(LEFT(AD$1,2))*2, 2))</f>
        <v>0</v>
      </c>
      <c r="AE7" s="3">
        <f>HEX2DEC(MID(Table1[[#This Row],[statusRaw]],1+HEX2DEC(LEFT(AE$1,2))*2, 8))/10000</f>
        <v>0.1</v>
      </c>
      <c r="AF7" s="3">
        <f>IF(AND(Table1[[#This Row],[cgm]],NOT(Table1[[#This Row],[35 - SGV special bit (2)]])), _xlfn.BITAND(HEX2DEC(MID(Table1[[#This Row],[statusRaw]],1+HEX2DEC(LEFT(AF$1,2))*2, 4)),HEX2DEC("1FF")),"")</f>
        <v>122</v>
      </c>
      <c r="AG7" s="3" t="b">
        <f>_xlfn.BITAND(HEX2DEC(MID(Table1[[#This Row],[statusRaw]],1+HEX2DEC(LEFT(AG$1,2))*2, 4)),512)=512</f>
        <v>0</v>
      </c>
      <c r="AH7" s="3" t="str">
        <f>MID(Table1[[#This Row],[statusRaw]],1+HEX2DEC(LEFT(AF$1,2))*2, 8)</f>
        <v>007A8674</v>
      </c>
      <c r="AI7" s="3" t="str">
        <f>MID(Table1[[#This Row],[statusRaw]],1+HEX2DEC(LEFT(AH$1,2))*2, 8)</f>
        <v>867470F7</v>
      </c>
      <c r="AJ7" s="3" t="str">
        <f>HEX2BIN(MID(Table1[[#This Row],[statusRaw]],1+HEX2DEC(LEFT(AJ$1,2))*2, 2),8) &amp; " 0x" &amp;MID(Table1[[#This Row],[statusRaw]],1+HEX2DEC(LEFT(AJ$1,2))*2, 2)</f>
        <v>00000000 0x00</v>
      </c>
      <c r="AK7" s="1" t="str">
        <f>HEX2BIN(MID(Table1[[#This Row],[statusRaw]],1+HEX2DEC(LEFT(AK$1,2))*2, 2),8) &amp; " 0x" &amp;MID(Table1[[#This Row],[statusRaw]],1+HEX2DEC(LEFT(AK$1,2))*2, 2)</f>
        <v>01100000 0x60</v>
      </c>
      <c r="AL7" s="1" t="str">
        <f>VLOOKUP(Table1[[#This Row],[40 trend]],'Arrow status mapping'!$A$1:$B$8,2,FALSE)</f>
        <v>No arrows</v>
      </c>
      <c r="AM7" s="3" t="str">
        <f>HEX2BIN(MID(Table1[[#This Row],[statusRaw]],1+HEX2DEC(LEFT(AM$1,2))*2, 2),8) &amp; " 0x" &amp;MID(Table1[[#This Row],[statusRaw]],1+HEX2DEC(LEFT(AM$1,2))*2, 2)</f>
        <v>00010000 0x10</v>
      </c>
      <c r="AN7" s="3" t="str">
        <f>HEX2BIN(MID(Table1[[#This Row],[statusRaw]],1+HEX2DEC(LEFT(AN$1,2))*2, 2),8) &amp; " 0x" &amp;MID(Table1[[#This Row],[statusRaw]],1+HEX2DEC(LEFT(AN$1,2))*2, 2)</f>
        <v>00000000 0x00</v>
      </c>
      <c r="AO7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0x028F 655</v>
      </c>
      <c r="AP7" s="1" t="str">
        <f>HEX2BIN(MID(Table1[[#This Row],[statusRaw]],1+HEX2DEC(LEFT(AP$1,2))*2, 2),8) &amp; " 0x" &amp;MID(Table1[[#This Row],[statusRaw]],1+HEX2DEC(LEFT(AP$1,2))*2, 2)</f>
        <v>00101010 0x2A</v>
      </c>
      <c r="AQ7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7" s="3">
        <f>TRUNC(_xlfn.NUMBERVALUE(RIGHT(Table1[[#This Row],[46 rate of change (2)]],LEN(Table1[[#This Row],[46 rate of change (2)]])-7))/100)</f>
        <v>0</v>
      </c>
      <c r="AS7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7" s="3" t="b">
        <f>Table1[[#This Row],[calc arrow]]=Table1[[#This Row],[trend]]</f>
        <v>1</v>
      </c>
      <c r="AU7" s="3" t="str">
        <f>HEX2BIN(MID(Table1[[#This Row],[statusRaw]],1+HEX2DEC(LEFT(AU$1,2))*2, 2),8) &amp; " 0x" &amp;MID(Table1[[#This Row],[statusRaw]],1+HEX2DEC(LEFT(AU$1,2))*2, 2)</f>
        <v>00000000 0x00</v>
      </c>
      <c r="AV7" s="3">
        <f>HEX2DEC(MID(Table1[[#This Row],[statusRaw]],1+HEX2DEC(LEFT(AV$1,2))*2, 4))</f>
        <v>0</v>
      </c>
      <c r="AW7" s="3" t="str">
        <f>HEX2BIN(MID(Table1[[#This Row],[statusRaw]],1+HEX2DEC(LEFT(AW$1,2))*2, 2),8) &amp; " 0x" &amp;MID(Table1[[#This Row],[statusRaw]],1+HEX2DEC(LEFT(AW$1,2))*2, 2)</f>
        <v>00000000 0x00</v>
      </c>
      <c r="AX7" s="3" t="str">
        <f>HEX2BIN(MID(Table1[[#This Row],[statusRaw]],1+HEX2DEC(LEFT(AX$1,2))*2, 2),8) &amp; " 0x" &amp;MID(Table1[[#This Row],[statusRaw]],1+HEX2DEC(LEFT(AX$1,2))*2, 2)</f>
        <v>00000000 0x00</v>
      </c>
      <c r="AY7" s="3" t="str">
        <f>MID(Table1[[#This Row],[statusRaw]],1+HEX2DEC(LEFT(AY$1,2))*2, 8)</f>
        <v>00000000</v>
      </c>
      <c r="AZ7" s="3" t="str">
        <f>MID(Table1[[#This Row],[statusRaw]],1+HEX2DEC(LEFT(AZ$1,2))*2, 8)</f>
        <v>00000000</v>
      </c>
      <c r="BA7" s="3" t="str">
        <f>HEX2BIN(MID(Table1[[#This Row],[statusRaw]],1+HEX2DEC(LEFT(BA$1,2))*2, 2),8) &amp; " 0x" &amp;MID(Table1[[#This Row],[statusRaw]],1+HEX2DEC(LEFT(BA$1,2))*2, 2)</f>
        <v>00000000 0x00</v>
      </c>
      <c r="BB7" s="3" t="str">
        <f>HEX2BIN(MID(Table1[[#This Row],[statusRaw]],1+HEX2DEC(LEFT(BB$1,2))*2, 2),8) &amp; " 0x" &amp;MID(Table1[[#This Row],[statusRaw]],1+HEX2DEC(LEFT(BB$1,2))*2, 2)</f>
        <v>00000000 0x00</v>
      </c>
      <c r="BC7" s="3" t="str">
        <f>HEX2BIN(MID(Table1[[#This Row],[statusRaw]],1+HEX2DEC(LEFT(BC$1,2))*2, 2),8) &amp; " 0x" &amp;MID(Table1[[#This Row],[statusRaw]],1+HEX2DEC(LEFT(BC$1,2))*2, 2)</f>
        <v>00000000 0x00</v>
      </c>
      <c r="BD7" s="3" t="str">
        <f>MID(Table1[[#This Row],[statusRaw]],1+HEX2DEC(LEFT(BD$1,2))*2, 8)</f>
        <v>000008C7</v>
      </c>
      <c r="BE7" s="3" t="str">
        <f>MID(Table1[[#This Row],[statusRaw]],1+HEX2DEC(LEFT(BE$1,2))*2, 8)</f>
        <v>000008C7</v>
      </c>
      <c r="BF7" s="9"/>
    </row>
    <row r="8" spans="1:58" x14ac:dyDescent="0.25">
      <c r="A8" s="1" t="s">
        <v>24</v>
      </c>
      <c r="B8" s="1" t="s">
        <v>25</v>
      </c>
      <c r="C8" s="1" t="s">
        <v>7</v>
      </c>
      <c r="D8" s="1" t="s">
        <v>26</v>
      </c>
      <c r="E8" s="1">
        <v>0</v>
      </c>
      <c r="F8" s="3" t="str">
        <f>HEX2BIN(MID(Table1[[#This Row],[statusRaw]],1+HEX2DEC(LEFT(F$1,2))*2, 2),8) &amp; " 0x" &amp;MID(Table1[[#This Row],[statusRaw]],1+HEX2DEC(LEFT(F$1,2))*2, 2)</f>
        <v>01010000 0x50</v>
      </c>
      <c r="G8" s="3" t="b">
        <f>MID(Table1[[#This Row],[03 - pump status (1)]],1,1)="1"</f>
        <v>0</v>
      </c>
      <c r="H8" s="3" t="b">
        <f>MID(Table1[[#This Row],[03 - pump status (1)]],2,1)="1"</f>
        <v>1</v>
      </c>
      <c r="I8" s="3" t="b">
        <f>MID(Table1[[#This Row],[03 - pump status (1)]],3,1)="1"</f>
        <v>0</v>
      </c>
      <c r="J8" s="3" t="b">
        <f>MID(Table1[[#This Row],[03 - pump status (1)]],4,1)="1"</f>
        <v>1</v>
      </c>
      <c r="K8" s="3" t="b">
        <f>MID(Table1[[#This Row],[03 - pump status (1)]],5,1)="1"</f>
        <v>0</v>
      </c>
      <c r="L8" s="3" t="b">
        <f>MID(Table1[[#This Row],[03 - pump status (1)]],6,1)="1"</f>
        <v>0</v>
      </c>
      <c r="M8" s="3" t="b">
        <f>MID(Table1[[#This Row],[03 - pump status (1)]],7,1)="1"</f>
        <v>0</v>
      </c>
      <c r="N8" s="3" t="b">
        <f>MID(Table1[[#This Row],[03 - pump status (1)]],8,1)="1"</f>
        <v>0</v>
      </c>
      <c r="O8" s="3" t="str">
        <f>MID(Table1[[#This Row],[statusRaw]],1+HEX2DEC(LEFT(O$1,2))*2, 8)</f>
        <v>00000000</v>
      </c>
      <c r="P8" s="3" t="str">
        <f>MID(Table1[[#This Row],[statusRaw]],1+HEX2DEC(LEFT(P$1,2))*2, 8)</f>
        <v>00000000</v>
      </c>
      <c r="Q8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8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8" s="3">
        <f>HEX2DEC(MID(Table1[[#This Row],[statusRaw]],1+HEX2DEC(LEFT(S$1,2))*2, 8))/10000</f>
        <v>0.7</v>
      </c>
      <c r="T8" s="3" t="str">
        <f>MID(Table1[[#This Row],[statusRaw]],1+HEX2DEC(LEFT(T$1,2))*2, 8)</f>
        <v>278A4116</v>
      </c>
      <c r="U8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8" s="3" t="str">
        <f>HEX2BIN(MID(Table1[[#This Row],[statusRaw]],1+HEX2DEC(LEFT(V$1,2))*2, 2),8) &amp; " 0x" &amp;MID(Table1[[#This Row],[statusRaw]],1+HEX2DEC(LEFT(V$1,2))*2, 2)</f>
        <v>00000001 0x01</v>
      </c>
      <c r="W8" s="3">
        <f>HEX2DEC(MID(Table1[[#This Row],[statusRaw]],1+HEX2DEC(LEFT(W$1,2))*2, 8))/10000</f>
        <v>0.45</v>
      </c>
      <c r="X8" s="3">
        <f>HEX2DEC(MID(Table1[[#This Row],[statusRaw]],1+HEX2DEC(LEFT(X$1,2))*2, 8))/10000</f>
        <v>0</v>
      </c>
      <c r="Y8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8" s="3">
        <f>HEX2DEC(MID(Table1[[#This Row],[statusRaw]],1+HEX2DEC(LEFT(Z$1,2))*2, 8))/10000</f>
        <v>0.35</v>
      </c>
      <c r="AA8" s="3">
        <f>HEX2DEC(MID(Table1[[#This Row],[statusRaw]],1+HEX2DEC(LEFT(AA$1,2))*2, 2))</f>
        <v>50</v>
      </c>
      <c r="AB8" s="3">
        <f>HEX2DEC(MID(Table1[[#This Row],[statusRaw]],1+HEX2DEC(LEFT(AB$1,2))*2, 8))/10000</f>
        <v>214.5</v>
      </c>
      <c r="AC8" s="3">
        <f>HEX2DEC(MID(Table1[[#This Row],[statusRaw]],1+HEX2DEC(LEFT(AC$1,2))*2, 2))</f>
        <v>25</v>
      </c>
      <c r="AD8" s="3">
        <f>HEX2DEC(MID(Table1[[#This Row],[statusRaw]],1+HEX2DEC(LEFT(AD$1,2))*2, 2))</f>
        <v>0</v>
      </c>
      <c r="AE8" s="3">
        <f>HEX2DEC(MID(Table1[[#This Row],[statusRaw]],1+HEX2DEC(LEFT(AE$1,2))*2, 8))/10000</f>
        <v>0.1</v>
      </c>
      <c r="AF8" s="3">
        <f>IF(AND(Table1[[#This Row],[cgm]],NOT(Table1[[#This Row],[35 - SGV special bit (2)]])), _xlfn.BITAND(HEX2DEC(MID(Table1[[#This Row],[statusRaw]],1+HEX2DEC(LEFT(AF$1,2))*2, 4)),HEX2DEC("1FF")),"")</f>
        <v>122</v>
      </c>
      <c r="AG8" s="3" t="b">
        <f>_xlfn.BITAND(HEX2DEC(MID(Table1[[#This Row],[statusRaw]],1+HEX2DEC(LEFT(AG$1,2))*2, 4)),512)=512</f>
        <v>0</v>
      </c>
      <c r="AH8" s="3" t="str">
        <f>MID(Table1[[#This Row],[statusRaw]],1+HEX2DEC(LEFT(AF$1,2))*2, 8)</f>
        <v>007A8674</v>
      </c>
      <c r="AI8" s="3" t="str">
        <f>MID(Table1[[#This Row],[statusRaw]],1+HEX2DEC(LEFT(AH$1,2))*2, 8)</f>
        <v>86746FCB</v>
      </c>
      <c r="AJ8" s="3" t="str">
        <f>HEX2BIN(MID(Table1[[#This Row],[statusRaw]],1+HEX2DEC(LEFT(AJ$1,2))*2, 2),8) &amp; " 0x" &amp;MID(Table1[[#This Row],[statusRaw]],1+HEX2DEC(LEFT(AJ$1,2))*2, 2)</f>
        <v>00000000 0x00</v>
      </c>
      <c r="AK8" s="1" t="str">
        <f>HEX2BIN(MID(Table1[[#This Row],[statusRaw]],1+HEX2DEC(LEFT(AK$1,2))*2, 2),8) &amp; " 0x" &amp;MID(Table1[[#This Row],[statusRaw]],1+HEX2DEC(LEFT(AK$1,2))*2, 2)</f>
        <v>01100000 0x60</v>
      </c>
      <c r="AL8" s="1" t="str">
        <f>VLOOKUP(Table1[[#This Row],[40 trend]],'Arrow status mapping'!$A$1:$B$8,2,FALSE)</f>
        <v>No arrows</v>
      </c>
      <c r="AM8" s="3" t="str">
        <f>HEX2BIN(MID(Table1[[#This Row],[statusRaw]],1+HEX2DEC(LEFT(AM$1,2))*2, 2),8) &amp; " 0x" &amp;MID(Table1[[#This Row],[statusRaw]],1+HEX2DEC(LEFT(AM$1,2))*2, 2)</f>
        <v>00010000 0x10</v>
      </c>
      <c r="AN8" s="3" t="str">
        <f>HEX2BIN(MID(Table1[[#This Row],[statusRaw]],1+HEX2DEC(LEFT(AN$1,2))*2, 2),8) &amp; " 0x" &amp;MID(Table1[[#This Row],[statusRaw]],1+HEX2DEC(LEFT(AN$1,2))*2, 2)</f>
        <v>00000000 0x00</v>
      </c>
      <c r="AO8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0x0294 660</v>
      </c>
      <c r="AP8" s="1" t="str">
        <f>HEX2BIN(MID(Table1[[#This Row],[statusRaw]],1+HEX2DEC(LEFT(AP$1,2))*2, 2),8) &amp; " 0x" &amp;MID(Table1[[#This Row],[statusRaw]],1+HEX2DEC(LEFT(AP$1,2))*2, 2)</f>
        <v>00101010 0x2A</v>
      </c>
      <c r="AQ8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0xFFC9 -55</v>
      </c>
      <c r="AR8" s="3">
        <f>TRUNC(_xlfn.NUMBERVALUE(RIGHT(Table1[[#This Row],[46 rate of change (2)]],LEN(Table1[[#This Row],[46 rate of change (2)]])-7))/100)</f>
        <v>0</v>
      </c>
      <c r="AS8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8" s="3" t="b">
        <f>Table1[[#This Row],[calc arrow]]=Table1[[#This Row],[trend]]</f>
        <v>1</v>
      </c>
      <c r="AU8" s="3" t="str">
        <f>HEX2BIN(MID(Table1[[#This Row],[statusRaw]],1+HEX2DEC(LEFT(AU$1,2))*2, 2),8) &amp; " 0x" &amp;MID(Table1[[#This Row],[statusRaw]],1+HEX2DEC(LEFT(AU$1,2))*2, 2)</f>
        <v>00000000 0x00</v>
      </c>
      <c r="AV8" s="3">
        <f>HEX2DEC(MID(Table1[[#This Row],[statusRaw]],1+HEX2DEC(LEFT(AV$1,2))*2, 4))</f>
        <v>0</v>
      </c>
      <c r="AW8" s="3" t="str">
        <f>HEX2BIN(MID(Table1[[#This Row],[statusRaw]],1+HEX2DEC(LEFT(AW$1,2))*2, 2),8) &amp; " 0x" &amp;MID(Table1[[#This Row],[statusRaw]],1+HEX2DEC(LEFT(AW$1,2))*2, 2)</f>
        <v>00000000 0x00</v>
      </c>
      <c r="AX8" s="3" t="str">
        <f>HEX2BIN(MID(Table1[[#This Row],[statusRaw]],1+HEX2DEC(LEFT(AX$1,2))*2, 2),8) &amp; " 0x" &amp;MID(Table1[[#This Row],[statusRaw]],1+HEX2DEC(LEFT(AX$1,2))*2, 2)</f>
        <v>00000000 0x00</v>
      </c>
      <c r="AY8" s="3" t="str">
        <f>MID(Table1[[#This Row],[statusRaw]],1+HEX2DEC(LEFT(AY$1,2))*2, 8)</f>
        <v>00000000</v>
      </c>
      <c r="AZ8" s="3" t="str">
        <f>MID(Table1[[#This Row],[statusRaw]],1+HEX2DEC(LEFT(AZ$1,2))*2, 8)</f>
        <v>00000000</v>
      </c>
      <c r="BA8" s="3" t="str">
        <f>HEX2BIN(MID(Table1[[#This Row],[statusRaw]],1+HEX2DEC(LEFT(BA$1,2))*2, 2),8) &amp; " 0x" &amp;MID(Table1[[#This Row],[statusRaw]],1+HEX2DEC(LEFT(BA$1,2))*2, 2)</f>
        <v>00000000 0x00</v>
      </c>
      <c r="BB8" s="3" t="str">
        <f>HEX2BIN(MID(Table1[[#This Row],[statusRaw]],1+HEX2DEC(LEFT(BB$1,2))*2, 2),8) &amp; " 0x" &amp;MID(Table1[[#This Row],[statusRaw]],1+HEX2DEC(LEFT(BB$1,2))*2, 2)</f>
        <v>00000000 0x00</v>
      </c>
      <c r="BC8" s="3" t="str">
        <f>HEX2BIN(MID(Table1[[#This Row],[statusRaw]],1+HEX2DEC(LEFT(BC$1,2))*2, 2),8) &amp; " 0x" &amp;MID(Table1[[#This Row],[statusRaw]],1+HEX2DEC(LEFT(BC$1,2))*2, 2)</f>
        <v>00000000 0x00</v>
      </c>
      <c r="BD8" s="3" t="str">
        <f>MID(Table1[[#This Row],[statusRaw]],1+HEX2DEC(LEFT(BD$1,2))*2, 8)</f>
        <v>000008C7</v>
      </c>
      <c r="BE8" s="3" t="str">
        <f>MID(Table1[[#This Row],[statusRaw]],1+HEX2DEC(LEFT(BE$1,2))*2, 8)</f>
        <v>000008C7</v>
      </c>
      <c r="BF8" s="9"/>
    </row>
    <row r="9" spans="1:58" x14ac:dyDescent="0.25">
      <c r="A9" s="1" t="s">
        <v>27</v>
      </c>
      <c r="B9" s="1" t="s">
        <v>28</v>
      </c>
      <c r="C9" s="1" t="s">
        <v>7</v>
      </c>
      <c r="D9" s="1" t="s">
        <v>29</v>
      </c>
      <c r="E9" s="1">
        <v>0</v>
      </c>
      <c r="F9" s="3" t="str">
        <f>HEX2BIN(MID(Table1[[#This Row],[statusRaw]],1+HEX2DEC(LEFT(F$1,2))*2, 2),8) &amp; " 0x" &amp;MID(Table1[[#This Row],[statusRaw]],1+HEX2DEC(LEFT(F$1,2))*2, 2)</f>
        <v>01010000 0x50</v>
      </c>
      <c r="G9" s="3" t="b">
        <f>MID(Table1[[#This Row],[03 - pump status (1)]],1,1)="1"</f>
        <v>0</v>
      </c>
      <c r="H9" s="3" t="b">
        <f>MID(Table1[[#This Row],[03 - pump status (1)]],2,1)="1"</f>
        <v>1</v>
      </c>
      <c r="I9" s="3" t="b">
        <f>MID(Table1[[#This Row],[03 - pump status (1)]],3,1)="1"</f>
        <v>0</v>
      </c>
      <c r="J9" s="3" t="b">
        <f>MID(Table1[[#This Row],[03 - pump status (1)]],4,1)="1"</f>
        <v>1</v>
      </c>
      <c r="K9" s="3" t="b">
        <f>MID(Table1[[#This Row],[03 - pump status (1)]],5,1)="1"</f>
        <v>0</v>
      </c>
      <c r="L9" s="3" t="b">
        <f>MID(Table1[[#This Row],[03 - pump status (1)]],6,1)="1"</f>
        <v>0</v>
      </c>
      <c r="M9" s="3" t="b">
        <f>MID(Table1[[#This Row],[03 - pump status (1)]],7,1)="1"</f>
        <v>0</v>
      </c>
      <c r="N9" s="3" t="b">
        <f>MID(Table1[[#This Row],[03 - pump status (1)]],8,1)="1"</f>
        <v>0</v>
      </c>
      <c r="O9" s="3" t="str">
        <f>MID(Table1[[#This Row],[statusRaw]],1+HEX2DEC(LEFT(O$1,2))*2, 8)</f>
        <v>00000000</v>
      </c>
      <c r="P9" s="3" t="str">
        <f>MID(Table1[[#This Row],[statusRaw]],1+HEX2DEC(LEFT(P$1,2))*2, 8)</f>
        <v>00000000</v>
      </c>
      <c r="Q9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9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9" s="3">
        <f>HEX2DEC(MID(Table1[[#This Row],[statusRaw]],1+HEX2DEC(LEFT(S$1,2))*2, 8))/10000</f>
        <v>0.7</v>
      </c>
      <c r="T9" s="3" t="str">
        <f>MID(Table1[[#This Row],[statusRaw]],1+HEX2DEC(LEFT(T$1,2))*2, 8)</f>
        <v>278A4116</v>
      </c>
      <c r="U9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9" s="3" t="str">
        <f>HEX2BIN(MID(Table1[[#This Row],[statusRaw]],1+HEX2DEC(LEFT(V$1,2))*2, 2),8) &amp; " 0x" &amp;MID(Table1[[#This Row],[statusRaw]],1+HEX2DEC(LEFT(V$1,2))*2, 2)</f>
        <v>00000001 0x01</v>
      </c>
      <c r="W9" s="3">
        <f>HEX2DEC(MID(Table1[[#This Row],[statusRaw]],1+HEX2DEC(LEFT(W$1,2))*2, 8))/10000</f>
        <v>0.45</v>
      </c>
      <c r="X9" s="3">
        <f>HEX2DEC(MID(Table1[[#This Row],[statusRaw]],1+HEX2DEC(LEFT(X$1,2))*2, 8))/10000</f>
        <v>0</v>
      </c>
      <c r="Y9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9" s="3">
        <f>HEX2DEC(MID(Table1[[#This Row],[statusRaw]],1+HEX2DEC(LEFT(Z$1,2))*2, 8))/10000</f>
        <v>0.3</v>
      </c>
      <c r="AA9" s="3">
        <f>HEX2DEC(MID(Table1[[#This Row],[statusRaw]],1+HEX2DEC(LEFT(AA$1,2))*2, 2))</f>
        <v>50</v>
      </c>
      <c r="AB9" s="3">
        <f>HEX2DEC(MID(Table1[[#This Row],[statusRaw]],1+HEX2DEC(LEFT(AB$1,2))*2, 8))/10000</f>
        <v>214.55</v>
      </c>
      <c r="AC9" s="3">
        <f>HEX2DEC(MID(Table1[[#This Row],[statusRaw]],1+HEX2DEC(LEFT(AC$1,2))*2, 2))</f>
        <v>25</v>
      </c>
      <c r="AD9" s="3">
        <f>HEX2DEC(MID(Table1[[#This Row],[statusRaw]],1+HEX2DEC(LEFT(AD$1,2))*2, 2))</f>
        <v>0</v>
      </c>
      <c r="AE9" s="3">
        <f>HEX2DEC(MID(Table1[[#This Row],[statusRaw]],1+HEX2DEC(LEFT(AE$1,2))*2, 8))/10000</f>
        <v>0.1</v>
      </c>
      <c r="AF9" s="3">
        <f>IF(AND(Table1[[#This Row],[cgm]],NOT(Table1[[#This Row],[35 - SGV special bit (2)]])), _xlfn.BITAND(HEX2DEC(MID(Table1[[#This Row],[statusRaw]],1+HEX2DEC(LEFT(AF$1,2))*2, 4)),HEX2DEC("1FF")),"")</f>
        <v>127</v>
      </c>
      <c r="AG9" s="3" t="b">
        <f>_xlfn.BITAND(HEX2DEC(MID(Table1[[#This Row],[statusRaw]],1+HEX2DEC(LEFT(AG$1,2))*2, 4)),512)=512</f>
        <v>0</v>
      </c>
      <c r="AH9" s="3" t="str">
        <f>MID(Table1[[#This Row],[statusRaw]],1+HEX2DEC(LEFT(AF$1,2))*2, 8)</f>
        <v>007F8674</v>
      </c>
      <c r="AI9" s="3" t="str">
        <f>MID(Table1[[#This Row],[statusRaw]],1+HEX2DEC(LEFT(AH$1,2))*2, 8)</f>
        <v>86746E9F</v>
      </c>
      <c r="AJ9" s="3" t="str">
        <f>HEX2BIN(MID(Table1[[#This Row],[statusRaw]],1+HEX2DEC(LEFT(AJ$1,2))*2, 2),8) &amp; " 0x" &amp;MID(Table1[[#This Row],[statusRaw]],1+HEX2DEC(LEFT(AJ$1,2))*2, 2)</f>
        <v>00000000 0x00</v>
      </c>
      <c r="AK9" s="1" t="str">
        <f>HEX2BIN(MID(Table1[[#This Row],[statusRaw]],1+HEX2DEC(LEFT(AK$1,2))*2, 2),8) &amp; " 0x" &amp;MID(Table1[[#This Row],[statusRaw]],1+HEX2DEC(LEFT(AK$1,2))*2, 2)</f>
        <v>01100000 0x60</v>
      </c>
      <c r="AL9" s="1" t="str">
        <f>VLOOKUP(Table1[[#This Row],[40 trend]],'Arrow status mapping'!$A$1:$B$8,2,FALSE)</f>
        <v>No arrows</v>
      </c>
      <c r="AM9" s="3" t="str">
        <f>HEX2BIN(MID(Table1[[#This Row],[statusRaw]],1+HEX2DEC(LEFT(AM$1,2))*2, 2),8) &amp; " 0x" &amp;MID(Table1[[#This Row],[statusRaw]],1+HEX2DEC(LEFT(AM$1,2))*2, 2)</f>
        <v>00010000 0x10</v>
      </c>
      <c r="AN9" s="3" t="str">
        <f>HEX2BIN(MID(Table1[[#This Row],[statusRaw]],1+HEX2DEC(LEFT(AN$1,2))*2, 2),8) &amp; " 0x" &amp;MID(Table1[[#This Row],[statusRaw]],1+HEX2DEC(LEFT(AN$1,2))*2, 2)</f>
        <v>00000000 0x00</v>
      </c>
      <c r="AO9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0x0299 665</v>
      </c>
      <c r="AP9" s="1" t="str">
        <f>HEX2BIN(MID(Table1[[#This Row],[statusRaw]],1+HEX2DEC(LEFT(AP$1,2))*2, 2),8) &amp; " 0x" &amp;MID(Table1[[#This Row],[statusRaw]],1+HEX2DEC(LEFT(AP$1,2))*2, 2)</f>
        <v>00101010 0x2A</v>
      </c>
      <c r="AQ9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0xFFCC -52</v>
      </c>
      <c r="AR9" s="3">
        <f>TRUNC(_xlfn.NUMBERVALUE(RIGHT(Table1[[#This Row],[46 rate of change (2)]],LEN(Table1[[#This Row],[46 rate of change (2)]])-7))/100)</f>
        <v>0</v>
      </c>
      <c r="AS9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9" s="3" t="b">
        <f>Table1[[#This Row],[calc arrow]]=Table1[[#This Row],[trend]]</f>
        <v>1</v>
      </c>
      <c r="AU9" s="3" t="str">
        <f>HEX2BIN(MID(Table1[[#This Row],[statusRaw]],1+HEX2DEC(LEFT(AU$1,2))*2, 2),8) &amp; " 0x" &amp;MID(Table1[[#This Row],[statusRaw]],1+HEX2DEC(LEFT(AU$1,2))*2, 2)</f>
        <v>00000000 0x00</v>
      </c>
      <c r="AV9" s="3">
        <f>HEX2DEC(MID(Table1[[#This Row],[statusRaw]],1+HEX2DEC(LEFT(AV$1,2))*2, 4))</f>
        <v>0</v>
      </c>
      <c r="AW9" s="3" t="str">
        <f>HEX2BIN(MID(Table1[[#This Row],[statusRaw]],1+HEX2DEC(LEFT(AW$1,2))*2, 2),8) &amp; " 0x" &amp;MID(Table1[[#This Row],[statusRaw]],1+HEX2DEC(LEFT(AW$1,2))*2, 2)</f>
        <v>00000000 0x00</v>
      </c>
      <c r="AX9" s="3" t="str">
        <f>HEX2BIN(MID(Table1[[#This Row],[statusRaw]],1+HEX2DEC(LEFT(AX$1,2))*2, 2),8) &amp; " 0x" &amp;MID(Table1[[#This Row],[statusRaw]],1+HEX2DEC(LEFT(AX$1,2))*2, 2)</f>
        <v>00000000 0x00</v>
      </c>
      <c r="AY9" s="3" t="str">
        <f>MID(Table1[[#This Row],[statusRaw]],1+HEX2DEC(LEFT(AY$1,2))*2, 8)</f>
        <v>00000000</v>
      </c>
      <c r="AZ9" s="3" t="str">
        <f>MID(Table1[[#This Row],[statusRaw]],1+HEX2DEC(LEFT(AZ$1,2))*2, 8)</f>
        <v>00000000</v>
      </c>
      <c r="BA9" s="3" t="str">
        <f>HEX2BIN(MID(Table1[[#This Row],[statusRaw]],1+HEX2DEC(LEFT(BA$1,2))*2, 2),8) &amp; " 0x" &amp;MID(Table1[[#This Row],[statusRaw]],1+HEX2DEC(LEFT(BA$1,2))*2, 2)</f>
        <v>00000000 0x00</v>
      </c>
      <c r="BB9" s="3" t="str">
        <f>HEX2BIN(MID(Table1[[#This Row],[statusRaw]],1+HEX2DEC(LEFT(BB$1,2))*2, 2),8) &amp; " 0x" &amp;MID(Table1[[#This Row],[statusRaw]],1+HEX2DEC(LEFT(BB$1,2))*2, 2)</f>
        <v>00000000 0x00</v>
      </c>
      <c r="BC9" s="3" t="str">
        <f>HEX2BIN(MID(Table1[[#This Row],[statusRaw]],1+HEX2DEC(LEFT(BC$1,2))*2, 2),8) &amp; " 0x" &amp;MID(Table1[[#This Row],[statusRaw]],1+HEX2DEC(LEFT(BC$1,2))*2, 2)</f>
        <v>00000000 0x00</v>
      </c>
      <c r="BD9" s="3" t="str">
        <f>MID(Table1[[#This Row],[statusRaw]],1+HEX2DEC(LEFT(BD$1,2))*2, 8)</f>
        <v>000008C7</v>
      </c>
      <c r="BE9" s="3" t="str">
        <f>MID(Table1[[#This Row],[statusRaw]],1+HEX2DEC(LEFT(BE$1,2))*2, 8)</f>
        <v>000008C7</v>
      </c>
      <c r="BF9" s="9"/>
    </row>
    <row r="10" spans="1:58" x14ac:dyDescent="0.25">
      <c r="A10" s="1" t="s">
        <v>30</v>
      </c>
      <c r="B10" s="1" t="s">
        <v>31</v>
      </c>
      <c r="C10" s="1" t="s">
        <v>7</v>
      </c>
      <c r="D10" s="1" t="s">
        <v>32</v>
      </c>
      <c r="E10" s="1">
        <v>0</v>
      </c>
      <c r="F10" s="3" t="str">
        <f>HEX2BIN(MID(Table1[[#This Row],[statusRaw]],1+HEX2DEC(LEFT(F$1,2))*2, 2),8) &amp; " 0x" &amp;MID(Table1[[#This Row],[statusRaw]],1+HEX2DEC(LEFT(F$1,2))*2, 2)</f>
        <v>01010000 0x50</v>
      </c>
      <c r="G10" s="3" t="b">
        <f>MID(Table1[[#This Row],[03 - pump status (1)]],1,1)="1"</f>
        <v>0</v>
      </c>
      <c r="H10" s="3" t="b">
        <f>MID(Table1[[#This Row],[03 - pump status (1)]],2,1)="1"</f>
        <v>1</v>
      </c>
      <c r="I10" s="3" t="b">
        <f>MID(Table1[[#This Row],[03 - pump status (1)]],3,1)="1"</f>
        <v>0</v>
      </c>
      <c r="J10" s="3" t="b">
        <f>MID(Table1[[#This Row],[03 - pump status (1)]],4,1)="1"</f>
        <v>1</v>
      </c>
      <c r="K10" s="3" t="b">
        <f>MID(Table1[[#This Row],[03 - pump status (1)]],5,1)="1"</f>
        <v>0</v>
      </c>
      <c r="L10" s="3" t="b">
        <f>MID(Table1[[#This Row],[03 - pump status (1)]],6,1)="1"</f>
        <v>0</v>
      </c>
      <c r="M10" s="3" t="b">
        <f>MID(Table1[[#This Row],[03 - pump status (1)]],7,1)="1"</f>
        <v>0</v>
      </c>
      <c r="N10" s="3" t="b">
        <f>MID(Table1[[#This Row],[03 - pump status (1)]],8,1)="1"</f>
        <v>0</v>
      </c>
      <c r="O10" s="3" t="str">
        <f>MID(Table1[[#This Row],[statusRaw]],1+HEX2DEC(LEFT(O$1,2))*2, 8)</f>
        <v>00000000</v>
      </c>
      <c r="P10" s="3" t="str">
        <f>MID(Table1[[#This Row],[statusRaw]],1+HEX2DEC(LEFT(P$1,2))*2, 8)</f>
        <v>00000000</v>
      </c>
      <c r="Q10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0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0" s="3">
        <f>HEX2DEC(MID(Table1[[#This Row],[statusRaw]],1+HEX2DEC(LEFT(S$1,2))*2, 8))/10000</f>
        <v>0.7</v>
      </c>
      <c r="T10" s="3" t="str">
        <f>MID(Table1[[#This Row],[statusRaw]],1+HEX2DEC(LEFT(T$1,2))*2, 8)</f>
        <v>278A4116</v>
      </c>
      <c r="U10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10" s="3" t="str">
        <f>HEX2BIN(MID(Table1[[#This Row],[statusRaw]],1+HEX2DEC(LEFT(V$1,2))*2, 2),8) &amp; " 0x" &amp;MID(Table1[[#This Row],[statusRaw]],1+HEX2DEC(LEFT(V$1,2))*2, 2)</f>
        <v>00000001 0x01</v>
      </c>
      <c r="W10" s="3">
        <f>HEX2DEC(MID(Table1[[#This Row],[statusRaw]],1+HEX2DEC(LEFT(W$1,2))*2, 8))/10000</f>
        <v>0.45</v>
      </c>
      <c r="X10" s="3">
        <f>HEX2DEC(MID(Table1[[#This Row],[statusRaw]],1+HEX2DEC(LEFT(X$1,2))*2, 8))/10000</f>
        <v>0</v>
      </c>
      <c r="Y10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0" s="3">
        <f>HEX2DEC(MID(Table1[[#This Row],[statusRaw]],1+HEX2DEC(LEFT(Z$1,2))*2, 8))/10000</f>
        <v>0.27500000000000002</v>
      </c>
      <c r="AA10" s="3">
        <f>HEX2DEC(MID(Table1[[#This Row],[statusRaw]],1+HEX2DEC(LEFT(AA$1,2))*2, 2))</f>
        <v>50</v>
      </c>
      <c r="AB10" s="3">
        <f>HEX2DEC(MID(Table1[[#This Row],[statusRaw]],1+HEX2DEC(LEFT(AB$1,2))*2, 8))/10000</f>
        <v>214.57499999999999</v>
      </c>
      <c r="AC10" s="3">
        <f>HEX2DEC(MID(Table1[[#This Row],[statusRaw]],1+HEX2DEC(LEFT(AC$1,2))*2, 2))</f>
        <v>25</v>
      </c>
      <c r="AD10" s="3">
        <f>HEX2DEC(MID(Table1[[#This Row],[statusRaw]],1+HEX2DEC(LEFT(AD$1,2))*2, 2))</f>
        <v>0</v>
      </c>
      <c r="AE10" s="3">
        <f>HEX2DEC(MID(Table1[[#This Row],[statusRaw]],1+HEX2DEC(LEFT(AE$1,2))*2, 8))/10000</f>
        <v>0.1</v>
      </c>
      <c r="AF10" s="3">
        <f>IF(AND(Table1[[#This Row],[cgm]],NOT(Table1[[#This Row],[35 - SGV special bit (2)]])), _xlfn.BITAND(HEX2DEC(MID(Table1[[#This Row],[statusRaw]],1+HEX2DEC(LEFT(AF$1,2))*2, 4)),HEX2DEC("1FF")),"")</f>
        <v>135</v>
      </c>
      <c r="AG10" s="3" t="b">
        <f>_xlfn.BITAND(HEX2DEC(MID(Table1[[#This Row],[statusRaw]],1+HEX2DEC(LEFT(AG$1,2))*2, 4)),512)=512</f>
        <v>0</v>
      </c>
      <c r="AH10" s="3" t="str">
        <f>MID(Table1[[#This Row],[statusRaw]],1+HEX2DEC(LEFT(AF$1,2))*2, 8)</f>
        <v>00878674</v>
      </c>
      <c r="AI10" s="3" t="str">
        <f>MID(Table1[[#This Row],[statusRaw]],1+HEX2DEC(LEFT(AH$1,2))*2, 8)</f>
        <v>86746D73</v>
      </c>
      <c r="AJ10" s="3" t="str">
        <f>HEX2BIN(MID(Table1[[#This Row],[statusRaw]],1+HEX2DEC(LEFT(AJ$1,2))*2, 2),8) &amp; " 0x" &amp;MID(Table1[[#This Row],[statusRaw]],1+HEX2DEC(LEFT(AJ$1,2))*2, 2)</f>
        <v>00000000 0x00</v>
      </c>
      <c r="AK10" s="1" t="str">
        <f>HEX2BIN(MID(Table1[[#This Row],[statusRaw]],1+HEX2DEC(LEFT(AK$1,2))*2, 2),8) &amp; " 0x" &amp;MID(Table1[[#This Row],[statusRaw]],1+HEX2DEC(LEFT(AK$1,2))*2, 2)</f>
        <v>01100000 0x60</v>
      </c>
      <c r="AL10" s="1" t="str">
        <f>VLOOKUP(Table1[[#This Row],[40 trend]],'Arrow status mapping'!$A$1:$B$8,2,FALSE)</f>
        <v>No arrows</v>
      </c>
      <c r="AM10" s="3" t="str">
        <f>HEX2BIN(MID(Table1[[#This Row],[statusRaw]],1+HEX2DEC(LEFT(AM$1,2))*2, 2),8) &amp; " 0x" &amp;MID(Table1[[#This Row],[statusRaw]],1+HEX2DEC(LEFT(AM$1,2))*2, 2)</f>
        <v>00010000 0x10</v>
      </c>
      <c r="AN10" s="3" t="str">
        <f>HEX2BIN(MID(Table1[[#This Row],[statusRaw]],1+HEX2DEC(LEFT(AN$1,2))*2, 2),8) &amp; " 0x" &amp;MID(Table1[[#This Row],[statusRaw]],1+HEX2DEC(LEFT(AN$1,2))*2, 2)</f>
        <v>00000000 0x00</v>
      </c>
      <c r="AO10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0x029E 670</v>
      </c>
      <c r="AP10" s="1" t="str">
        <f>HEX2BIN(MID(Table1[[#This Row],[statusRaw]],1+HEX2DEC(LEFT(AP$1,2))*2, 2),8) &amp; " 0x" &amp;MID(Table1[[#This Row],[statusRaw]],1+HEX2DEC(LEFT(AP$1,2))*2, 2)</f>
        <v>00101010 0x2A</v>
      </c>
      <c r="AQ10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10" s="3">
        <f>TRUNC(_xlfn.NUMBERVALUE(RIGHT(Table1[[#This Row],[46 rate of change (2)]],LEN(Table1[[#This Row],[46 rate of change (2)]])-7))/100)</f>
        <v>0</v>
      </c>
      <c r="AS10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0" s="3" t="b">
        <f>Table1[[#This Row],[calc arrow]]=Table1[[#This Row],[trend]]</f>
        <v>1</v>
      </c>
      <c r="AU10" s="3" t="str">
        <f>HEX2BIN(MID(Table1[[#This Row],[statusRaw]],1+HEX2DEC(LEFT(AU$1,2))*2, 2),8) &amp; " 0x" &amp;MID(Table1[[#This Row],[statusRaw]],1+HEX2DEC(LEFT(AU$1,2))*2, 2)</f>
        <v>00000000 0x00</v>
      </c>
      <c r="AV10" s="3">
        <f>HEX2DEC(MID(Table1[[#This Row],[statusRaw]],1+HEX2DEC(LEFT(AV$1,2))*2, 4))</f>
        <v>0</v>
      </c>
      <c r="AW10" s="3" t="str">
        <f>HEX2BIN(MID(Table1[[#This Row],[statusRaw]],1+HEX2DEC(LEFT(AW$1,2))*2, 2),8) &amp; " 0x" &amp;MID(Table1[[#This Row],[statusRaw]],1+HEX2DEC(LEFT(AW$1,2))*2, 2)</f>
        <v>00000000 0x00</v>
      </c>
      <c r="AX10" s="3" t="str">
        <f>HEX2BIN(MID(Table1[[#This Row],[statusRaw]],1+HEX2DEC(LEFT(AX$1,2))*2, 2),8) &amp; " 0x" &amp;MID(Table1[[#This Row],[statusRaw]],1+HEX2DEC(LEFT(AX$1,2))*2, 2)</f>
        <v>00000000 0x00</v>
      </c>
      <c r="AY10" s="3" t="str">
        <f>MID(Table1[[#This Row],[statusRaw]],1+HEX2DEC(LEFT(AY$1,2))*2, 8)</f>
        <v>00000000</v>
      </c>
      <c r="AZ10" s="3" t="str">
        <f>MID(Table1[[#This Row],[statusRaw]],1+HEX2DEC(LEFT(AZ$1,2))*2, 8)</f>
        <v>00000000</v>
      </c>
      <c r="BA10" s="3" t="str">
        <f>HEX2BIN(MID(Table1[[#This Row],[statusRaw]],1+HEX2DEC(LEFT(BA$1,2))*2, 2),8) &amp; " 0x" &amp;MID(Table1[[#This Row],[statusRaw]],1+HEX2DEC(LEFT(BA$1,2))*2, 2)</f>
        <v>00000000 0x00</v>
      </c>
      <c r="BB10" s="3" t="str">
        <f>HEX2BIN(MID(Table1[[#This Row],[statusRaw]],1+HEX2DEC(LEFT(BB$1,2))*2, 2),8) &amp; " 0x" &amp;MID(Table1[[#This Row],[statusRaw]],1+HEX2DEC(LEFT(BB$1,2))*2, 2)</f>
        <v>00000000 0x00</v>
      </c>
      <c r="BC10" s="3" t="str">
        <f>HEX2BIN(MID(Table1[[#This Row],[statusRaw]],1+HEX2DEC(LEFT(BC$1,2))*2, 2),8) &amp; " 0x" &amp;MID(Table1[[#This Row],[statusRaw]],1+HEX2DEC(LEFT(BC$1,2))*2, 2)</f>
        <v>00000000 0x00</v>
      </c>
      <c r="BD10" s="3" t="str">
        <f>MID(Table1[[#This Row],[statusRaw]],1+HEX2DEC(LEFT(BD$1,2))*2, 8)</f>
        <v>000008C7</v>
      </c>
      <c r="BE10" s="3" t="str">
        <f>MID(Table1[[#This Row],[statusRaw]],1+HEX2DEC(LEFT(BE$1,2))*2, 8)</f>
        <v>000008C7</v>
      </c>
      <c r="BF10" s="9"/>
    </row>
    <row r="11" spans="1:58" x14ac:dyDescent="0.25">
      <c r="A11" s="1" t="s">
        <v>33</v>
      </c>
      <c r="B11" s="1" t="s">
        <v>34</v>
      </c>
      <c r="C11" s="1" t="s">
        <v>7</v>
      </c>
      <c r="D11" s="1" t="s">
        <v>35</v>
      </c>
      <c r="E11" s="1">
        <v>0</v>
      </c>
      <c r="F11" s="3" t="str">
        <f>HEX2BIN(MID(Table1[[#This Row],[statusRaw]],1+HEX2DEC(LEFT(F$1,2))*2, 2),8) &amp; " 0x" &amp;MID(Table1[[#This Row],[statusRaw]],1+HEX2DEC(LEFT(F$1,2))*2, 2)</f>
        <v>01010000 0x50</v>
      </c>
      <c r="G11" s="3" t="b">
        <f>MID(Table1[[#This Row],[03 - pump status (1)]],1,1)="1"</f>
        <v>0</v>
      </c>
      <c r="H11" s="3" t="b">
        <f>MID(Table1[[#This Row],[03 - pump status (1)]],2,1)="1"</f>
        <v>1</v>
      </c>
      <c r="I11" s="3" t="b">
        <f>MID(Table1[[#This Row],[03 - pump status (1)]],3,1)="1"</f>
        <v>0</v>
      </c>
      <c r="J11" s="3" t="b">
        <f>MID(Table1[[#This Row],[03 - pump status (1)]],4,1)="1"</f>
        <v>1</v>
      </c>
      <c r="K11" s="3" t="b">
        <f>MID(Table1[[#This Row],[03 - pump status (1)]],5,1)="1"</f>
        <v>0</v>
      </c>
      <c r="L11" s="3" t="b">
        <f>MID(Table1[[#This Row],[03 - pump status (1)]],6,1)="1"</f>
        <v>0</v>
      </c>
      <c r="M11" s="3" t="b">
        <f>MID(Table1[[#This Row],[03 - pump status (1)]],7,1)="1"</f>
        <v>0</v>
      </c>
      <c r="N11" s="3" t="b">
        <f>MID(Table1[[#This Row],[03 - pump status (1)]],8,1)="1"</f>
        <v>0</v>
      </c>
      <c r="O11" s="3" t="str">
        <f>MID(Table1[[#This Row],[statusRaw]],1+HEX2DEC(LEFT(O$1,2))*2, 8)</f>
        <v>00000000</v>
      </c>
      <c r="P11" s="3" t="str">
        <f>MID(Table1[[#This Row],[statusRaw]],1+HEX2DEC(LEFT(P$1,2))*2, 8)</f>
        <v>00000000</v>
      </c>
      <c r="Q11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1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1" s="3">
        <f>HEX2DEC(MID(Table1[[#This Row],[statusRaw]],1+HEX2DEC(LEFT(S$1,2))*2, 8))/10000</f>
        <v>0.7</v>
      </c>
      <c r="T11" s="3" t="str">
        <f>MID(Table1[[#This Row],[statusRaw]],1+HEX2DEC(LEFT(T$1,2))*2, 8)</f>
        <v>278A4116</v>
      </c>
      <c r="U11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11" s="3" t="str">
        <f>HEX2BIN(MID(Table1[[#This Row],[statusRaw]],1+HEX2DEC(LEFT(V$1,2))*2, 2),8) &amp; " 0x" &amp;MID(Table1[[#This Row],[statusRaw]],1+HEX2DEC(LEFT(V$1,2))*2, 2)</f>
        <v>00000001 0x01</v>
      </c>
      <c r="W11" s="3">
        <f>HEX2DEC(MID(Table1[[#This Row],[statusRaw]],1+HEX2DEC(LEFT(W$1,2))*2, 8))/10000</f>
        <v>0.45</v>
      </c>
      <c r="X11" s="3">
        <f>HEX2DEC(MID(Table1[[#This Row],[statusRaw]],1+HEX2DEC(LEFT(X$1,2))*2, 8))/10000</f>
        <v>0</v>
      </c>
      <c r="Y11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1" s="3">
        <f>HEX2DEC(MID(Table1[[#This Row],[statusRaw]],1+HEX2DEC(LEFT(Z$1,2))*2, 8))/10000</f>
        <v>0.22500000000000001</v>
      </c>
      <c r="AA11" s="3">
        <f>HEX2DEC(MID(Table1[[#This Row],[statusRaw]],1+HEX2DEC(LEFT(AA$1,2))*2, 2))</f>
        <v>50</v>
      </c>
      <c r="AB11" s="3">
        <f>HEX2DEC(MID(Table1[[#This Row],[statusRaw]],1+HEX2DEC(LEFT(AB$1,2))*2, 8))/10000</f>
        <v>214.625</v>
      </c>
      <c r="AC11" s="3">
        <f>HEX2DEC(MID(Table1[[#This Row],[statusRaw]],1+HEX2DEC(LEFT(AC$1,2))*2, 2))</f>
        <v>25</v>
      </c>
      <c r="AD11" s="3">
        <f>HEX2DEC(MID(Table1[[#This Row],[statusRaw]],1+HEX2DEC(LEFT(AD$1,2))*2, 2))</f>
        <v>0</v>
      </c>
      <c r="AE11" s="3">
        <f>HEX2DEC(MID(Table1[[#This Row],[statusRaw]],1+HEX2DEC(LEFT(AE$1,2))*2, 8))/10000</f>
        <v>0.1</v>
      </c>
      <c r="AF11" s="3">
        <f>IF(AND(Table1[[#This Row],[cgm]],NOT(Table1[[#This Row],[35 - SGV special bit (2)]])), _xlfn.BITAND(HEX2DEC(MID(Table1[[#This Row],[statusRaw]],1+HEX2DEC(LEFT(AF$1,2))*2, 4)),HEX2DEC("1FF")),"")</f>
        <v>138</v>
      </c>
      <c r="AG11" s="3" t="b">
        <f>_xlfn.BITAND(HEX2DEC(MID(Table1[[#This Row],[statusRaw]],1+HEX2DEC(LEFT(AG$1,2))*2, 4)),512)=512</f>
        <v>0</v>
      </c>
      <c r="AH11" s="3" t="str">
        <f>MID(Table1[[#This Row],[statusRaw]],1+HEX2DEC(LEFT(AF$1,2))*2, 8)</f>
        <v>008A8674</v>
      </c>
      <c r="AI11" s="3" t="str">
        <f>MID(Table1[[#This Row],[statusRaw]],1+HEX2DEC(LEFT(AH$1,2))*2, 8)</f>
        <v>86746C47</v>
      </c>
      <c r="AJ11" s="3" t="str">
        <f>HEX2BIN(MID(Table1[[#This Row],[statusRaw]],1+HEX2DEC(LEFT(AJ$1,2))*2, 2),8) &amp; " 0x" &amp;MID(Table1[[#This Row],[statusRaw]],1+HEX2DEC(LEFT(AJ$1,2))*2, 2)</f>
        <v>00000000 0x00</v>
      </c>
      <c r="AK11" s="1" t="str">
        <f>HEX2BIN(MID(Table1[[#This Row],[statusRaw]],1+HEX2DEC(LEFT(AK$1,2))*2, 2),8) &amp; " 0x" &amp;MID(Table1[[#This Row],[statusRaw]],1+HEX2DEC(LEFT(AK$1,2))*2, 2)</f>
        <v>01100000 0x60</v>
      </c>
      <c r="AL11" s="1" t="str">
        <f>VLOOKUP(Table1[[#This Row],[40 trend]],'Arrow status mapping'!$A$1:$B$8,2,FALSE)</f>
        <v>No arrows</v>
      </c>
      <c r="AM11" s="3" t="str">
        <f>HEX2BIN(MID(Table1[[#This Row],[statusRaw]],1+HEX2DEC(LEFT(AM$1,2))*2, 2),8) &amp; " 0x" &amp;MID(Table1[[#This Row],[statusRaw]],1+HEX2DEC(LEFT(AM$1,2))*2, 2)</f>
        <v>00010000 0x10</v>
      </c>
      <c r="AN11" s="3" t="str">
        <f>HEX2BIN(MID(Table1[[#This Row],[statusRaw]],1+HEX2DEC(LEFT(AN$1,2))*2, 2),8) &amp; " 0x" &amp;MID(Table1[[#This Row],[statusRaw]],1+HEX2DEC(LEFT(AN$1,2))*2, 2)</f>
        <v>00000000 0x00</v>
      </c>
      <c r="AO11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0x02A3 675</v>
      </c>
      <c r="AP11" s="1" t="str">
        <f>HEX2BIN(MID(Table1[[#This Row],[statusRaw]],1+HEX2DEC(LEFT(AP$1,2))*2, 2),8) &amp; " 0x" &amp;MID(Table1[[#This Row],[statusRaw]],1+HEX2DEC(LEFT(AP$1,2))*2, 2)</f>
        <v>00101010 0x2A</v>
      </c>
      <c r="AQ11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0x004B 75</v>
      </c>
      <c r="AR11" s="3">
        <f>TRUNC(_xlfn.NUMBERVALUE(RIGHT(Table1[[#This Row],[46 rate of change (2)]],LEN(Table1[[#This Row],[46 rate of change (2)]])-7))/100)</f>
        <v>0</v>
      </c>
      <c r="AS11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1" s="3" t="b">
        <f>Table1[[#This Row],[calc arrow]]=Table1[[#This Row],[trend]]</f>
        <v>1</v>
      </c>
      <c r="AU11" s="3" t="str">
        <f>HEX2BIN(MID(Table1[[#This Row],[statusRaw]],1+HEX2DEC(LEFT(AU$1,2))*2, 2),8) &amp; " 0x" &amp;MID(Table1[[#This Row],[statusRaw]],1+HEX2DEC(LEFT(AU$1,2))*2, 2)</f>
        <v>00000000 0x00</v>
      </c>
      <c r="AV11" s="3">
        <f>HEX2DEC(MID(Table1[[#This Row],[statusRaw]],1+HEX2DEC(LEFT(AV$1,2))*2, 4))</f>
        <v>0</v>
      </c>
      <c r="AW11" s="3" t="str">
        <f>HEX2BIN(MID(Table1[[#This Row],[statusRaw]],1+HEX2DEC(LEFT(AW$1,2))*2, 2),8) &amp; " 0x" &amp;MID(Table1[[#This Row],[statusRaw]],1+HEX2DEC(LEFT(AW$1,2))*2, 2)</f>
        <v>00000000 0x00</v>
      </c>
      <c r="AX11" s="3" t="str">
        <f>HEX2BIN(MID(Table1[[#This Row],[statusRaw]],1+HEX2DEC(LEFT(AX$1,2))*2, 2),8) &amp; " 0x" &amp;MID(Table1[[#This Row],[statusRaw]],1+HEX2DEC(LEFT(AX$1,2))*2, 2)</f>
        <v>00000000 0x00</v>
      </c>
      <c r="AY11" s="3" t="str">
        <f>MID(Table1[[#This Row],[statusRaw]],1+HEX2DEC(LEFT(AY$1,2))*2, 8)</f>
        <v>00000000</v>
      </c>
      <c r="AZ11" s="3" t="str">
        <f>MID(Table1[[#This Row],[statusRaw]],1+HEX2DEC(LEFT(AZ$1,2))*2, 8)</f>
        <v>00000000</v>
      </c>
      <c r="BA11" s="3" t="str">
        <f>HEX2BIN(MID(Table1[[#This Row],[statusRaw]],1+HEX2DEC(LEFT(BA$1,2))*2, 2),8) &amp; " 0x" &amp;MID(Table1[[#This Row],[statusRaw]],1+HEX2DEC(LEFT(BA$1,2))*2, 2)</f>
        <v>00000000 0x00</v>
      </c>
      <c r="BB11" s="3" t="str">
        <f>HEX2BIN(MID(Table1[[#This Row],[statusRaw]],1+HEX2DEC(LEFT(BB$1,2))*2, 2),8) &amp; " 0x" &amp;MID(Table1[[#This Row],[statusRaw]],1+HEX2DEC(LEFT(BB$1,2))*2, 2)</f>
        <v>00000000 0x00</v>
      </c>
      <c r="BC11" s="3" t="str">
        <f>HEX2BIN(MID(Table1[[#This Row],[statusRaw]],1+HEX2DEC(LEFT(BC$1,2))*2, 2),8) &amp; " 0x" &amp;MID(Table1[[#This Row],[statusRaw]],1+HEX2DEC(LEFT(BC$1,2))*2, 2)</f>
        <v>00000000 0x00</v>
      </c>
      <c r="BD11" s="3" t="str">
        <f>MID(Table1[[#This Row],[statusRaw]],1+HEX2DEC(LEFT(BD$1,2))*2, 8)</f>
        <v>000008C7</v>
      </c>
      <c r="BE11" s="3" t="str">
        <f>MID(Table1[[#This Row],[statusRaw]],1+HEX2DEC(LEFT(BE$1,2))*2, 8)</f>
        <v>000008C7</v>
      </c>
      <c r="BF11" s="9"/>
    </row>
    <row r="12" spans="1:58" x14ac:dyDescent="0.25">
      <c r="A12" s="1" t="s">
        <v>36</v>
      </c>
      <c r="B12" s="1" t="s">
        <v>37</v>
      </c>
      <c r="C12" s="1" t="s">
        <v>7</v>
      </c>
      <c r="D12" s="1" t="s">
        <v>38</v>
      </c>
      <c r="E12" s="1">
        <v>0</v>
      </c>
      <c r="F12" s="3" t="str">
        <f>HEX2BIN(MID(Table1[[#This Row],[statusRaw]],1+HEX2DEC(LEFT(F$1,2))*2, 2),8) &amp; " 0x" &amp;MID(Table1[[#This Row],[statusRaw]],1+HEX2DEC(LEFT(F$1,2))*2, 2)</f>
        <v>01010000 0x50</v>
      </c>
      <c r="G12" s="3" t="b">
        <f>MID(Table1[[#This Row],[03 - pump status (1)]],1,1)="1"</f>
        <v>0</v>
      </c>
      <c r="H12" s="3" t="b">
        <f>MID(Table1[[#This Row],[03 - pump status (1)]],2,1)="1"</f>
        <v>1</v>
      </c>
      <c r="I12" s="3" t="b">
        <f>MID(Table1[[#This Row],[03 - pump status (1)]],3,1)="1"</f>
        <v>0</v>
      </c>
      <c r="J12" s="3" t="b">
        <f>MID(Table1[[#This Row],[03 - pump status (1)]],4,1)="1"</f>
        <v>1</v>
      </c>
      <c r="K12" s="3" t="b">
        <f>MID(Table1[[#This Row],[03 - pump status (1)]],5,1)="1"</f>
        <v>0</v>
      </c>
      <c r="L12" s="3" t="b">
        <f>MID(Table1[[#This Row],[03 - pump status (1)]],6,1)="1"</f>
        <v>0</v>
      </c>
      <c r="M12" s="3" t="b">
        <f>MID(Table1[[#This Row],[03 - pump status (1)]],7,1)="1"</f>
        <v>0</v>
      </c>
      <c r="N12" s="3" t="b">
        <f>MID(Table1[[#This Row],[03 - pump status (1)]],8,1)="1"</f>
        <v>0</v>
      </c>
      <c r="O12" s="3" t="str">
        <f>MID(Table1[[#This Row],[statusRaw]],1+HEX2DEC(LEFT(O$1,2))*2, 8)</f>
        <v>00000000</v>
      </c>
      <c r="P12" s="3" t="str">
        <f>MID(Table1[[#This Row],[statusRaw]],1+HEX2DEC(LEFT(P$1,2))*2, 8)</f>
        <v>00000000</v>
      </c>
      <c r="Q12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2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2" s="3">
        <f>HEX2DEC(MID(Table1[[#This Row],[statusRaw]],1+HEX2DEC(LEFT(S$1,2))*2, 8))/10000</f>
        <v>0.7</v>
      </c>
      <c r="T12" s="3" t="str">
        <f>MID(Table1[[#This Row],[statusRaw]],1+HEX2DEC(LEFT(T$1,2))*2, 8)</f>
        <v>278A4116</v>
      </c>
      <c r="U12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12" s="3" t="str">
        <f>HEX2BIN(MID(Table1[[#This Row],[statusRaw]],1+HEX2DEC(LEFT(V$1,2))*2, 2),8) &amp; " 0x" &amp;MID(Table1[[#This Row],[statusRaw]],1+HEX2DEC(LEFT(V$1,2))*2, 2)</f>
        <v>00000001 0x01</v>
      </c>
      <c r="W12" s="3">
        <f>HEX2DEC(MID(Table1[[#This Row],[statusRaw]],1+HEX2DEC(LEFT(W$1,2))*2, 8))/10000</f>
        <v>0.45</v>
      </c>
      <c r="X12" s="3">
        <f>HEX2DEC(MID(Table1[[#This Row],[statusRaw]],1+HEX2DEC(LEFT(X$1,2))*2, 8))/10000</f>
        <v>0</v>
      </c>
      <c r="Y12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2" s="3">
        <f>HEX2DEC(MID(Table1[[#This Row],[statusRaw]],1+HEX2DEC(LEFT(Z$1,2))*2, 8))/10000</f>
        <v>0.2</v>
      </c>
      <c r="AA12" s="3">
        <f>HEX2DEC(MID(Table1[[#This Row],[statusRaw]],1+HEX2DEC(LEFT(AA$1,2))*2, 2))</f>
        <v>50</v>
      </c>
      <c r="AB12" s="3">
        <f>HEX2DEC(MID(Table1[[#This Row],[statusRaw]],1+HEX2DEC(LEFT(AB$1,2))*2, 8))/10000</f>
        <v>214.65</v>
      </c>
      <c r="AC12" s="3">
        <f>HEX2DEC(MID(Table1[[#This Row],[statusRaw]],1+HEX2DEC(LEFT(AC$1,2))*2, 2))</f>
        <v>25</v>
      </c>
      <c r="AD12" s="3">
        <f>HEX2DEC(MID(Table1[[#This Row],[statusRaw]],1+HEX2DEC(LEFT(AD$1,2))*2, 2))</f>
        <v>0</v>
      </c>
      <c r="AE12" s="3">
        <f>HEX2DEC(MID(Table1[[#This Row],[statusRaw]],1+HEX2DEC(LEFT(AE$1,2))*2, 8))/10000</f>
        <v>0.1</v>
      </c>
      <c r="AF12" s="3">
        <f>IF(AND(Table1[[#This Row],[cgm]],NOT(Table1[[#This Row],[35 - SGV special bit (2)]])), _xlfn.BITAND(HEX2DEC(MID(Table1[[#This Row],[statusRaw]],1+HEX2DEC(LEFT(AF$1,2))*2, 4)),HEX2DEC("1FF")),"")</f>
        <v>135</v>
      </c>
      <c r="AG12" s="3" t="b">
        <f>_xlfn.BITAND(HEX2DEC(MID(Table1[[#This Row],[statusRaw]],1+HEX2DEC(LEFT(AG$1,2))*2, 4)),512)=512</f>
        <v>0</v>
      </c>
      <c r="AH12" s="3" t="str">
        <f>MID(Table1[[#This Row],[statusRaw]],1+HEX2DEC(LEFT(AF$1,2))*2, 8)</f>
        <v>00878674</v>
      </c>
      <c r="AI12" s="3" t="str">
        <f>MID(Table1[[#This Row],[statusRaw]],1+HEX2DEC(LEFT(AH$1,2))*2, 8)</f>
        <v>86746B1B</v>
      </c>
      <c r="AJ12" s="3" t="str">
        <f>HEX2BIN(MID(Table1[[#This Row],[statusRaw]],1+HEX2DEC(LEFT(AJ$1,2))*2, 2),8) &amp; " 0x" &amp;MID(Table1[[#This Row],[statusRaw]],1+HEX2DEC(LEFT(AJ$1,2))*2, 2)</f>
        <v>00000000 0x00</v>
      </c>
      <c r="AK12" s="1" t="str">
        <f>HEX2BIN(MID(Table1[[#This Row],[statusRaw]],1+HEX2DEC(LEFT(AK$1,2))*2, 2),8) &amp; " 0x" &amp;MID(Table1[[#This Row],[statusRaw]],1+HEX2DEC(LEFT(AK$1,2))*2, 2)</f>
        <v>01100000 0x60</v>
      </c>
      <c r="AL12" s="1" t="str">
        <f>VLOOKUP(Table1[[#This Row],[40 trend]],'Arrow status mapping'!$A$1:$B$8,2,FALSE)</f>
        <v>No arrows</v>
      </c>
      <c r="AM12" s="3" t="str">
        <f>HEX2BIN(MID(Table1[[#This Row],[statusRaw]],1+HEX2DEC(LEFT(AM$1,2))*2, 2),8) &amp; " 0x" &amp;MID(Table1[[#This Row],[statusRaw]],1+HEX2DEC(LEFT(AM$1,2))*2, 2)</f>
        <v>00010000 0x10</v>
      </c>
      <c r="AN12" s="3" t="str">
        <f>HEX2BIN(MID(Table1[[#This Row],[statusRaw]],1+HEX2DEC(LEFT(AN$1,2))*2, 2),8) &amp; " 0x" &amp;MID(Table1[[#This Row],[statusRaw]],1+HEX2DEC(LEFT(AN$1,2))*2, 2)</f>
        <v>00000000 0x00</v>
      </c>
      <c r="AO12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0x02A8 680</v>
      </c>
      <c r="AP12" s="1" t="str">
        <f>HEX2BIN(MID(Table1[[#This Row],[statusRaw]],1+HEX2DEC(LEFT(AP$1,2))*2, 2),8) &amp; " 0x" &amp;MID(Table1[[#This Row],[statusRaw]],1+HEX2DEC(LEFT(AP$1,2))*2, 2)</f>
        <v>00101010 0x2A</v>
      </c>
      <c r="AQ12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0x0022 34</v>
      </c>
      <c r="AR12" s="3">
        <f>TRUNC(_xlfn.NUMBERVALUE(RIGHT(Table1[[#This Row],[46 rate of change (2)]],LEN(Table1[[#This Row],[46 rate of change (2)]])-7))/100)</f>
        <v>0</v>
      </c>
      <c r="AS12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2" s="3" t="b">
        <f>Table1[[#This Row],[calc arrow]]=Table1[[#This Row],[trend]]</f>
        <v>1</v>
      </c>
      <c r="AU12" s="3" t="str">
        <f>HEX2BIN(MID(Table1[[#This Row],[statusRaw]],1+HEX2DEC(LEFT(AU$1,2))*2, 2),8) &amp; " 0x" &amp;MID(Table1[[#This Row],[statusRaw]],1+HEX2DEC(LEFT(AU$1,2))*2, 2)</f>
        <v>00000000 0x00</v>
      </c>
      <c r="AV12" s="3">
        <f>HEX2DEC(MID(Table1[[#This Row],[statusRaw]],1+HEX2DEC(LEFT(AV$1,2))*2, 4))</f>
        <v>0</v>
      </c>
      <c r="AW12" s="3" t="str">
        <f>HEX2BIN(MID(Table1[[#This Row],[statusRaw]],1+HEX2DEC(LEFT(AW$1,2))*2, 2),8) &amp; " 0x" &amp;MID(Table1[[#This Row],[statusRaw]],1+HEX2DEC(LEFT(AW$1,2))*2, 2)</f>
        <v>00000000 0x00</v>
      </c>
      <c r="AX12" s="3" t="str">
        <f>HEX2BIN(MID(Table1[[#This Row],[statusRaw]],1+HEX2DEC(LEFT(AX$1,2))*2, 2),8) &amp; " 0x" &amp;MID(Table1[[#This Row],[statusRaw]],1+HEX2DEC(LEFT(AX$1,2))*2, 2)</f>
        <v>00000000 0x00</v>
      </c>
      <c r="AY12" s="3" t="str">
        <f>MID(Table1[[#This Row],[statusRaw]],1+HEX2DEC(LEFT(AY$1,2))*2, 8)</f>
        <v>00000000</v>
      </c>
      <c r="AZ12" s="3" t="str">
        <f>MID(Table1[[#This Row],[statusRaw]],1+HEX2DEC(LEFT(AZ$1,2))*2, 8)</f>
        <v>00000000</v>
      </c>
      <c r="BA12" s="3" t="str">
        <f>HEX2BIN(MID(Table1[[#This Row],[statusRaw]],1+HEX2DEC(LEFT(BA$1,2))*2, 2),8) &amp; " 0x" &amp;MID(Table1[[#This Row],[statusRaw]],1+HEX2DEC(LEFT(BA$1,2))*2, 2)</f>
        <v>00000000 0x00</v>
      </c>
      <c r="BB12" s="3" t="str">
        <f>HEX2BIN(MID(Table1[[#This Row],[statusRaw]],1+HEX2DEC(LEFT(BB$1,2))*2, 2),8) &amp; " 0x" &amp;MID(Table1[[#This Row],[statusRaw]],1+HEX2DEC(LEFT(BB$1,2))*2, 2)</f>
        <v>00000000 0x00</v>
      </c>
      <c r="BC12" s="3" t="str">
        <f>HEX2BIN(MID(Table1[[#This Row],[statusRaw]],1+HEX2DEC(LEFT(BC$1,2))*2, 2),8) &amp; " 0x" &amp;MID(Table1[[#This Row],[statusRaw]],1+HEX2DEC(LEFT(BC$1,2))*2, 2)</f>
        <v>00000000 0x00</v>
      </c>
      <c r="BD12" s="3" t="str">
        <f>MID(Table1[[#This Row],[statusRaw]],1+HEX2DEC(LEFT(BD$1,2))*2, 8)</f>
        <v>000008C7</v>
      </c>
      <c r="BE12" s="3" t="str">
        <f>MID(Table1[[#This Row],[statusRaw]],1+HEX2DEC(LEFT(BE$1,2))*2, 8)</f>
        <v>000008C7</v>
      </c>
      <c r="BF12" s="9"/>
    </row>
    <row r="13" spans="1:58" x14ac:dyDescent="0.25">
      <c r="A13" s="1" t="s">
        <v>39</v>
      </c>
      <c r="B13" s="1" t="s">
        <v>40</v>
      </c>
      <c r="C13" s="1" t="s">
        <v>7</v>
      </c>
      <c r="D13" s="1" t="s">
        <v>41</v>
      </c>
      <c r="E13" s="1">
        <v>0</v>
      </c>
      <c r="F13" s="3" t="str">
        <f>HEX2BIN(MID(Table1[[#This Row],[statusRaw]],1+HEX2DEC(LEFT(F$1,2))*2, 2),8) &amp; " 0x" &amp;MID(Table1[[#This Row],[statusRaw]],1+HEX2DEC(LEFT(F$1,2))*2, 2)</f>
        <v>01010000 0x50</v>
      </c>
      <c r="G13" s="3" t="b">
        <f>MID(Table1[[#This Row],[03 - pump status (1)]],1,1)="1"</f>
        <v>0</v>
      </c>
      <c r="H13" s="3" t="b">
        <f>MID(Table1[[#This Row],[03 - pump status (1)]],2,1)="1"</f>
        <v>1</v>
      </c>
      <c r="I13" s="3" t="b">
        <f>MID(Table1[[#This Row],[03 - pump status (1)]],3,1)="1"</f>
        <v>0</v>
      </c>
      <c r="J13" s="3" t="b">
        <f>MID(Table1[[#This Row],[03 - pump status (1)]],4,1)="1"</f>
        <v>1</v>
      </c>
      <c r="K13" s="3" t="b">
        <f>MID(Table1[[#This Row],[03 - pump status (1)]],5,1)="1"</f>
        <v>0</v>
      </c>
      <c r="L13" s="3" t="b">
        <f>MID(Table1[[#This Row],[03 - pump status (1)]],6,1)="1"</f>
        <v>0</v>
      </c>
      <c r="M13" s="3" t="b">
        <f>MID(Table1[[#This Row],[03 - pump status (1)]],7,1)="1"</f>
        <v>0</v>
      </c>
      <c r="N13" s="3" t="b">
        <f>MID(Table1[[#This Row],[03 - pump status (1)]],8,1)="1"</f>
        <v>0</v>
      </c>
      <c r="O13" s="3" t="str">
        <f>MID(Table1[[#This Row],[statusRaw]],1+HEX2DEC(LEFT(O$1,2))*2, 8)</f>
        <v>00000000</v>
      </c>
      <c r="P13" s="3" t="str">
        <f>MID(Table1[[#This Row],[statusRaw]],1+HEX2DEC(LEFT(P$1,2))*2, 8)</f>
        <v>00000000</v>
      </c>
      <c r="Q13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3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3" s="3">
        <f>HEX2DEC(MID(Table1[[#This Row],[statusRaw]],1+HEX2DEC(LEFT(S$1,2))*2, 8))/10000</f>
        <v>0.7</v>
      </c>
      <c r="T13" s="3" t="str">
        <f>MID(Table1[[#This Row],[statusRaw]],1+HEX2DEC(LEFT(T$1,2))*2, 8)</f>
        <v>278A4116</v>
      </c>
      <c r="U13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13" s="3" t="str">
        <f>HEX2BIN(MID(Table1[[#This Row],[statusRaw]],1+HEX2DEC(LEFT(V$1,2))*2, 2),8) &amp; " 0x" &amp;MID(Table1[[#This Row],[statusRaw]],1+HEX2DEC(LEFT(V$1,2))*2, 2)</f>
        <v>00000001 0x01</v>
      </c>
      <c r="W13" s="3">
        <f>HEX2DEC(MID(Table1[[#This Row],[statusRaw]],1+HEX2DEC(LEFT(W$1,2))*2, 8))/10000</f>
        <v>0.45</v>
      </c>
      <c r="X13" s="3">
        <f>HEX2DEC(MID(Table1[[#This Row],[statusRaw]],1+HEX2DEC(LEFT(X$1,2))*2, 8))/10000</f>
        <v>0</v>
      </c>
      <c r="Y13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3" s="3">
        <f>HEX2DEC(MID(Table1[[#This Row],[statusRaw]],1+HEX2DEC(LEFT(Z$1,2))*2, 8))/10000</f>
        <v>0.15</v>
      </c>
      <c r="AA13" s="3">
        <f>HEX2DEC(MID(Table1[[#This Row],[statusRaw]],1+HEX2DEC(LEFT(AA$1,2))*2, 2))</f>
        <v>50</v>
      </c>
      <c r="AB13" s="3">
        <f>HEX2DEC(MID(Table1[[#This Row],[statusRaw]],1+HEX2DEC(LEFT(AB$1,2))*2, 8))/10000</f>
        <v>214.7</v>
      </c>
      <c r="AC13" s="3">
        <f>HEX2DEC(MID(Table1[[#This Row],[statusRaw]],1+HEX2DEC(LEFT(AC$1,2))*2, 2))</f>
        <v>25</v>
      </c>
      <c r="AD13" s="3">
        <f>HEX2DEC(MID(Table1[[#This Row],[statusRaw]],1+HEX2DEC(LEFT(AD$1,2))*2, 2))</f>
        <v>0</v>
      </c>
      <c r="AE13" s="3">
        <f>HEX2DEC(MID(Table1[[#This Row],[statusRaw]],1+HEX2DEC(LEFT(AE$1,2))*2, 8))/10000</f>
        <v>0.2</v>
      </c>
      <c r="AF13" s="3">
        <f>IF(AND(Table1[[#This Row],[cgm]],NOT(Table1[[#This Row],[35 - SGV special bit (2)]])), _xlfn.BITAND(HEX2DEC(MID(Table1[[#This Row],[statusRaw]],1+HEX2DEC(LEFT(AF$1,2))*2, 4)),HEX2DEC("1FF")),"")</f>
        <v>130</v>
      </c>
      <c r="AG13" s="3" t="b">
        <f>_xlfn.BITAND(HEX2DEC(MID(Table1[[#This Row],[statusRaw]],1+HEX2DEC(LEFT(AG$1,2))*2, 4)),512)=512</f>
        <v>0</v>
      </c>
      <c r="AH13" s="3" t="str">
        <f>MID(Table1[[#This Row],[statusRaw]],1+HEX2DEC(LEFT(AF$1,2))*2, 8)</f>
        <v>00828674</v>
      </c>
      <c r="AI13" s="3" t="str">
        <f>MID(Table1[[#This Row],[statusRaw]],1+HEX2DEC(LEFT(AH$1,2))*2, 8)</f>
        <v>867469EF</v>
      </c>
      <c r="AJ13" s="3" t="str">
        <f>HEX2BIN(MID(Table1[[#This Row],[statusRaw]],1+HEX2DEC(LEFT(AJ$1,2))*2, 2),8) &amp; " 0x" &amp;MID(Table1[[#This Row],[statusRaw]],1+HEX2DEC(LEFT(AJ$1,2))*2, 2)</f>
        <v>00000000 0x00</v>
      </c>
      <c r="AK13" s="1" t="str">
        <f>HEX2BIN(MID(Table1[[#This Row],[statusRaw]],1+HEX2DEC(LEFT(AK$1,2))*2, 2),8) &amp; " 0x" &amp;MID(Table1[[#This Row],[statusRaw]],1+HEX2DEC(LEFT(AK$1,2))*2, 2)</f>
        <v>01100000 0x60</v>
      </c>
      <c r="AL13" s="1" t="str">
        <f>VLOOKUP(Table1[[#This Row],[40 trend]],'Arrow status mapping'!$A$1:$B$8,2,FALSE)</f>
        <v>No arrows</v>
      </c>
      <c r="AM13" s="3" t="str">
        <f>HEX2BIN(MID(Table1[[#This Row],[statusRaw]],1+HEX2DEC(LEFT(AM$1,2))*2, 2),8) &amp; " 0x" &amp;MID(Table1[[#This Row],[statusRaw]],1+HEX2DEC(LEFT(AM$1,2))*2, 2)</f>
        <v>00010000 0x10</v>
      </c>
      <c r="AN13" s="3" t="str">
        <f>HEX2BIN(MID(Table1[[#This Row],[statusRaw]],1+HEX2DEC(LEFT(AN$1,2))*2, 2),8) &amp; " 0x" &amp;MID(Table1[[#This Row],[statusRaw]],1+HEX2DEC(LEFT(AN$1,2))*2, 2)</f>
        <v>00000000 0x00</v>
      </c>
      <c r="AO13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0x02AD 685</v>
      </c>
      <c r="AP13" s="1" t="str">
        <f>HEX2BIN(MID(Table1[[#This Row],[statusRaw]],1+HEX2DEC(LEFT(AP$1,2))*2, 2),8) &amp; " 0x" &amp;MID(Table1[[#This Row],[statusRaw]],1+HEX2DEC(LEFT(AP$1,2))*2, 2)</f>
        <v>00101010 0x2A</v>
      </c>
      <c r="AQ13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0x0022 34</v>
      </c>
      <c r="AR13" s="3">
        <f>TRUNC(_xlfn.NUMBERVALUE(RIGHT(Table1[[#This Row],[46 rate of change (2)]],LEN(Table1[[#This Row],[46 rate of change (2)]])-7))/100)</f>
        <v>0</v>
      </c>
      <c r="AS13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3" s="3" t="b">
        <f>Table1[[#This Row],[calc arrow]]=Table1[[#This Row],[trend]]</f>
        <v>1</v>
      </c>
      <c r="AU13" s="3" t="str">
        <f>HEX2BIN(MID(Table1[[#This Row],[statusRaw]],1+HEX2DEC(LEFT(AU$1,2))*2, 2),8) &amp; " 0x" &amp;MID(Table1[[#This Row],[statusRaw]],1+HEX2DEC(LEFT(AU$1,2))*2, 2)</f>
        <v>00000000 0x00</v>
      </c>
      <c r="AV13" s="3">
        <f>HEX2DEC(MID(Table1[[#This Row],[statusRaw]],1+HEX2DEC(LEFT(AV$1,2))*2, 4))</f>
        <v>0</v>
      </c>
      <c r="AW13" s="3" t="str">
        <f>HEX2BIN(MID(Table1[[#This Row],[statusRaw]],1+HEX2DEC(LEFT(AW$1,2))*2, 2),8) &amp; " 0x" &amp;MID(Table1[[#This Row],[statusRaw]],1+HEX2DEC(LEFT(AW$1,2))*2, 2)</f>
        <v>00000000 0x00</v>
      </c>
      <c r="AX13" s="3" t="str">
        <f>HEX2BIN(MID(Table1[[#This Row],[statusRaw]],1+HEX2DEC(LEFT(AX$1,2))*2, 2),8) &amp; " 0x" &amp;MID(Table1[[#This Row],[statusRaw]],1+HEX2DEC(LEFT(AX$1,2))*2, 2)</f>
        <v>00000000 0x00</v>
      </c>
      <c r="AY13" s="3" t="str">
        <f>MID(Table1[[#This Row],[statusRaw]],1+HEX2DEC(LEFT(AY$1,2))*2, 8)</f>
        <v>00000000</v>
      </c>
      <c r="AZ13" s="3" t="str">
        <f>MID(Table1[[#This Row],[statusRaw]],1+HEX2DEC(LEFT(AZ$1,2))*2, 8)</f>
        <v>00000000</v>
      </c>
      <c r="BA13" s="3" t="str">
        <f>HEX2BIN(MID(Table1[[#This Row],[statusRaw]],1+HEX2DEC(LEFT(BA$1,2))*2, 2),8) &amp; " 0x" &amp;MID(Table1[[#This Row],[statusRaw]],1+HEX2DEC(LEFT(BA$1,2))*2, 2)</f>
        <v>00000000 0x00</v>
      </c>
      <c r="BB13" s="3" t="str">
        <f>HEX2BIN(MID(Table1[[#This Row],[statusRaw]],1+HEX2DEC(LEFT(BB$1,2))*2, 2),8) &amp; " 0x" &amp;MID(Table1[[#This Row],[statusRaw]],1+HEX2DEC(LEFT(BB$1,2))*2, 2)</f>
        <v>00000000 0x00</v>
      </c>
      <c r="BC13" s="3" t="str">
        <f>HEX2BIN(MID(Table1[[#This Row],[statusRaw]],1+HEX2DEC(LEFT(BC$1,2))*2, 2),8) &amp; " 0x" &amp;MID(Table1[[#This Row],[statusRaw]],1+HEX2DEC(LEFT(BC$1,2))*2, 2)</f>
        <v>00000000 0x00</v>
      </c>
      <c r="BD13" s="3" t="str">
        <f>MID(Table1[[#This Row],[statusRaw]],1+HEX2DEC(LEFT(BD$1,2))*2, 8)</f>
        <v>000008C7</v>
      </c>
      <c r="BE13" s="3" t="str">
        <f>MID(Table1[[#This Row],[statusRaw]],1+HEX2DEC(LEFT(BE$1,2))*2, 8)</f>
        <v>000008C7</v>
      </c>
      <c r="BF13" s="9"/>
    </row>
    <row r="14" spans="1:58" x14ac:dyDescent="0.25">
      <c r="A14" s="1" t="s">
        <v>42</v>
      </c>
      <c r="B14" s="1" t="s">
        <v>43</v>
      </c>
      <c r="C14" s="1" t="s">
        <v>7</v>
      </c>
      <c r="D14" s="1" t="s">
        <v>44</v>
      </c>
      <c r="E14" s="1">
        <v>0</v>
      </c>
      <c r="F14" s="3" t="str">
        <f>HEX2BIN(MID(Table1[[#This Row],[statusRaw]],1+HEX2DEC(LEFT(F$1,2))*2, 2),8) &amp; " 0x" &amp;MID(Table1[[#This Row],[statusRaw]],1+HEX2DEC(LEFT(F$1,2))*2, 2)</f>
        <v>01010000 0x50</v>
      </c>
      <c r="G14" s="3" t="b">
        <f>MID(Table1[[#This Row],[03 - pump status (1)]],1,1)="1"</f>
        <v>0</v>
      </c>
      <c r="H14" s="3" t="b">
        <f>MID(Table1[[#This Row],[03 - pump status (1)]],2,1)="1"</f>
        <v>1</v>
      </c>
      <c r="I14" s="3" t="b">
        <f>MID(Table1[[#This Row],[03 - pump status (1)]],3,1)="1"</f>
        <v>0</v>
      </c>
      <c r="J14" s="3" t="b">
        <f>MID(Table1[[#This Row],[03 - pump status (1)]],4,1)="1"</f>
        <v>1</v>
      </c>
      <c r="K14" s="3" t="b">
        <f>MID(Table1[[#This Row],[03 - pump status (1)]],5,1)="1"</f>
        <v>0</v>
      </c>
      <c r="L14" s="3" t="b">
        <f>MID(Table1[[#This Row],[03 - pump status (1)]],6,1)="1"</f>
        <v>0</v>
      </c>
      <c r="M14" s="3" t="b">
        <f>MID(Table1[[#This Row],[03 - pump status (1)]],7,1)="1"</f>
        <v>0</v>
      </c>
      <c r="N14" s="3" t="b">
        <f>MID(Table1[[#This Row],[03 - pump status (1)]],8,1)="1"</f>
        <v>0</v>
      </c>
      <c r="O14" s="3" t="str">
        <f>MID(Table1[[#This Row],[statusRaw]],1+HEX2DEC(LEFT(O$1,2))*2, 8)</f>
        <v>00000000</v>
      </c>
      <c r="P14" s="3" t="str">
        <f>MID(Table1[[#This Row],[statusRaw]],1+HEX2DEC(LEFT(P$1,2))*2, 8)</f>
        <v>00000000</v>
      </c>
      <c r="Q14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4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4" s="3">
        <f>HEX2DEC(MID(Table1[[#This Row],[statusRaw]],1+HEX2DEC(LEFT(S$1,2))*2, 8))/10000</f>
        <v>0.7</v>
      </c>
      <c r="T14" s="3" t="str">
        <f>MID(Table1[[#This Row],[statusRaw]],1+HEX2DEC(LEFT(T$1,2))*2, 8)</f>
        <v>278A4116</v>
      </c>
      <c r="U14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14" s="3" t="str">
        <f>HEX2BIN(MID(Table1[[#This Row],[statusRaw]],1+HEX2DEC(LEFT(V$1,2))*2, 2),8) &amp; " 0x" &amp;MID(Table1[[#This Row],[statusRaw]],1+HEX2DEC(LEFT(V$1,2))*2, 2)</f>
        <v>00000001 0x01</v>
      </c>
      <c r="W14" s="3">
        <f>HEX2DEC(MID(Table1[[#This Row],[statusRaw]],1+HEX2DEC(LEFT(W$1,2))*2, 8))/10000</f>
        <v>0.45</v>
      </c>
      <c r="X14" s="3">
        <f>HEX2DEC(MID(Table1[[#This Row],[statusRaw]],1+HEX2DEC(LEFT(X$1,2))*2, 8))/10000</f>
        <v>0</v>
      </c>
      <c r="Y14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4" s="3">
        <f>HEX2DEC(MID(Table1[[#This Row],[statusRaw]],1+HEX2DEC(LEFT(Z$1,2))*2, 8))/10000</f>
        <v>7.4999999999999997E-2</v>
      </c>
      <c r="AA14" s="3">
        <f>HEX2DEC(MID(Table1[[#This Row],[statusRaw]],1+HEX2DEC(LEFT(AA$1,2))*2, 2))</f>
        <v>50</v>
      </c>
      <c r="AB14" s="3">
        <f>HEX2DEC(MID(Table1[[#This Row],[statusRaw]],1+HEX2DEC(LEFT(AB$1,2))*2, 8))/10000</f>
        <v>214.77500000000001</v>
      </c>
      <c r="AC14" s="3">
        <f>HEX2DEC(MID(Table1[[#This Row],[statusRaw]],1+HEX2DEC(LEFT(AC$1,2))*2, 2))</f>
        <v>25</v>
      </c>
      <c r="AD14" s="3">
        <f>HEX2DEC(MID(Table1[[#This Row],[statusRaw]],1+HEX2DEC(LEFT(AD$1,2))*2, 2))</f>
        <v>0</v>
      </c>
      <c r="AE14" s="3">
        <f>HEX2DEC(MID(Table1[[#This Row],[statusRaw]],1+HEX2DEC(LEFT(AE$1,2))*2, 8))/10000</f>
        <v>0.2</v>
      </c>
      <c r="AF14" s="3">
        <f>IF(AND(Table1[[#This Row],[cgm]],NOT(Table1[[#This Row],[35 - SGV special bit (2)]])), _xlfn.BITAND(HEX2DEC(MID(Table1[[#This Row],[statusRaw]],1+HEX2DEC(LEFT(AF$1,2))*2, 4)),HEX2DEC("1FF")),"")</f>
        <v>123</v>
      </c>
      <c r="AG14" s="3" t="b">
        <f>_xlfn.BITAND(HEX2DEC(MID(Table1[[#This Row],[statusRaw]],1+HEX2DEC(LEFT(AG$1,2))*2, 4)),512)=512</f>
        <v>0</v>
      </c>
      <c r="AH14" s="3" t="str">
        <f>MID(Table1[[#This Row],[statusRaw]],1+HEX2DEC(LEFT(AF$1,2))*2, 8)</f>
        <v>007B8674</v>
      </c>
      <c r="AI14" s="3" t="str">
        <f>MID(Table1[[#This Row],[statusRaw]],1+HEX2DEC(LEFT(AH$1,2))*2, 8)</f>
        <v>86746797</v>
      </c>
      <c r="AJ14" s="3" t="str">
        <f>HEX2BIN(MID(Table1[[#This Row],[statusRaw]],1+HEX2DEC(LEFT(AJ$1,2))*2, 2),8) &amp; " 0x" &amp;MID(Table1[[#This Row],[statusRaw]],1+HEX2DEC(LEFT(AJ$1,2))*2, 2)</f>
        <v>00000000 0x00</v>
      </c>
      <c r="AK14" s="1" t="str">
        <f>HEX2BIN(MID(Table1[[#This Row],[statusRaw]],1+HEX2DEC(LEFT(AK$1,2))*2, 2),8) &amp; " 0x" &amp;MID(Table1[[#This Row],[statusRaw]],1+HEX2DEC(LEFT(AK$1,2))*2, 2)</f>
        <v>01100000 0x60</v>
      </c>
      <c r="AL14" s="1" t="str">
        <f>VLOOKUP(Table1[[#This Row],[40 trend]],'Arrow status mapping'!$A$1:$B$8,2,FALSE)</f>
        <v>No arrows</v>
      </c>
      <c r="AM14" s="3" t="str">
        <f>HEX2BIN(MID(Table1[[#This Row],[statusRaw]],1+HEX2DEC(LEFT(AM$1,2))*2, 2),8) &amp; " 0x" &amp;MID(Table1[[#This Row],[statusRaw]],1+HEX2DEC(LEFT(AM$1,2))*2, 2)</f>
        <v>00010000 0x10</v>
      </c>
      <c r="AN14" s="3" t="str">
        <f>HEX2BIN(MID(Table1[[#This Row],[statusRaw]],1+HEX2DEC(LEFT(AN$1,2))*2, 2),8) &amp; " 0x" &amp;MID(Table1[[#This Row],[statusRaw]],1+HEX2DEC(LEFT(AN$1,2))*2, 2)</f>
        <v>00000000 0x00</v>
      </c>
      <c r="AO14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0x02B7 695</v>
      </c>
      <c r="AP14" s="1" t="str">
        <f>HEX2BIN(MID(Table1[[#This Row],[statusRaw]],1+HEX2DEC(LEFT(AP$1,2))*2, 2),8) &amp; " 0x" &amp;MID(Table1[[#This Row],[statusRaw]],1+HEX2DEC(LEFT(AP$1,2))*2, 2)</f>
        <v>00101010 0x2A</v>
      </c>
      <c r="AQ14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14" s="3">
        <f>TRUNC(_xlfn.NUMBERVALUE(RIGHT(Table1[[#This Row],[46 rate of change (2)]],LEN(Table1[[#This Row],[46 rate of change (2)]])-7))/100)</f>
        <v>0</v>
      </c>
      <c r="AS14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4" s="3" t="b">
        <f>Table1[[#This Row],[calc arrow]]=Table1[[#This Row],[trend]]</f>
        <v>1</v>
      </c>
      <c r="AU14" s="3" t="str">
        <f>HEX2BIN(MID(Table1[[#This Row],[statusRaw]],1+HEX2DEC(LEFT(AU$1,2))*2, 2),8) &amp; " 0x" &amp;MID(Table1[[#This Row],[statusRaw]],1+HEX2DEC(LEFT(AU$1,2))*2, 2)</f>
        <v>00000000 0x00</v>
      </c>
      <c r="AV14" s="3">
        <f>HEX2DEC(MID(Table1[[#This Row],[statusRaw]],1+HEX2DEC(LEFT(AV$1,2))*2, 4))</f>
        <v>0</v>
      </c>
      <c r="AW14" s="3" t="str">
        <f>HEX2BIN(MID(Table1[[#This Row],[statusRaw]],1+HEX2DEC(LEFT(AW$1,2))*2, 2),8) &amp; " 0x" &amp;MID(Table1[[#This Row],[statusRaw]],1+HEX2DEC(LEFT(AW$1,2))*2, 2)</f>
        <v>00000000 0x00</v>
      </c>
      <c r="AX14" s="3" t="str">
        <f>HEX2BIN(MID(Table1[[#This Row],[statusRaw]],1+HEX2DEC(LEFT(AX$1,2))*2, 2),8) &amp; " 0x" &amp;MID(Table1[[#This Row],[statusRaw]],1+HEX2DEC(LEFT(AX$1,2))*2, 2)</f>
        <v>00000000 0x00</v>
      </c>
      <c r="AY14" s="3" t="str">
        <f>MID(Table1[[#This Row],[statusRaw]],1+HEX2DEC(LEFT(AY$1,2))*2, 8)</f>
        <v>00000000</v>
      </c>
      <c r="AZ14" s="3" t="str">
        <f>MID(Table1[[#This Row],[statusRaw]],1+HEX2DEC(LEFT(AZ$1,2))*2, 8)</f>
        <v>00000000</v>
      </c>
      <c r="BA14" s="3" t="str">
        <f>HEX2BIN(MID(Table1[[#This Row],[statusRaw]],1+HEX2DEC(LEFT(BA$1,2))*2, 2),8) &amp; " 0x" &amp;MID(Table1[[#This Row],[statusRaw]],1+HEX2DEC(LEFT(BA$1,2))*2, 2)</f>
        <v>00000000 0x00</v>
      </c>
      <c r="BB14" s="3" t="str">
        <f>HEX2BIN(MID(Table1[[#This Row],[statusRaw]],1+HEX2DEC(LEFT(BB$1,2))*2, 2),8) &amp; " 0x" &amp;MID(Table1[[#This Row],[statusRaw]],1+HEX2DEC(LEFT(BB$1,2))*2, 2)</f>
        <v>00000000 0x00</v>
      </c>
      <c r="BC14" s="3" t="str">
        <f>HEX2BIN(MID(Table1[[#This Row],[statusRaw]],1+HEX2DEC(LEFT(BC$1,2))*2, 2),8) &amp; " 0x" &amp;MID(Table1[[#This Row],[statusRaw]],1+HEX2DEC(LEFT(BC$1,2))*2, 2)</f>
        <v>00000000 0x00</v>
      </c>
      <c r="BD14" s="3" t="str">
        <f>MID(Table1[[#This Row],[statusRaw]],1+HEX2DEC(LEFT(BD$1,2))*2, 8)</f>
        <v>000008C7</v>
      </c>
      <c r="BE14" s="3" t="str">
        <f>MID(Table1[[#This Row],[statusRaw]],1+HEX2DEC(LEFT(BE$1,2))*2, 8)</f>
        <v>000008C7</v>
      </c>
      <c r="BF14" s="9"/>
    </row>
    <row r="15" spans="1:58" x14ac:dyDescent="0.25">
      <c r="A15" s="1" t="s">
        <v>45</v>
      </c>
      <c r="B15" s="1" t="s">
        <v>46</v>
      </c>
      <c r="C15" s="1" t="s">
        <v>7</v>
      </c>
      <c r="D15" s="1" t="s">
        <v>47</v>
      </c>
      <c r="E15" s="1">
        <v>0</v>
      </c>
      <c r="F15" s="3" t="str">
        <f>HEX2BIN(MID(Table1[[#This Row],[statusRaw]],1+HEX2DEC(LEFT(F$1,2))*2, 2),8) &amp; " 0x" &amp;MID(Table1[[#This Row],[statusRaw]],1+HEX2DEC(LEFT(F$1,2))*2, 2)</f>
        <v>00010000 0x10</v>
      </c>
      <c r="G15" s="3" t="b">
        <f>MID(Table1[[#This Row],[03 - pump status (1)]],1,1)="1"</f>
        <v>0</v>
      </c>
      <c r="H15" s="3" t="b">
        <f>MID(Table1[[#This Row],[03 - pump status (1)]],2,1)="1"</f>
        <v>0</v>
      </c>
      <c r="I15" s="3" t="b">
        <f>MID(Table1[[#This Row],[03 - pump status (1)]],3,1)="1"</f>
        <v>0</v>
      </c>
      <c r="J15" s="3" t="b">
        <f>MID(Table1[[#This Row],[03 - pump status (1)]],4,1)="1"</f>
        <v>1</v>
      </c>
      <c r="K15" s="3" t="b">
        <f>MID(Table1[[#This Row],[03 - pump status (1)]],5,1)="1"</f>
        <v>0</v>
      </c>
      <c r="L15" s="3" t="b">
        <f>MID(Table1[[#This Row],[03 - pump status (1)]],6,1)="1"</f>
        <v>0</v>
      </c>
      <c r="M15" s="3" t="b">
        <f>MID(Table1[[#This Row],[03 - pump status (1)]],7,1)="1"</f>
        <v>0</v>
      </c>
      <c r="N15" s="3" t="b">
        <f>MID(Table1[[#This Row],[03 - pump status (1)]],8,1)="1"</f>
        <v>0</v>
      </c>
      <c r="O15" s="3" t="str">
        <f>MID(Table1[[#This Row],[statusRaw]],1+HEX2DEC(LEFT(O$1,2))*2, 8)</f>
        <v>00000000</v>
      </c>
      <c r="P15" s="3" t="str">
        <f>MID(Table1[[#This Row],[statusRaw]],1+HEX2DEC(LEFT(P$1,2))*2, 8)</f>
        <v>00000000</v>
      </c>
      <c r="Q15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5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5" s="3">
        <f>HEX2DEC(MID(Table1[[#This Row],[statusRaw]],1+HEX2DEC(LEFT(S$1,2))*2, 8))/10000</f>
        <v>0.7</v>
      </c>
      <c r="T15" s="3" t="str">
        <f>MID(Table1[[#This Row],[statusRaw]],1+HEX2DEC(LEFT(T$1,2))*2, 8)</f>
        <v>278A4116</v>
      </c>
      <c r="U15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15" s="3" t="str">
        <f>HEX2BIN(MID(Table1[[#This Row],[statusRaw]],1+HEX2DEC(LEFT(V$1,2))*2, 2),8) &amp; " 0x" &amp;MID(Table1[[#This Row],[statusRaw]],1+HEX2DEC(LEFT(V$1,2))*2, 2)</f>
        <v>00000001 0x01</v>
      </c>
      <c r="W15" s="3">
        <f>HEX2DEC(MID(Table1[[#This Row],[statusRaw]],1+HEX2DEC(LEFT(W$1,2))*2, 8))/10000</f>
        <v>0.45</v>
      </c>
      <c r="X15" s="3">
        <f>HEX2DEC(MID(Table1[[#This Row],[statusRaw]],1+HEX2DEC(LEFT(X$1,2))*2, 8))/10000</f>
        <v>0</v>
      </c>
      <c r="Y15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5" s="3">
        <f>HEX2DEC(MID(Table1[[#This Row],[statusRaw]],1+HEX2DEC(LEFT(Z$1,2))*2, 8))/10000</f>
        <v>0.05</v>
      </c>
      <c r="AA15" s="3">
        <f>HEX2DEC(MID(Table1[[#This Row],[statusRaw]],1+HEX2DEC(LEFT(AA$1,2))*2, 2))</f>
        <v>50</v>
      </c>
      <c r="AB15" s="3">
        <f>HEX2DEC(MID(Table1[[#This Row],[statusRaw]],1+HEX2DEC(LEFT(AB$1,2))*2, 8))/10000</f>
        <v>214.8</v>
      </c>
      <c r="AC15" s="3">
        <f>HEX2DEC(MID(Table1[[#This Row],[statusRaw]],1+HEX2DEC(LEFT(AC$1,2))*2, 2))</f>
        <v>25</v>
      </c>
      <c r="AD15" s="3">
        <f>HEX2DEC(MID(Table1[[#This Row],[statusRaw]],1+HEX2DEC(LEFT(AD$1,2))*2, 2))</f>
        <v>0</v>
      </c>
      <c r="AE15" s="3">
        <f>HEX2DEC(MID(Table1[[#This Row],[statusRaw]],1+HEX2DEC(LEFT(AE$1,2))*2, 8))/10000</f>
        <v>0.2</v>
      </c>
      <c r="AF15" s="3" t="str">
        <f>IF(AND(Table1[[#This Row],[cgm]],NOT(Table1[[#This Row],[35 - SGV special bit (2)]])), _xlfn.BITAND(HEX2DEC(MID(Table1[[#This Row],[statusRaw]],1+HEX2DEC(LEFT(AF$1,2))*2, 4)),HEX2DEC("1FF")),"")</f>
        <v/>
      </c>
      <c r="AG15" s="3" t="b">
        <f>_xlfn.BITAND(HEX2DEC(MID(Table1[[#This Row],[statusRaw]],1+HEX2DEC(LEFT(AG$1,2))*2, 4)),512)=512</f>
        <v>0</v>
      </c>
      <c r="AH15" s="3" t="str">
        <f>MID(Table1[[#This Row],[statusRaw]],1+HEX2DEC(LEFT(AF$1,2))*2, 8)</f>
        <v>00000000</v>
      </c>
      <c r="AI15" s="3" t="str">
        <f>MID(Table1[[#This Row],[statusRaw]],1+HEX2DEC(LEFT(AH$1,2))*2, 8)</f>
        <v>00000000</v>
      </c>
      <c r="AJ15" s="3" t="str">
        <f>HEX2BIN(MID(Table1[[#This Row],[statusRaw]],1+HEX2DEC(LEFT(AJ$1,2))*2, 2),8) &amp; " 0x" &amp;MID(Table1[[#This Row],[statusRaw]],1+HEX2DEC(LEFT(AJ$1,2))*2, 2)</f>
        <v>00000000 0x00</v>
      </c>
      <c r="AK15" s="1" t="str">
        <f>HEX2BIN(MID(Table1[[#This Row],[statusRaw]],1+HEX2DEC(LEFT(AK$1,2))*2, 2),8) &amp; " 0x" &amp;MID(Table1[[#This Row],[statusRaw]],1+HEX2DEC(LEFT(AK$1,2))*2, 2)</f>
        <v>00000000 0x00</v>
      </c>
      <c r="AL15" s="1" t="str">
        <f>VLOOKUP(Table1[[#This Row],[40 trend]],'Arrow status mapping'!$A$1:$B$8,2,FALSE)</f>
        <v>3 arrows down</v>
      </c>
      <c r="AM15" s="3" t="str">
        <f>HEX2BIN(MID(Table1[[#This Row],[statusRaw]],1+HEX2DEC(LEFT(AM$1,2))*2, 2),8) &amp; " 0x" &amp;MID(Table1[[#This Row],[statusRaw]],1+HEX2DEC(LEFT(AM$1,2))*2, 2)</f>
        <v>00000000 0x00</v>
      </c>
      <c r="AN15" s="3" t="str">
        <f>HEX2BIN(MID(Table1[[#This Row],[statusRaw]],1+HEX2DEC(LEFT(AN$1,2))*2, 2),8) &amp; " 0x" &amp;MID(Table1[[#This Row],[statusRaw]],1+HEX2DEC(LEFT(AN$1,2))*2, 2)</f>
        <v>00000000 0x00</v>
      </c>
      <c r="AO15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0x0000 0</v>
      </c>
      <c r="AP15" s="1" t="str">
        <f>HEX2BIN(MID(Table1[[#This Row],[statusRaw]],1+HEX2DEC(LEFT(AP$1,2))*2, 2),8) &amp; " 0x" &amp;MID(Table1[[#This Row],[statusRaw]],1+HEX2DEC(LEFT(AP$1,2))*2, 2)</f>
        <v>00000000 0x00</v>
      </c>
      <c r="AQ15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15" s="3">
        <f>TRUNC(_xlfn.NUMBERVALUE(RIGHT(Table1[[#This Row],[46 rate of change (2)]],LEN(Table1[[#This Row],[46 rate of change (2)]])-7))/100)</f>
        <v>0</v>
      </c>
      <c r="AS15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5" s="3" t="b">
        <f>Table1[[#This Row],[calc arrow]]=Table1[[#This Row],[trend]]</f>
        <v>0</v>
      </c>
      <c r="AU15" s="3" t="str">
        <f>HEX2BIN(MID(Table1[[#This Row],[statusRaw]],1+HEX2DEC(LEFT(AU$1,2))*2, 2),8) &amp; " 0x" &amp;MID(Table1[[#This Row],[statusRaw]],1+HEX2DEC(LEFT(AU$1,2))*2, 2)</f>
        <v>00000000 0x00</v>
      </c>
      <c r="AV15" s="3">
        <f>HEX2DEC(MID(Table1[[#This Row],[statusRaw]],1+HEX2DEC(LEFT(AV$1,2))*2, 4))</f>
        <v>0</v>
      </c>
      <c r="AW15" s="3" t="str">
        <f>HEX2BIN(MID(Table1[[#This Row],[statusRaw]],1+HEX2DEC(LEFT(AW$1,2))*2, 2),8) &amp; " 0x" &amp;MID(Table1[[#This Row],[statusRaw]],1+HEX2DEC(LEFT(AW$1,2))*2, 2)</f>
        <v>00000000 0x00</v>
      </c>
      <c r="AX15" s="3" t="str">
        <f>HEX2BIN(MID(Table1[[#This Row],[statusRaw]],1+HEX2DEC(LEFT(AX$1,2))*2, 2),8) &amp; " 0x" &amp;MID(Table1[[#This Row],[statusRaw]],1+HEX2DEC(LEFT(AX$1,2))*2, 2)</f>
        <v>00000000 0x00</v>
      </c>
      <c r="AY15" s="3" t="str">
        <f>MID(Table1[[#This Row],[statusRaw]],1+HEX2DEC(LEFT(AY$1,2))*2, 8)</f>
        <v>00000000</v>
      </c>
      <c r="AZ15" s="3" t="str">
        <f>MID(Table1[[#This Row],[statusRaw]],1+HEX2DEC(LEFT(AZ$1,2))*2, 8)</f>
        <v>00000000</v>
      </c>
      <c r="BA15" s="3" t="str">
        <f>HEX2BIN(MID(Table1[[#This Row],[statusRaw]],1+HEX2DEC(LEFT(BA$1,2))*2, 2),8) &amp; " 0x" &amp;MID(Table1[[#This Row],[statusRaw]],1+HEX2DEC(LEFT(BA$1,2))*2, 2)</f>
        <v>00000000 0x00</v>
      </c>
      <c r="BB15" s="3" t="str">
        <f>HEX2BIN(MID(Table1[[#This Row],[statusRaw]],1+HEX2DEC(LEFT(BB$1,2))*2, 2),8) &amp; " 0x" &amp;MID(Table1[[#This Row],[statusRaw]],1+HEX2DEC(LEFT(BB$1,2))*2, 2)</f>
        <v>00000000 0x00</v>
      </c>
      <c r="BC15" s="3" t="str">
        <f>HEX2BIN(MID(Table1[[#This Row],[statusRaw]],1+HEX2DEC(LEFT(BC$1,2))*2, 2),8) &amp; " 0x" &amp;MID(Table1[[#This Row],[statusRaw]],1+HEX2DEC(LEFT(BC$1,2))*2, 2)</f>
        <v>00000000 0x00</v>
      </c>
      <c r="BD15" s="3" t="str">
        <f>MID(Table1[[#This Row],[statusRaw]],1+HEX2DEC(LEFT(BD$1,2))*2, 8)</f>
        <v>000008C7</v>
      </c>
      <c r="BE15" s="3" t="str">
        <f>MID(Table1[[#This Row],[statusRaw]],1+HEX2DEC(LEFT(BE$1,2))*2, 8)</f>
        <v>000008C7</v>
      </c>
      <c r="BF15" s="9"/>
    </row>
    <row r="16" spans="1:58" x14ac:dyDescent="0.25">
      <c r="A16" s="1" t="s">
        <v>48</v>
      </c>
      <c r="B16" s="1" t="s">
        <v>49</v>
      </c>
      <c r="C16" s="1" t="s">
        <v>7</v>
      </c>
      <c r="D16" s="1" t="s">
        <v>50</v>
      </c>
      <c r="E16" s="1">
        <v>23</v>
      </c>
      <c r="F16" s="3" t="str">
        <f>HEX2BIN(MID(Table1[[#This Row],[statusRaw]],1+HEX2DEC(LEFT(F$1,2))*2, 2),8) &amp; " 0x" &amp;MID(Table1[[#This Row],[statusRaw]],1+HEX2DEC(LEFT(F$1,2))*2, 2)</f>
        <v>01010000 0x50</v>
      </c>
      <c r="G16" s="3" t="b">
        <f>MID(Table1[[#This Row],[03 - pump status (1)]],1,1)="1"</f>
        <v>0</v>
      </c>
      <c r="H16" s="3" t="b">
        <f>MID(Table1[[#This Row],[03 - pump status (1)]],2,1)="1"</f>
        <v>1</v>
      </c>
      <c r="I16" s="3" t="b">
        <f>MID(Table1[[#This Row],[03 - pump status (1)]],3,1)="1"</f>
        <v>0</v>
      </c>
      <c r="J16" s="3" t="b">
        <f>MID(Table1[[#This Row],[03 - pump status (1)]],4,1)="1"</f>
        <v>1</v>
      </c>
      <c r="K16" s="3" t="b">
        <f>MID(Table1[[#This Row],[03 - pump status (1)]],5,1)="1"</f>
        <v>0</v>
      </c>
      <c r="L16" s="3" t="b">
        <f>MID(Table1[[#This Row],[03 - pump status (1)]],6,1)="1"</f>
        <v>0</v>
      </c>
      <c r="M16" s="3" t="b">
        <f>MID(Table1[[#This Row],[03 - pump status (1)]],7,1)="1"</f>
        <v>0</v>
      </c>
      <c r="N16" s="3" t="b">
        <f>MID(Table1[[#This Row],[03 - pump status (1)]],8,1)="1"</f>
        <v>0</v>
      </c>
      <c r="O16" s="3" t="str">
        <f>MID(Table1[[#This Row],[statusRaw]],1+HEX2DEC(LEFT(O$1,2))*2, 8)</f>
        <v>00000000</v>
      </c>
      <c r="P16" s="3" t="str">
        <f>MID(Table1[[#This Row],[statusRaw]],1+HEX2DEC(LEFT(P$1,2))*2, 8)</f>
        <v>00000000</v>
      </c>
      <c r="Q16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6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6" s="3">
        <f>HEX2DEC(MID(Table1[[#This Row],[statusRaw]],1+HEX2DEC(LEFT(S$1,2))*2, 8))/10000</f>
        <v>0.7</v>
      </c>
      <c r="T16" s="3" t="str">
        <f>MID(Table1[[#This Row],[statusRaw]],1+HEX2DEC(LEFT(T$1,2))*2, 8)</f>
        <v>278A4116</v>
      </c>
      <c r="U16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16" s="3" t="str">
        <f>HEX2BIN(MID(Table1[[#This Row],[statusRaw]],1+HEX2DEC(LEFT(V$1,2))*2, 2),8) &amp; " 0x" &amp;MID(Table1[[#This Row],[statusRaw]],1+HEX2DEC(LEFT(V$1,2))*2, 2)</f>
        <v>00000001 0x01</v>
      </c>
      <c r="W16" s="3">
        <f>HEX2DEC(MID(Table1[[#This Row],[statusRaw]],1+HEX2DEC(LEFT(W$1,2))*2, 8))/10000</f>
        <v>0.55000000000000004</v>
      </c>
      <c r="X16" s="3">
        <f>HEX2DEC(MID(Table1[[#This Row],[statusRaw]],1+HEX2DEC(LEFT(X$1,2))*2, 8))/10000</f>
        <v>0</v>
      </c>
      <c r="Y16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6" s="3">
        <f>HEX2DEC(MID(Table1[[#This Row],[statusRaw]],1+HEX2DEC(LEFT(Z$1,2))*2, 8))/10000</f>
        <v>12.175000000000001</v>
      </c>
      <c r="AA16" s="3">
        <f>HEX2DEC(MID(Table1[[#This Row],[statusRaw]],1+HEX2DEC(LEFT(AA$1,2))*2, 2))</f>
        <v>50</v>
      </c>
      <c r="AB16" s="3">
        <f>HEX2DEC(MID(Table1[[#This Row],[statusRaw]],1+HEX2DEC(LEFT(AB$1,2))*2, 8))/10000</f>
        <v>214.85</v>
      </c>
      <c r="AC16" s="3">
        <f>HEX2DEC(MID(Table1[[#This Row],[statusRaw]],1+HEX2DEC(LEFT(AC$1,2))*2, 2))</f>
        <v>25</v>
      </c>
      <c r="AD16" s="3">
        <f>HEX2DEC(MID(Table1[[#This Row],[statusRaw]],1+HEX2DEC(LEFT(AD$1,2))*2, 2))</f>
        <v>0</v>
      </c>
      <c r="AE16" s="3">
        <f>HEX2DEC(MID(Table1[[#This Row],[statusRaw]],1+HEX2DEC(LEFT(AE$1,2))*2, 8))/10000</f>
        <v>0.2</v>
      </c>
      <c r="AF16" s="3">
        <f>IF(AND(Table1[[#This Row],[cgm]],NOT(Table1[[#This Row],[35 - SGV special bit (2)]])), _xlfn.BITAND(HEX2DEC(MID(Table1[[#This Row],[statusRaw]],1+HEX2DEC(LEFT(AF$1,2))*2, 4)),HEX2DEC("1FF")),"")</f>
        <v>114</v>
      </c>
      <c r="AG16" s="3" t="b">
        <f>_xlfn.BITAND(HEX2DEC(MID(Table1[[#This Row],[statusRaw]],1+HEX2DEC(LEFT(AG$1,2))*2, 4)),512)=512</f>
        <v>0</v>
      </c>
      <c r="AH16" s="3" t="str">
        <f>MID(Table1[[#This Row],[statusRaw]],1+HEX2DEC(LEFT(AF$1,2))*2, 8)</f>
        <v>00728674</v>
      </c>
      <c r="AI16" s="3" t="str">
        <f>MID(Table1[[#This Row],[statusRaw]],1+HEX2DEC(LEFT(AH$1,2))*2, 8)</f>
        <v>8674653F</v>
      </c>
      <c r="AJ16" s="3" t="str">
        <f>HEX2BIN(MID(Table1[[#This Row],[statusRaw]],1+HEX2DEC(LEFT(AJ$1,2))*2, 2),8) &amp; " 0x" &amp;MID(Table1[[#This Row],[statusRaw]],1+HEX2DEC(LEFT(AJ$1,2))*2, 2)</f>
        <v>00000000 0x00</v>
      </c>
      <c r="AK16" s="1" t="str">
        <f>HEX2BIN(MID(Table1[[#This Row],[statusRaw]],1+HEX2DEC(LEFT(AK$1,2))*2, 2),8) &amp; " 0x" &amp;MID(Table1[[#This Row],[statusRaw]],1+HEX2DEC(LEFT(AK$1,2))*2, 2)</f>
        <v>01100000 0x60</v>
      </c>
      <c r="AL16" s="1" t="str">
        <f>VLOOKUP(Table1[[#This Row],[40 trend]],'Arrow status mapping'!$A$1:$B$8,2,FALSE)</f>
        <v>No arrows</v>
      </c>
      <c r="AM16" s="3" t="str">
        <f>HEX2BIN(MID(Table1[[#This Row],[statusRaw]],1+HEX2DEC(LEFT(AM$1,2))*2, 2),8) &amp; " 0x" &amp;MID(Table1[[#This Row],[statusRaw]],1+HEX2DEC(LEFT(AM$1,2))*2, 2)</f>
        <v>00010000 0x10</v>
      </c>
      <c r="AN16" s="3" t="str">
        <f>HEX2BIN(MID(Table1[[#This Row],[statusRaw]],1+HEX2DEC(LEFT(AN$1,2))*2, 2),8) &amp; " 0x" &amp;MID(Table1[[#This Row],[statusRaw]],1+HEX2DEC(LEFT(AN$1,2))*2, 2)</f>
        <v>00000000 0x00</v>
      </c>
      <c r="AO16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0x02C1 705</v>
      </c>
      <c r="AP16" s="1" t="str">
        <f>HEX2BIN(MID(Table1[[#This Row],[statusRaw]],1+HEX2DEC(LEFT(AP$1,2))*2, 2),8) &amp; " 0x" &amp;MID(Table1[[#This Row],[statusRaw]],1+HEX2DEC(LEFT(AP$1,2))*2, 2)</f>
        <v>00101010 0x2A</v>
      </c>
      <c r="AQ16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0xFFDB -37</v>
      </c>
      <c r="AR16" s="3">
        <f>TRUNC(_xlfn.NUMBERVALUE(RIGHT(Table1[[#This Row],[46 rate of change (2)]],LEN(Table1[[#This Row],[46 rate of change (2)]])-7))/100)</f>
        <v>0</v>
      </c>
      <c r="AS16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6" s="3" t="b">
        <f>Table1[[#This Row],[calc arrow]]=Table1[[#This Row],[trend]]</f>
        <v>1</v>
      </c>
      <c r="AU16" s="3" t="str">
        <f>HEX2BIN(MID(Table1[[#This Row],[statusRaw]],1+HEX2DEC(LEFT(AU$1,2))*2, 2),8) &amp; " 0x" &amp;MID(Table1[[#This Row],[statusRaw]],1+HEX2DEC(LEFT(AU$1,2))*2, 2)</f>
        <v>00000000 0x00</v>
      </c>
      <c r="AV16" s="3">
        <f>HEX2DEC(MID(Table1[[#This Row],[statusRaw]],1+HEX2DEC(LEFT(AV$1,2))*2, 4))</f>
        <v>0</v>
      </c>
      <c r="AW16" s="3" t="str">
        <f>HEX2BIN(MID(Table1[[#This Row],[statusRaw]],1+HEX2DEC(LEFT(AW$1,2))*2, 2),8) &amp; " 0x" &amp;MID(Table1[[#This Row],[statusRaw]],1+HEX2DEC(LEFT(AW$1,2))*2, 2)</f>
        <v>00000000 0x00</v>
      </c>
      <c r="AX16" s="3" t="str">
        <f>HEX2BIN(MID(Table1[[#This Row],[statusRaw]],1+HEX2DEC(LEFT(AX$1,2))*2, 2),8) &amp; " 0x" &amp;MID(Table1[[#This Row],[statusRaw]],1+HEX2DEC(LEFT(AX$1,2))*2, 2)</f>
        <v>00000000 0x00</v>
      </c>
      <c r="AY16" s="3" t="str">
        <f>MID(Table1[[#This Row],[statusRaw]],1+HEX2DEC(LEFT(AY$1,2))*2, 8)</f>
        <v>00000000</v>
      </c>
      <c r="AZ16" s="3" t="str">
        <f>MID(Table1[[#This Row],[statusRaw]],1+HEX2DEC(LEFT(AZ$1,2))*2, 8)</f>
        <v>00000000</v>
      </c>
      <c r="BA16" s="3" t="str">
        <f>HEX2BIN(MID(Table1[[#This Row],[statusRaw]],1+HEX2DEC(LEFT(BA$1,2))*2, 2),8) &amp; " 0x" &amp;MID(Table1[[#This Row],[statusRaw]],1+HEX2DEC(LEFT(BA$1,2))*2, 2)</f>
        <v>00000000 0x00</v>
      </c>
      <c r="BB16" s="3" t="str">
        <f>HEX2BIN(MID(Table1[[#This Row],[statusRaw]],1+HEX2DEC(LEFT(BB$1,2))*2, 2),8) &amp; " 0x" &amp;MID(Table1[[#This Row],[statusRaw]],1+HEX2DEC(LEFT(BB$1,2))*2, 2)</f>
        <v>00000000 0x00</v>
      </c>
      <c r="BC16" s="3" t="str">
        <f>HEX2BIN(MID(Table1[[#This Row],[statusRaw]],1+HEX2DEC(LEFT(BC$1,2))*2, 2),8) &amp; " 0x" &amp;MID(Table1[[#This Row],[statusRaw]],1+HEX2DEC(LEFT(BC$1,2))*2, 2)</f>
        <v>00000000 0x00</v>
      </c>
      <c r="BD16" s="3" t="str">
        <f>MID(Table1[[#This Row],[statusRaw]],1+HEX2DEC(LEFT(BD$1,2))*2, 8)</f>
        <v>000008C7</v>
      </c>
      <c r="BE16" s="3" t="str">
        <f>MID(Table1[[#This Row],[statusRaw]],1+HEX2DEC(LEFT(BE$1,2))*2, 8)</f>
        <v>000008C7</v>
      </c>
      <c r="BF16" s="9"/>
    </row>
    <row r="17" spans="1:58" x14ac:dyDescent="0.25">
      <c r="A17" s="1" t="s">
        <v>51</v>
      </c>
      <c r="B17" s="1" t="s">
        <v>52</v>
      </c>
      <c r="C17" s="1" t="s">
        <v>7</v>
      </c>
      <c r="D17" s="1" t="s">
        <v>53</v>
      </c>
      <c r="E17" s="1">
        <v>23</v>
      </c>
      <c r="F17" s="3" t="str">
        <f>HEX2BIN(MID(Table1[[#This Row],[statusRaw]],1+HEX2DEC(LEFT(F$1,2))*2, 2),8) &amp; " 0x" &amp;MID(Table1[[#This Row],[statusRaw]],1+HEX2DEC(LEFT(F$1,2))*2, 2)</f>
        <v>01010000 0x50</v>
      </c>
      <c r="G17" s="3" t="b">
        <f>MID(Table1[[#This Row],[03 - pump status (1)]],1,1)="1"</f>
        <v>0</v>
      </c>
      <c r="H17" s="3" t="b">
        <f>MID(Table1[[#This Row],[03 - pump status (1)]],2,1)="1"</f>
        <v>1</v>
      </c>
      <c r="I17" s="3" t="b">
        <f>MID(Table1[[#This Row],[03 - pump status (1)]],3,1)="1"</f>
        <v>0</v>
      </c>
      <c r="J17" s="3" t="b">
        <f>MID(Table1[[#This Row],[03 - pump status (1)]],4,1)="1"</f>
        <v>1</v>
      </c>
      <c r="K17" s="3" t="b">
        <f>MID(Table1[[#This Row],[03 - pump status (1)]],5,1)="1"</f>
        <v>0</v>
      </c>
      <c r="L17" s="3" t="b">
        <f>MID(Table1[[#This Row],[03 - pump status (1)]],6,1)="1"</f>
        <v>0</v>
      </c>
      <c r="M17" s="3" t="b">
        <f>MID(Table1[[#This Row],[03 - pump status (1)]],7,1)="1"</f>
        <v>0</v>
      </c>
      <c r="N17" s="3" t="b">
        <f>MID(Table1[[#This Row],[03 - pump status (1)]],8,1)="1"</f>
        <v>0</v>
      </c>
      <c r="O17" s="3" t="str">
        <f>MID(Table1[[#This Row],[statusRaw]],1+HEX2DEC(LEFT(O$1,2))*2, 8)</f>
        <v>00000000</v>
      </c>
      <c r="P17" s="3" t="str">
        <f>MID(Table1[[#This Row],[statusRaw]],1+HEX2DEC(LEFT(P$1,2))*2, 8)</f>
        <v>00000000</v>
      </c>
      <c r="Q17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7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7" s="3">
        <f>HEX2DEC(MID(Table1[[#This Row],[statusRaw]],1+HEX2DEC(LEFT(S$1,2))*2, 8))/10000</f>
        <v>0.7</v>
      </c>
      <c r="T17" s="3" t="str">
        <f>MID(Table1[[#This Row],[statusRaw]],1+HEX2DEC(LEFT(T$1,2))*2, 8)</f>
        <v>278A4116</v>
      </c>
      <c r="U17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17" s="3" t="str">
        <f>HEX2BIN(MID(Table1[[#This Row],[statusRaw]],1+HEX2DEC(LEFT(V$1,2))*2, 2),8) &amp; " 0x" &amp;MID(Table1[[#This Row],[statusRaw]],1+HEX2DEC(LEFT(V$1,2))*2, 2)</f>
        <v>00000001 0x01</v>
      </c>
      <c r="W17" s="3">
        <f>HEX2DEC(MID(Table1[[#This Row],[statusRaw]],1+HEX2DEC(LEFT(W$1,2))*2, 8))/10000</f>
        <v>0.55000000000000004</v>
      </c>
      <c r="X17" s="3">
        <f>HEX2DEC(MID(Table1[[#This Row],[statusRaw]],1+HEX2DEC(LEFT(X$1,2))*2, 8))/10000</f>
        <v>0</v>
      </c>
      <c r="Y17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7" s="3">
        <f>HEX2DEC(MID(Table1[[#This Row],[statusRaw]],1+HEX2DEC(LEFT(Z$1,2))*2, 8))/10000</f>
        <v>12.15</v>
      </c>
      <c r="AA17" s="3">
        <f>HEX2DEC(MID(Table1[[#This Row],[statusRaw]],1+HEX2DEC(LEFT(AA$1,2))*2, 2))</f>
        <v>50</v>
      </c>
      <c r="AB17" s="3">
        <f>HEX2DEC(MID(Table1[[#This Row],[statusRaw]],1+HEX2DEC(LEFT(AB$1,2))*2, 8))/10000</f>
        <v>214.875</v>
      </c>
      <c r="AC17" s="3">
        <f>HEX2DEC(MID(Table1[[#This Row],[statusRaw]],1+HEX2DEC(LEFT(AC$1,2))*2, 2))</f>
        <v>25</v>
      </c>
      <c r="AD17" s="3">
        <f>HEX2DEC(MID(Table1[[#This Row],[statusRaw]],1+HEX2DEC(LEFT(AD$1,2))*2, 2))</f>
        <v>0</v>
      </c>
      <c r="AE17" s="3">
        <f>HEX2DEC(MID(Table1[[#This Row],[statusRaw]],1+HEX2DEC(LEFT(AE$1,2))*2, 8))/10000</f>
        <v>0.2</v>
      </c>
      <c r="AF17" s="3">
        <f>IF(AND(Table1[[#This Row],[cgm]],NOT(Table1[[#This Row],[35 - SGV special bit (2)]])), _xlfn.BITAND(HEX2DEC(MID(Table1[[#This Row],[statusRaw]],1+HEX2DEC(LEFT(AF$1,2))*2, 4)),HEX2DEC("1FF")),"")</f>
        <v>116</v>
      </c>
      <c r="AG17" s="3" t="b">
        <f>_xlfn.BITAND(HEX2DEC(MID(Table1[[#This Row],[statusRaw]],1+HEX2DEC(LEFT(AG$1,2))*2, 4)),512)=512</f>
        <v>0</v>
      </c>
      <c r="AH17" s="3" t="str">
        <f>MID(Table1[[#This Row],[statusRaw]],1+HEX2DEC(LEFT(AF$1,2))*2, 8)</f>
        <v>00748674</v>
      </c>
      <c r="AI17" s="3" t="str">
        <f>MID(Table1[[#This Row],[statusRaw]],1+HEX2DEC(LEFT(AH$1,2))*2, 8)</f>
        <v>86746413</v>
      </c>
      <c r="AJ17" s="3" t="str">
        <f>HEX2BIN(MID(Table1[[#This Row],[statusRaw]],1+HEX2DEC(LEFT(AJ$1,2))*2, 2),8) &amp; " 0x" &amp;MID(Table1[[#This Row],[statusRaw]],1+HEX2DEC(LEFT(AJ$1,2))*2, 2)</f>
        <v>00000000 0x00</v>
      </c>
      <c r="AK17" s="1" t="str">
        <f>HEX2BIN(MID(Table1[[#This Row],[statusRaw]],1+HEX2DEC(LEFT(AK$1,2))*2, 2),8) &amp; " 0x" &amp;MID(Table1[[#This Row],[statusRaw]],1+HEX2DEC(LEFT(AK$1,2))*2, 2)</f>
        <v>01100000 0x60</v>
      </c>
      <c r="AL17" s="1" t="str">
        <f>VLOOKUP(Table1[[#This Row],[40 trend]],'Arrow status mapping'!$A$1:$B$8,2,FALSE)</f>
        <v>No arrows</v>
      </c>
      <c r="AM17" s="3" t="str">
        <f>HEX2BIN(MID(Table1[[#This Row],[statusRaw]],1+HEX2DEC(LEFT(AM$1,2))*2, 2),8) &amp; " 0x" &amp;MID(Table1[[#This Row],[statusRaw]],1+HEX2DEC(LEFT(AM$1,2))*2, 2)</f>
        <v>00010000 0x10</v>
      </c>
      <c r="AN17" s="3" t="str">
        <f>HEX2BIN(MID(Table1[[#This Row],[statusRaw]],1+HEX2DEC(LEFT(AN$1,2))*2, 2),8) &amp; " 0x" &amp;MID(Table1[[#This Row],[statusRaw]],1+HEX2DEC(LEFT(AN$1,2))*2, 2)</f>
        <v>00000000 0x00</v>
      </c>
      <c r="AO17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0x02C6 710</v>
      </c>
      <c r="AP17" s="1" t="str">
        <f>HEX2BIN(MID(Table1[[#This Row],[statusRaw]],1+HEX2DEC(LEFT(AP$1,2))*2, 2),8) &amp; " 0x" &amp;MID(Table1[[#This Row],[statusRaw]],1+HEX2DEC(LEFT(AP$1,2))*2, 2)</f>
        <v>00101010 0x2A</v>
      </c>
      <c r="AQ17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0xFFB0 -80</v>
      </c>
      <c r="AR17" s="3">
        <f>TRUNC(_xlfn.NUMBERVALUE(RIGHT(Table1[[#This Row],[46 rate of change (2)]],LEN(Table1[[#This Row],[46 rate of change (2)]])-7))/100)</f>
        <v>0</v>
      </c>
      <c r="AS17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7" s="3" t="b">
        <f>Table1[[#This Row],[calc arrow]]=Table1[[#This Row],[trend]]</f>
        <v>1</v>
      </c>
      <c r="AU17" s="3" t="str">
        <f>HEX2BIN(MID(Table1[[#This Row],[statusRaw]],1+HEX2DEC(LEFT(AU$1,2))*2, 2),8) &amp; " 0x" &amp;MID(Table1[[#This Row],[statusRaw]],1+HEX2DEC(LEFT(AU$1,2))*2, 2)</f>
        <v>00000000 0x00</v>
      </c>
      <c r="AV17" s="3">
        <f>HEX2DEC(MID(Table1[[#This Row],[statusRaw]],1+HEX2DEC(LEFT(AV$1,2))*2, 4))</f>
        <v>0</v>
      </c>
      <c r="AW17" s="3" t="str">
        <f>HEX2BIN(MID(Table1[[#This Row],[statusRaw]],1+HEX2DEC(LEFT(AW$1,2))*2, 2),8) &amp; " 0x" &amp;MID(Table1[[#This Row],[statusRaw]],1+HEX2DEC(LEFT(AW$1,2))*2, 2)</f>
        <v>00000000 0x00</v>
      </c>
      <c r="AX17" s="3" t="str">
        <f>HEX2BIN(MID(Table1[[#This Row],[statusRaw]],1+HEX2DEC(LEFT(AX$1,2))*2, 2),8) &amp; " 0x" &amp;MID(Table1[[#This Row],[statusRaw]],1+HEX2DEC(LEFT(AX$1,2))*2, 2)</f>
        <v>00000000 0x00</v>
      </c>
      <c r="AY17" s="3" t="str">
        <f>MID(Table1[[#This Row],[statusRaw]],1+HEX2DEC(LEFT(AY$1,2))*2, 8)</f>
        <v>00000000</v>
      </c>
      <c r="AZ17" s="3" t="str">
        <f>MID(Table1[[#This Row],[statusRaw]],1+HEX2DEC(LEFT(AZ$1,2))*2, 8)</f>
        <v>00000000</v>
      </c>
      <c r="BA17" s="3" t="str">
        <f>HEX2BIN(MID(Table1[[#This Row],[statusRaw]],1+HEX2DEC(LEFT(BA$1,2))*2, 2),8) &amp; " 0x" &amp;MID(Table1[[#This Row],[statusRaw]],1+HEX2DEC(LEFT(BA$1,2))*2, 2)</f>
        <v>00000000 0x00</v>
      </c>
      <c r="BB17" s="3" t="str">
        <f>HEX2BIN(MID(Table1[[#This Row],[statusRaw]],1+HEX2DEC(LEFT(BB$1,2))*2, 2),8) &amp; " 0x" &amp;MID(Table1[[#This Row],[statusRaw]],1+HEX2DEC(LEFT(BB$1,2))*2, 2)</f>
        <v>00000000 0x00</v>
      </c>
      <c r="BC17" s="3" t="str">
        <f>HEX2BIN(MID(Table1[[#This Row],[statusRaw]],1+HEX2DEC(LEFT(BC$1,2))*2, 2),8) &amp; " 0x" &amp;MID(Table1[[#This Row],[statusRaw]],1+HEX2DEC(LEFT(BC$1,2))*2, 2)</f>
        <v>00000000 0x00</v>
      </c>
      <c r="BD17" s="3" t="str">
        <f>MID(Table1[[#This Row],[statusRaw]],1+HEX2DEC(LEFT(BD$1,2))*2, 8)</f>
        <v>000008C7</v>
      </c>
      <c r="BE17" s="3" t="str">
        <f>MID(Table1[[#This Row],[statusRaw]],1+HEX2DEC(LEFT(BE$1,2))*2, 8)</f>
        <v>000008C7</v>
      </c>
      <c r="BF17" s="9"/>
    </row>
    <row r="18" spans="1:58" x14ac:dyDescent="0.25">
      <c r="A18" s="1" t="s">
        <v>54</v>
      </c>
      <c r="B18" s="1" t="s">
        <v>55</v>
      </c>
      <c r="C18" s="1" t="s">
        <v>7</v>
      </c>
      <c r="D18" s="1" t="s">
        <v>56</v>
      </c>
      <c r="E18" s="1">
        <v>23</v>
      </c>
      <c r="F18" s="3" t="str">
        <f>HEX2BIN(MID(Table1[[#This Row],[statusRaw]],1+HEX2DEC(LEFT(F$1,2))*2, 2),8) &amp; " 0x" &amp;MID(Table1[[#This Row],[statusRaw]],1+HEX2DEC(LEFT(F$1,2))*2, 2)</f>
        <v>01010000 0x50</v>
      </c>
      <c r="G18" s="3" t="b">
        <f>MID(Table1[[#This Row],[03 - pump status (1)]],1,1)="1"</f>
        <v>0</v>
      </c>
      <c r="H18" s="3" t="b">
        <f>MID(Table1[[#This Row],[03 - pump status (1)]],2,1)="1"</f>
        <v>1</v>
      </c>
      <c r="I18" s="3" t="b">
        <f>MID(Table1[[#This Row],[03 - pump status (1)]],3,1)="1"</f>
        <v>0</v>
      </c>
      <c r="J18" s="3" t="b">
        <f>MID(Table1[[#This Row],[03 - pump status (1)]],4,1)="1"</f>
        <v>1</v>
      </c>
      <c r="K18" s="3" t="b">
        <f>MID(Table1[[#This Row],[03 - pump status (1)]],5,1)="1"</f>
        <v>0</v>
      </c>
      <c r="L18" s="3" t="b">
        <f>MID(Table1[[#This Row],[03 - pump status (1)]],6,1)="1"</f>
        <v>0</v>
      </c>
      <c r="M18" s="3" t="b">
        <f>MID(Table1[[#This Row],[03 - pump status (1)]],7,1)="1"</f>
        <v>0</v>
      </c>
      <c r="N18" s="3" t="b">
        <f>MID(Table1[[#This Row],[03 - pump status (1)]],8,1)="1"</f>
        <v>0</v>
      </c>
      <c r="O18" s="3" t="str">
        <f>MID(Table1[[#This Row],[statusRaw]],1+HEX2DEC(LEFT(O$1,2))*2, 8)</f>
        <v>00000000</v>
      </c>
      <c r="P18" s="3" t="str">
        <f>MID(Table1[[#This Row],[statusRaw]],1+HEX2DEC(LEFT(P$1,2))*2, 8)</f>
        <v>00000000</v>
      </c>
      <c r="Q18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8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8" s="3">
        <f>HEX2DEC(MID(Table1[[#This Row],[statusRaw]],1+HEX2DEC(LEFT(S$1,2))*2, 8))/10000</f>
        <v>0.7</v>
      </c>
      <c r="T18" s="3" t="str">
        <f>MID(Table1[[#This Row],[statusRaw]],1+HEX2DEC(LEFT(T$1,2))*2, 8)</f>
        <v>278A4116</v>
      </c>
      <c r="U18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18" s="3" t="str">
        <f>HEX2BIN(MID(Table1[[#This Row],[statusRaw]],1+HEX2DEC(LEFT(V$1,2))*2, 2),8) &amp; " 0x" &amp;MID(Table1[[#This Row],[statusRaw]],1+HEX2DEC(LEFT(V$1,2))*2, 2)</f>
        <v>00000001 0x01</v>
      </c>
      <c r="W18" s="3">
        <f>HEX2DEC(MID(Table1[[#This Row],[statusRaw]],1+HEX2DEC(LEFT(W$1,2))*2, 8))/10000</f>
        <v>0.55000000000000004</v>
      </c>
      <c r="X18" s="3">
        <f>HEX2DEC(MID(Table1[[#This Row],[statusRaw]],1+HEX2DEC(LEFT(X$1,2))*2, 8))/10000</f>
        <v>0</v>
      </c>
      <c r="Y18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8" s="3">
        <f>HEX2DEC(MID(Table1[[#This Row],[statusRaw]],1+HEX2DEC(LEFT(Z$1,2))*2, 8))/10000</f>
        <v>12.1</v>
      </c>
      <c r="AA18" s="3">
        <f>HEX2DEC(MID(Table1[[#This Row],[statusRaw]],1+HEX2DEC(LEFT(AA$1,2))*2, 2))</f>
        <v>50</v>
      </c>
      <c r="AB18" s="3">
        <f>HEX2DEC(MID(Table1[[#This Row],[statusRaw]],1+HEX2DEC(LEFT(AB$1,2))*2, 8))/10000</f>
        <v>214.92500000000001</v>
      </c>
      <c r="AC18" s="3">
        <f>HEX2DEC(MID(Table1[[#This Row],[statusRaw]],1+HEX2DEC(LEFT(AC$1,2))*2, 2))</f>
        <v>25</v>
      </c>
      <c r="AD18" s="3">
        <f>HEX2DEC(MID(Table1[[#This Row],[statusRaw]],1+HEX2DEC(LEFT(AD$1,2))*2, 2))</f>
        <v>0</v>
      </c>
      <c r="AE18" s="3">
        <f>HEX2DEC(MID(Table1[[#This Row],[statusRaw]],1+HEX2DEC(LEFT(AE$1,2))*2, 8))/10000</f>
        <v>0.3</v>
      </c>
      <c r="AF18" s="3">
        <f>IF(AND(Table1[[#This Row],[cgm]],NOT(Table1[[#This Row],[35 - SGV special bit (2)]])), _xlfn.BITAND(HEX2DEC(MID(Table1[[#This Row],[statusRaw]],1+HEX2DEC(LEFT(AF$1,2))*2, 4)),HEX2DEC("1FF")),"")</f>
        <v>121</v>
      </c>
      <c r="AG18" s="3" t="b">
        <f>_xlfn.BITAND(HEX2DEC(MID(Table1[[#This Row],[statusRaw]],1+HEX2DEC(LEFT(AG$1,2))*2, 4)),512)=512</f>
        <v>0</v>
      </c>
      <c r="AH18" s="3" t="str">
        <f>MID(Table1[[#This Row],[statusRaw]],1+HEX2DEC(LEFT(AF$1,2))*2, 8)</f>
        <v>00798674</v>
      </c>
      <c r="AI18" s="3" t="str">
        <f>MID(Table1[[#This Row],[statusRaw]],1+HEX2DEC(LEFT(AH$1,2))*2, 8)</f>
        <v>867462E7</v>
      </c>
      <c r="AJ18" s="3" t="str">
        <f>HEX2BIN(MID(Table1[[#This Row],[statusRaw]],1+HEX2DEC(LEFT(AJ$1,2))*2, 2),8) &amp; " 0x" &amp;MID(Table1[[#This Row],[statusRaw]],1+HEX2DEC(LEFT(AJ$1,2))*2, 2)</f>
        <v>00000000 0x00</v>
      </c>
      <c r="AK18" s="1" t="str">
        <f>HEX2BIN(MID(Table1[[#This Row],[statusRaw]],1+HEX2DEC(LEFT(AK$1,2))*2, 2),8) &amp; " 0x" &amp;MID(Table1[[#This Row],[statusRaw]],1+HEX2DEC(LEFT(AK$1,2))*2, 2)</f>
        <v>01100000 0x60</v>
      </c>
      <c r="AL18" s="1" t="str">
        <f>VLOOKUP(Table1[[#This Row],[40 trend]],'Arrow status mapping'!$A$1:$B$8,2,FALSE)</f>
        <v>No arrows</v>
      </c>
      <c r="AM18" s="3" t="str">
        <f>HEX2BIN(MID(Table1[[#This Row],[statusRaw]],1+HEX2DEC(LEFT(AM$1,2))*2, 2),8) &amp; " 0x" &amp;MID(Table1[[#This Row],[statusRaw]],1+HEX2DEC(LEFT(AM$1,2))*2, 2)</f>
        <v>00010000 0x10</v>
      </c>
      <c r="AN18" s="3" t="str">
        <f>HEX2BIN(MID(Table1[[#This Row],[statusRaw]],1+HEX2DEC(LEFT(AN$1,2))*2, 2),8) &amp; " 0x" &amp;MID(Table1[[#This Row],[statusRaw]],1+HEX2DEC(LEFT(AN$1,2))*2, 2)</f>
        <v>00000000 0x00</v>
      </c>
      <c r="AO18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0x02CB 715</v>
      </c>
      <c r="AP18" s="1" t="str">
        <f>HEX2BIN(MID(Table1[[#This Row],[statusRaw]],1+HEX2DEC(LEFT(AP$1,2))*2, 2),8) &amp; " 0x" &amp;MID(Table1[[#This Row],[statusRaw]],1+HEX2DEC(LEFT(AP$1,2))*2, 2)</f>
        <v>00101010 0x2A</v>
      </c>
      <c r="AQ18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0xFFAA -86</v>
      </c>
      <c r="AR18" s="3">
        <f>TRUNC(_xlfn.NUMBERVALUE(RIGHT(Table1[[#This Row],[46 rate of change (2)]],LEN(Table1[[#This Row],[46 rate of change (2)]])-7))/100)</f>
        <v>0</v>
      </c>
      <c r="AS18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8" s="3" t="b">
        <f>Table1[[#This Row],[calc arrow]]=Table1[[#This Row],[trend]]</f>
        <v>1</v>
      </c>
      <c r="AU18" s="3" t="str">
        <f>HEX2BIN(MID(Table1[[#This Row],[statusRaw]],1+HEX2DEC(LEFT(AU$1,2))*2, 2),8) &amp; " 0x" &amp;MID(Table1[[#This Row],[statusRaw]],1+HEX2DEC(LEFT(AU$1,2))*2, 2)</f>
        <v>00000000 0x00</v>
      </c>
      <c r="AV18" s="3">
        <f>HEX2DEC(MID(Table1[[#This Row],[statusRaw]],1+HEX2DEC(LEFT(AV$1,2))*2, 4))</f>
        <v>0</v>
      </c>
      <c r="AW18" s="3" t="str">
        <f>HEX2BIN(MID(Table1[[#This Row],[statusRaw]],1+HEX2DEC(LEFT(AW$1,2))*2, 2),8) &amp; " 0x" &amp;MID(Table1[[#This Row],[statusRaw]],1+HEX2DEC(LEFT(AW$1,2))*2, 2)</f>
        <v>00000000 0x00</v>
      </c>
      <c r="AX18" s="3" t="str">
        <f>HEX2BIN(MID(Table1[[#This Row],[statusRaw]],1+HEX2DEC(LEFT(AX$1,2))*2, 2),8) &amp; " 0x" &amp;MID(Table1[[#This Row],[statusRaw]],1+HEX2DEC(LEFT(AX$1,2))*2, 2)</f>
        <v>00000000 0x00</v>
      </c>
      <c r="AY18" s="3" t="str">
        <f>MID(Table1[[#This Row],[statusRaw]],1+HEX2DEC(LEFT(AY$1,2))*2, 8)</f>
        <v>00000000</v>
      </c>
      <c r="AZ18" s="3" t="str">
        <f>MID(Table1[[#This Row],[statusRaw]],1+HEX2DEC(LEFT(AZ$1,2))*2, 8)</f>
        <v>00000000</v>
      </c>
      <c r="BA18" s="3" t="str">
        <f>HEX2BIN(MID(Table1[[#This Row],[statusRaw]],1+HEX2DEC(LEFT(BA$1,2))*2, 2),8) &amp; " 0x" &amp;MID(Table1[[#This Row],[statusRaw]],1+HEX2DEC(LEFT(BA$1,2))*2, 2)</f>
        <v>00000000 0x00</v>
      </c>
      <c r="BB18" s="3" t="str">
        <f>HEX2BIN(MID(Table1[[#This Row],[statusRaw]],1+HEX2DEC(LEFT(BB$1,2))*2, 2),8) &amp; " 0x" &amp;MID(Table1[[#This Row],[statusRaw]],1+HEX2DEC(LEFT(BB$1,2))*2, 2)</f>
        <v>00000000 0x00</v>
      </c>
      <c r="BC18" s="3" t="str">
        <f>HEX2BIN(MID(Table1[[#This Row],[statusRaw]],1+HEX2DEC(LEFT(BC$1,2))*2, 2),8) &amp; " 0x" &amp;MID(Table1[[#This Row],[statusRaw]],1+HEX2DEC(LEFT(BC$1,2))*2, 2)</f>
        <v>00000000 0x00</v>
      </c>
      <c r="BD18" s="3" t="str">
        <f>MID(Table1[[#This Row],[statusRaw]],1+HEX2DEC(LEFT(BD$1,2))*2, 8)</f>
        <v>000008C7</v>
      </c>
      <c r="BE18" s="3" t="str">
        <f>MID(Table1[[#This Row],[statusRaw]],1+HEX2DEC(LEFT(BE$1,2))*2, 8)</f>
        <v>000008C7</v>
      </c>
      <c r="BF18" s="9"/>
    </row>
    <row r="19" spans="1:58" x14ac:dyDescent="0.25">
      <c r="A19" s="1" t="s">
        <v>57</v>
      </c>
      <c r="B19" s="1" t="s">
        <v>58</v>
      </c>
      <c r="C19" s="1" t="s">
        <v>7</v>
      </c>
      <c r="D19" s="1" t="s">
        <v>59</v>
      </c>
      <c r="E19" s="1">
        <v>23</v>
      </c>
      <c r="F19" s="3" t="str">
        <f>HEX2BIN(MID(Table1[[#This Row],[statusRaw]],1+HEX2DEC(LEFT(F$1,2))*2, 2),8) &amp; " 0x" &amp;MID(Table1[[#This Row],[statusRaw]],1+HEX2DEC(LEFT(F$1,2))*2, 2)</f>
        <v>01010000 0x50</v>
      </c>
      <c r="G19" s="3" t="b">
        <f>MID(Table1[[#This Row],[03 - pump status (1)]],1,1)="1"</f>
        <v>0</v>
      </c>
      <c r="H19" s="3" t="b">
        <f>MID(Table1[[#This Row],[03 - pump status (1)]],2,1)="1"</f>
        <v>1</v>
      </c>
      <c r="I19" s="3" t="b">
        <f>MID(Table1[[#This Row],[03 - pump status (1)]],3,1)="1"</f>
        <v>0</v>
      </c>
      <c r="J19" s="3" t="b">
        <f>MID(Table1[[#This Row],[03 - pump status (1)]],4,1)="1"</f>
        <v>1</v>
      </c>
      <c r="K19" s="3" t="b">
        <f>MID(Table1[[#This Row],[03 - pump status (1)]],5,1)="1"</f>
        <v>0</v>
      </c>
      <c r="L19" s="3" t="b">
        <f>MID(Table1[[#This Row],[03 - pump status (1)]],6,1)="1"</f>
        <v>0</v>
      </c>
      <c r="M19" s="3" t="b">
        <f>MID(Table1[[#This Row],[03 - pump status (1)]],7,1)="1"</f>
        <v>0</v>
      </c>
      <c r="N19" s="3" t="b">
        <f>MID(Table1[[#This Row],[03 - pump status (1)]],8,1)="1"</f>
        <v>0</v>
      </c>
      <c r="O19" s="3" t="str">
        <f>MID(Table1[[#This Row],[statusRaw]],1+HEX2DEC(LEFT(O$1,2))*2, 8)</f>
        <v>00000000</v>
      </c>
      <c r="P19" s="3" t="str">
        <f>MID(Table1[[#This Row],[statusRaw]],1+HEX2DEC(LEFT(P$1,2))*2, 8)</f>
        <v>00000000</v>
      </c>
      <c r="Q19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9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9" s="3">
        <f>HEX2DEC(MID(Table1[[#This Row],[statusRaw]],1+HEX2DEC(LEFT(S$1,2))*2, 8))/10000</f>
        <v>0.7</v>
      </c>
      <c r="T19" s="3" t="str">
        <f>MID(Table1[[#This Row],[statusRaw]],1+HEX2DEC(LEFT(T$1,2))*2, 8)</f>
        <v>278A4116</v>
      </c>
      <c r="U19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19" s="3" t="str">
        <f>HEX2BIN(MID(Table1[[#This Row],[statusRaw]],1+HEX2DEC(LEFT(V$1,2))*2, 2),8) &amp; " 0x" &amp;MID(Table1[[#This Row],[statusRaw]],1+HEX2DEC(LEFT(V$1,2))*2, 2)</f>
        <v>00000001 0x01</v>
      </c>
      <c r="W19" s="3">
        <f>HEX2DEC(MID(Table1[[#This Row],[statusRaw]],1+HEX2DEC(LEFT(W$1,2))*2, 8))/10000</f>
        <v>0.55000000000000004</v>
      </c>
      <c r="X19" s="3">
        <f>HEX2DEC(MID(Table1[[#This Row],[statusRaw]],1+HEX2DEC(LEFT(X$1,2))*2, 8))/10000</f>
        <v>0</v>
      </c>
      <c r="Y19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9" s="3">
        <f>HEX2DEC(MID(Table1[[#This Row],[statusRaw]],1+HEX2DEC(LEFT(Z$1,2))*2, 8))/10000</f>
        <v>12.05</v>
      </c>
      <c r="AA19" s="3">
        <f>HEX2DEC(MID(Table1[[#This Row],[statusRaw]],1+HEX2DEC(LEFT(AA$1,2))*2, 2))</f>
        <v>50</v>
      </c>
      <c r="AB19" s="3">
        <f>HEX2DEC(MID(Table1[[#This Row],[statusRaw]],1+HEX2DEC(LEFT(AB$1,2))*2, 8))/10000</f>
        <v>214.97499999999999</v>
      </c>
      <c r="AC19" s="3">
        <f>HEX2DEC(MID(Table1[[#This Row],[statusRaw]],1+HEX2DEC(LEFT(AC$1,2))*2, 2))</f>
        <v>25</v>
      </c>
      <c r="AD19" s="3">
        <f>HEX2DEC(MID(Table1[[#This Row],[statusRaw]],1+HEX2DEC(LEFT(AD$1,2))*2, 2))</f>
        <v>0</v>
      </c>
      <c r="AE19" s="3">
        <f>HEX2DEC(MID(Table1[[#This Row],[statusRaw]],1+HEX2DEC(LEFT(AE$1,2))*2, 8))/10000</f>
        <v>0.3</v>
      </c>
      <c r="AF19" s="3">
        <f>IF(AND(Table1[[#This Row],[cgm]],NOT(Table1[[#This Row],[35 - SGV special bit (2)]])), _xlfn.BITAND(HEX2DEC(MID(Table1[[#This Row],[statusRaw]],1+HEX2DEC(LEFT(AF$1,2))*2, 4)),HEX2DEC("1FF")),"")</f>
        <v>130</v>
      </c>
      <c r="AG19" s="3" t="b">
        <f>_xlfn.BITAND(HEX2DEC(MID(Table1[[#This Row],[statusRaw]],1+HEX2DEC(LEFT(AG$1,2))*2, 4)),512)=512</f>
        <v>0</v>
      </c>
      <c r="AH19" s="3" t="str">
        <f>MID(Table1[[#This Row],[statusRaw]],1+HEX2DEC(LEFT(AF$1,2))*2, 8)</f>
        <v>00828674</v>
      </c>
      <c r="AI19" s="3" t="str">
        <f>MID(Table1[[#This Row],[statusRaw]],1+HEX2DEC(LEFT(AH$1,2))*2, 8)</f>
        <v>867461BB</v>
      </c>
      <c r="AJ19" s="3" t="str">
        <f>HEX2BIN(MID(Table1[[#This Row],[statusRaw]],1+HEX2DEC(LEFT(AJ$1,2))*2, 2),8) &amp; " 0x" &amp;MID(Table1[[#This Row],[statusRaw]],1+HEX2DEC(LEFT(AJ$1,2))*2, 2)</f>
        <v>00000000 0x00</v>
      </c>
      <c r="AK19" s="1" t="str">
        <f>HEX2BIN(MID(Table1[[#This Row],[statusRaw]],1+HEX2DEC(LEFT(AK$1,2))*2, 2),8) &amp; " 0x" &amp;MID(Table1[[#This Row],[statusRaw]],1+HEX2DEC(LEFT(AK$1,2))*2, 2)</f>
        <v>01100000 0x60</v>
      </c>
      <c r="AL19" s="1" t="str">
        <f>VLOOKUP(Table1[[#This Row],[40 trend]],'Arrow status mapping'!$A$1:$B$8,2,FALSE)</f>
        <v>No arrows</v>
      </c>
      <c r="AM19" s="3" t="str">
        <f>HEX2BIN(MID(Table1[[#This Row],[statusRaw]],1+HEX2DEC(LEFT(AM$1,2))*2, 2),8) &amp; " 0x" &amp;MID(Table1[[#This Row],[statusRaw]],1+HEX2DEC(LEFT(AM$1,2))*2, 2)</f>
        <v>00010000 0x10</v>
      </c>
      <c r="AN19" s="3" t="str">
        <f>HEX2BIN(MID(Table1[[#This Row],[statusRaw]],1+HEX2DEC(LEFT(AN$1,2))*2, 2),8) &amp; " 0x" &amp;MID(Table1[[#This Row],[statusRaw]],1+HEX2DEC(LEFT(AN$1,2))*2, 2)</f>
        <v>00000000 0x00</v>
      </c>
      <c r="AO19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0x02D0 720</v>
      </c>
      <c r="AP19" s="1" t="str">
        <f>HEX2BIN(MID(Table1[[#This Row],[statusRaw]],1+HEX2DEC(LEFT(AP$1,2))*2, 2),8) &amp; " 0x" &amp;MID(Table1[[#This Row],[statusRaw]],1+HEX2DEC(LEFT(AP$1,2))*2, 2)</f>
        <v>00101010 0x2A</v>
      </c>
      <c r="AQ19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0xFFD5 -43</v>
      </c>
      <c r="AR19" s="3">
        <f>TRUNC(_xlfn.NUMBERVALUE(RIGHT(Table1[[#This Row],[46 rate of change (2)]],LEN(Table1[[#This Row],[46 rate of change (2)]])-7))/100)</f>
        <v>0</v>
      </c>
      <c r="AS19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9" s="3" t="b">
        <f>Table1[[#This Row],[calc arrow]]=Table1[[#This Row],[trend]]</f>
        <v>1</v>
      </c>
      <c r="AU19" s="3" t="str">
        <f>HEX2BIN(MID(Table1[[#This Row],[statusRaw]],1+HEX2DEC(LEFT(AU$1,2))*2, 2),8) &amp; " 0x" &amp;MID(Table1[[#This Row],[statusRaw]],1+HEX2DEC(LEFT(AU$1,2))*2, 2)</f>
        <v>00000000 0x00</v>
      </c>
      <c r="AV19" s="3">
        <f>HEX2DEC(MID(Table1[[#This Row],[statusRaw]],1+HEX2DEC(LEFT(AV$1,2))*2, 4))</f>
        <v>0</v>
      </c>
      <c r="AW19" s="3" t="str">
        <f>HEX2BIN(MID(Table1[[#This Row],[statusRaw]],1+HEX2DEC(LEFT(AW$1,2))*2, 2),8) &amp; " 0x" &amp;MID(Table1[[#This Row],[statusRaw]],1+HEX2DEC(LEFT(AW$1,2))*2, 2)</f>
        <v>00000000 0x00</v>
      </c>
      <c r="AX19" s="3" t="str">
        <f>HEX2BIN(MID(Table1[[#This Row],[statusRaw]],1+HEX2DEC(LEFT(AX$1,2))*2, 2),8) &amp; " 0x" &amp;MID(Table1[[#This Row],[statusRaw]],1+HEX2DEC(LEFT(AX$1,2))*2, 2)</f>
        <v>00000000 0x00</v>
      </c>
      <c r="AY19" s="3" t="str">
        <f>MID(Table1[[#This Row],[statusRaw]],1+HEX2DEC(LEFT(AY$1,2))*2, 8)</f>
        <v>00000000</v>
      </c>
      <c r="AZ19" s="3" t="str">
        <f>MID(Table1[[#This Row],[statusRaw]],1+HEX2DEC(LEFT(AZ$1,2))*2, 8)</f>
        <v>00000000</v>
      </c>
      <c r="BA19" s="3" t="str">
        <f>HEX2BIN(MID(Table1[[#This Row],[statusRaw]],1+HEX2DEC(LEFT(BA$1,2))*2, 2),8) &amp; " 0x" &amp;MID(Table1[[#This Row],[statusRaw]],1+HEX2DEC(LEFT(BA$1,2))*2, 2)</f>
        <v>00000000 0x00</v>
      </c>
      <c r="BB19" s="3" t="str">
        <f>HEX2BIN(MID(Table1[[#This Row],[statusRaw]],1+HEX2DEC(LEFT(BB$1,2))*2, 2),8) &amp; " 0x" &amp;MID(Table1[[#This Row],[statusRaw]],1+HEX2DEC(LEFT(BB$1,2))*2, 2)</f>
        <v>00000000 0x00</v>
      </c>
      <c r="BC19" s="3" t="str">
        <f>HEX2BIN(MID(Table1[[#This Row],[statusRaw]],1+HEX2DEC(LEFT(BC$1,2))*2, 2),8) &amp; " 0x" &amp;MID(Table1[[#This Row],[statusRaw]],1+HEX2DEC(LEFT(BC$1,2))*2, 2)</f>
        <v>00000000 0x00</v>
      </c>
      <c r="BD19" s="3" t="str">
        <f>MID(Table1[[#This Row],[statusRaw]],1+HEX2DEC(LEFT(BD$1,2))*2, 8)</f>
        <v>000008C7</v>
      </c>
      <c r="BE19" s="3" t="str">
        <f>MID(Table1[[#This Row],[statusRaw]],1+HEX2DEC(LEFT(BE$1,2))*2, 8)</f>
        <v>000008C7</v>
      </c>
      <c r="BF19" s="9"/>
    </row>
    <row r="20" spans="1:58" s="6" customFormat="1" x14ac:dyDescent="0.25">
      <c r="A20" s="4" t="s">
        <v>60</v>
      </c>
      <c r="B20" s="4" t="s">
        <v>61</v>
      </c>
      <c r="C20" s="4" t="s">
        <v>7</v>
      </c>
      <c r="D20" s="4" t="s">
        <v>62</v>
      </c>
      <c r="E20" s="4">
        <v>23</v>
      </c>
      <c r="F20" s="5" t="str">
        <f>HEX2BIN(MID(Table1[[#This Row],[statusRaw]],1+HEX2DEC(LEFT(F$1,2))*2, 2),8) &amp; " 0x" &amp;MID(Table1[[#This Row],[statusRaw]],1+HEX2DEC(LEFT(F$1,2))*2, 2)</f>
        <v>01010000 0x50</v>
      </c>
      <c r="G20" s="5" t="b">
        <f>MID(Table1[[#This Row],[03 - pump status (1)]],1,1)="1"</f>
        <v>0</v>
      </c>
      <c r="H20" s="5" t="b">
        <f>MID(Table1[[#This Row],[03 - pump status (1)]],2,1)="1"</f>
        <v>1</v>
      </c>
      <c r="I20" s="5" t="b">
        <f>MID(Table1[[#This Row],[03 - pump status (1)]],3,1)="1"</f>
        <v>0</v>
      </c>
      <c r="J20" s="5" t="b">
        <f>MID(Table1[[#This Row],[03 - pump status (1)]],4,1)="1"</f>
        <v>1</v>
      </c>
      <c r="K20" s="5" t="b">
        <f>MID(Table1[[#This Row],[03 - pump status (1)]],5,1)="1"</f>
        <v>0</v>
      </c>
      <c r="L20" s="5" t="b">
        <f>MID(Table1[[#This Row],[03 - pump status (1)]],6,1)="1"</f>
        <v>0</v>
      </c>
      <c r="M20" s="5" t="b">
        <f>MID(Table1[[#This Row],[03 - pump status (1)]],7,1)="1"</f>
        <v>0</v>
      </c>
      <c r="N20" s="5" t="b">
        <f>MID(Table1[[#This Row],[03 - pump status (1)]],8,1)="1"</f>
        <v>0</v>
      </c>
      <c r="O20" s="5" t="str">
        <f>MID(Table1[[#This Row],[statusRaw]],1+HEX2DEC(LEFT(O$1,2))*2, 8)</f>
        <v>00000000</v>
      </c>
      <c r="P20" s="5" t="str">
        <f>MID(Table1[[#This Row],[statusRaw]],1+HEX2DEC(LEFT(P$1,2))*2, 8)</f>
        <v>00000000</v>
      </c>
      <c r="Q20" s="5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20" s="5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20" s="5">
        <f>HEX2DEC(MID(Table1[[#This Row],[statusRaw]],1+HEX2DEC(LEFT(S$1,2))*2, 8))/10000</f>
        <v>0.7</v>
      </c>
      <c r="T20" s="5" t="str">
        <f>MID(Table1[[#This Row],[statusRaw]],1+HEX2DEC(LEFT(T$1,2))*2, 8)</f>
        <v>278A4116</v>
      </c>
      <c r="U20" s="5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20" s="5" t="str">
        <f>HEX2BIN(MID(Table1[[#This Row],[statusRaw]],1+HEX2DEC(LEFT(V$1,2))*2, 2),8) &amp; " 0x" &amp;MID(Table1[[#This Row],[statusRaw]],1+HEX2DEC(LEFT(V$1,2))*2, 2)</f>
        <v>00000001 0x01</v>
      </c>
      <c r="W20" s="5">
        <f>HEX2DEC(MID(Table1[[#This Row],[statusRaw]],1+HEX2DEC(LEFT(W$1,2))*2, 8))/10000</f>
        <v>0.55000000000000004</v>
      </c>
      <c r="X20" s="5">
        <f>HEX2DEC(MID(Table1[[#This Row],[statusRaw]],1+HEX2DEC(LEFT(X$1,2))*2, 8))/10000</f>
        <v>0</v>
      </c>
      <c r="Y20" s="5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20" s="5">
        <f>HEX2DEC(MID(Table1[[#This Row],[statusRaw]],1+HEX2DEC(LEFT(Z$1,2))*2, 8))/10000</f>
        <v>12</v>
      </c>
      <c r="AA20" s="5">
        <f>HEX2DEC(MID(Table1[[#This Row],[statusRaw]],1+HEX2DEC(LEFT(AA$1,2))*2, 2))</f>
        <v>50</v>
      </c>
      <c r="AB20" s="5">
        <f>HEX2DEC(MID(Table1[[#This Row],[statusRaw]],1+HEX2DEC(LEFT(AB$1,2))*2, 8))/10000</f>
        <v>215.02500000000001</v>
      </c>
      <c r="AC20" s="5">
        <f>HEX2DEC(MID(Table1[[#This Row],[statusRaw]],1+HEX2DEC(LEFT(AC$1,2))*2, 2))</f>
        <v>25</v>
      </c>
      <c r="AD20" s="5">
        <f>HEX2DEC(MID(Table1[[#This Row],[statusRaw]],1+HEX2DEC(LEFT(AD$1,2))*2, 2))</f>
        <v>0</v>
      </c>
      <c r="AE20" s="5">
        <f>HEX2DEC(MID(Table1[[#This Row],[statusRaw]],1+HEX2DEC(LEFT(AE$1,2))*2, 8))/10000</f>
        <v>0.3</v>
      </c>
      <c r="AF20" s="5">
        <f>IF(AND(Table1[[#This Row],[cgm]],NOT(Table1[[#This Row],[35 - SGV special bit (2)]])), _xlfn.BITAND(HEX2DEC(MID(Table1[[#This Row],[statusRaw]],1+HEX2DEC(LEFT(AF$1,2))*2, 4)),HEX2DEC("1FF")),"")</f>
        <v>127</v>
      </c>
      <c r="AG20" s="5" t="b">
        <f>_xlfn.BITAND(HEX2DEC(MID(Table1[[#This Row],[statusRaw]],1+HEX2DEC(LEFT(AG$1,2))*2, 4)),512)=512</f>
        <v>0</v>
      </c>
      <c r="AH20" s="5" t="str">
        <f>MID(Table1[[#This Row],[statusRaw]],1+HEX2DEC(LEFT(AF$1,2))*2, 8)</f>
        <v>007F8674</v>
      </c>
      <c r="AI20" s="5" t="str">
        <f>MID(Table1[[#This Row],[statusRaw]],1+HEX2DEC(LEFT(AH$1,2))*2, 8)</f>
        <v>8674608F</v>
      </c>
      <c r="AJ20" s="5" t="str">
        <f>HEX2BIN(MID(Table1[[#This Row],[statusRaw]],1+HEX2DEC(LEFT(AJ$1,2))*2, 2),8) &amp; " 0x" &amp;MID(Table1[[#This Row],[statusRaw]],1+HEX2DEC(LEFT(AJ$1,2))*2, 2)</f>
        <v>00000000 0x00</v>
      </c>
      <c r="AK20" s="4" t="str">
        <f>HEX2BIN(MID(Table1[[#This Row],[statusRaw]],1+HEX2DEC(LEFT(AK$1,2))*2, 2),8) &amp; " 0x" &amp;MID(Table1[[#This Row],[statusRaw]],1+HEX2DEC(LEFT(AK$1,2))*2, 2)</f>
        <v>01100000 0x60</v>
      </c>
      <c r="AL20" s="4" t="str">
        <f>VLOOKUP(Table1[[#This Row],[40 trend]],'Arrow status mapping'!$A$1:$B$8,2,FALSE)</f>
        <v>No arrows</v>
      </c>
      <c r="AM20" s="5" t="str">
        <f>HEX2BIN(MID(Table1[[#This Row],[statusRaw]],1+HEX2DEC(LEFT(AM$1,2))*2, 2),8) &amp; " 0x" &amp;MID(Table1[[#This Row],[statusRaw]],1+HEX2DEC(LEFT(AM$1,2))*2, 2)</f>
        <v>00010000 0x10</v>
      </c>
      <c r="AN20" s="5" t="str">
        <f>HEX2BIN(MID(Table1[[#This Row],[statusRaw]],1+HEX2DEC(LEFT(AN$1,2))*2, 2),8) &amp; " 0x" &amp;MID(Table1[[#This Row],[statusRaw]],1+HEX2DEC(LEFT(AN$1,2))*2, 2)</f>
        <v>00000000 0x00</v>
      </c>
      <c r="AO20" s="5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0x02D5 725</v>
      </c>
      <c r="AP20" s="4" t="str">
        <f>HEX2BIN(MID(Table1[[#This Row],[statusRaw]],1+HEX2DEC(LEFT(AP$1,2))*2, 2),8) &amp; " 0x" &amp;MID(Table1[[#This Row],[statusRaw]],1+HEX2DEC(LEFT(AP$1,2))*2, 2)</f>
        <v>00101010 0x2A</v>
      </c>
      <c r="AQ20" s="4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0xFFF3 -13</v>
      </c>
      <c r="AR20" s="5">
        <f>TRUNC(_xlfn.NUMBERVALUE(RIGHT(Table1[[#This Row],[46 rate of change (2)]],LEN(Table1[[#This Row],[46 rate of change (2)]])-7))/100)</f>
        <v>0</v>
      </c>
      <c r="AS20" s="5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20" s="5" t="b">
        <f>Table1[[#This Row],[calc arrow]]=Table1[[#This Row],[trend]]</f>
        <v>1</v>
      </c>
      <c r="AU20" s="5" t="str">
        <f>HEX2BIN(MID(Table1[[#This Row],[statusRaw]],1+HEX2DEC(LEFT(AU$1,2))*2, 2),8) &amp; " 0x" &amp;MID(Table1[[#This Row],[statusRaw]],1+HEX2DEC(LEFT(AU$1,2))*2, 2)</f>
        <v>00000000 0x00</v>
      </c>
      <c r="AV20" s="5">
        <f>HEX2DEC(MID(Table1[[#This Row],[statusRaw]],1+HEX2DEC(LEFT(AV$1,2))*2, 4))</f>
        <v>159</v>
      </c>
      <c r="AW20" s="5" t="str">
        <f>HEX2BIN(MID(Table1[[#This Row],[statusRaw]],1+HEX2DEC(LEFT(AW$1,2))*2, 2),8) &amp; " 0x" &amp;MID(Table1[[#This Row],[statusRaw]],1+HEX2DEC(LEFT(AW$1,2))*2, 2)</f>
        <v>00000000 0x00</v>
      </c>
      <c r="AX20" s="5" t="str">
        <f>HEX2BIN(MID(Table1[[#This Row],[statusRaw]],1+HEX2DEC(LEFT(AX$1,2))*2, 2),8) &amp; " 0x" &amp;MID(Table1[[#This Row],[statusRaw]],1+HEX2DEC(LEFT(AX$1,2))*2, 2)</f>
        <v>00000000 0x00</v>
      </c>
      <c r="AY20" s="5" t="str">
        <f>MID(Table1[[#This Row],[statusRaw]],1+HEX2DEC(LEFT(AY$1,2))*2, 8)</f>
        <v>00000000</v>
      </c>
      <c r="AZ20" s="5" t="str">
        <f>MID(Table1[[#This Row],[statusRaw]],1+HEX2DEC(LEFT(AZ$1,2))*2, 8)</f>
        <v>00000000</v>
      </c>
      <c r="BA20" s="5" t="str">
        <f>HEX2BIN(MID(Table1[[#This Row],[statusRaw]],1+HEX2DEC(LEFT(BA$1,2))*2, 2),8) &amp; " 0x" &amp;MID(Table1[[#This Row],[statusRaw]],1+HEX2DEC(LEFT(BA$1,2))*2, 2)</f>
        <v>00000000 0x00</v>
      </c>
      <c r="BB20" s="5" t="str">
        <f>HEX2BIN(MID(Table1[[#This Row],[statusRaw]],1+HEX2DEC(LEFT(BB$1,2))*2, 2),8) &amp; " 0x" &amp;MID(Table1[[#This Row],[statusRaw]],1+HEX2DEC(LEFT(BB$1,2))*2, 2)</f>
        <v>00000000 0x00</v>
      </c>
      <c r="BC20" s="5" t="str">
        <f>HEX2BIN(MID(Table1[[#This Row],[statusRaw]],1+HEX2DEC(LEFT(BC$1,2))*2, 2),8) &amp; " 0x" &amp;MID(Table1[[#This Row],[statusRaw]],1+HEX2DEC(LEFT(BC$1,2))*2, 2)</f>
        <v>00000000 0x00</v>
      </c>
      <c r="BD20" s="5" t="str">
        <f>MID(Table1[[#This Row],[statusRaw]],1+HEX2DEC(LEFT(BD$1,2))*2, 8)</f>
        <v>000008C7</v>
      </c>
      <c r="BE20" s="5" t="str">
        <f>MID(Table1[[#This Row],[statusRaw]],1+HEX2DEC(LEFT(BE$1,2))*2, 8)</f>
        <v>000008C7</v>
      </c>
      <c r="BF20" s="10" t="s">
        <v>369</v>
      </c>
    </row>
    <row r="21" spans="1:58" s="6" customFormat="1" x14ac:dyDescent="0.25">
      <c r="A21" s="4" t="s">
        <v>63</v>
      </c>
      <c r="B21" s="4" t="s">
        <v>64</v>
      </c>
      <c r="C21" s="4" t="s">
        <v>7</v>
      </c>
      <c r="D21" s="4" t="s">
        <v>65</v>
      </c>
      <c r="E21" s="4">
        <v>23</v>
      </c>
      <c r="F21" s="5" t="str">
        <f>HEX2BIN(MID(Table1[[#This Row],[statusRaw]],1+HEX2DEC(LEFT(F$1,2))*2, 2),8) &amp; " 0x" &amp;MID(Table1[[#This Row],[statusRaw]],1+HEX2DEC(LEFT(F$1,2))*2, 2)</f>
        <v>01010000 0x50</v>
      </c>
      <c r="G21" s="5" t="b">
        <f>MID(Table1[[#This Row],[03 - pump status (1)]],1,1)="1"</f>
        <v>0</v>
      </c>
      <c r="H21" s="5" t="b">
        <f>MID(Table1[[#This Row],[03 - pump status (1)]],2,1)="1"</f>
        <v>1</v>
      </c>
      <c r="I21" s="5" t="b">
        <f>MID(Table1[[#This Row],[03 - pump status (1)]],3,1)="1"</f>
        <v>0</v>
      </c>
      <c r="J21" s="5" t="b">
        <f>MID(Table1[[#This Row],[03 - pump status (1)]],4,1)="1"</f>
        <v>1</v>
      </c>
      <c r="K21" s="5" t="b">
        <f>MID(Table1[[#This Row],[03 - pump status (1)]],5,1)="1"</f>
        <v>0</v>
      </c>
      <c r="L21" s="5" t="b">
        <f>MID(Table1[[#This Row],[03 - pump status (1)]],6,1)="1"</f>
        <v>0</v>
      </c>
      <c r="M21" s="5" t="b">
        <f>MID(Table1[[#This Row],[03 - pump status (1)]],7,1)="1"</f>
        <v>0</v>
      </c>
      <c r="N21" s="5" t="b">
        <f>MID(Table1[[#This Row],[03 - pump status (1)]],8,1)="1"</f>
        <v>0</v>
      </c>
      <c r="O21" s="5" t="str">
        <f>MID(Table1[[#This Row],[statusRaw]],1+HEX2DEC(LEFT(O$1,2))*2, 8)</f>
        <v>00000000</v>
      </c>
      <c r="P21" s="5" t="str">
        <f>MID(Table1[[#This Row],[statusRaw]],1+HEX2DEC(LEFT(P$1,2))*2, 8)</f>
        <v>00000000</v>
      </c>
      <c r="Q21" s="5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21" s="5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21" s="5">
        <f>HEX2DEC(MID(Table1[[#This Row],[statusRaw]],1+HEX2DEC(LEFT(S$1,2))*2, 8))/10000</f>
        <v>0.7</v>
      </c>
      <c r="T21" s="5" t="str">
        <f>MID(Table1[[#This Row],[statusRaw]],1+HEX2DEC(LEFT(T$1,2))*2, 8)</f>
        <v>278A4116</v>
      </c>
      <c r="U21" s="5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21" s="5" t="str">
        <f>HEX2BIN(MID(Table1[[#This Row],[statusRaw]],1+HEX2DEC(LEFT(V$1,2))*2, 2),8) &amp; " 0x" &amp;MID(Table1[[#This Row],[statusRaw]],1+HEX2DEC(LEFT(V$1,2))*2, 2)</f>
        <v>00000001 0x01</v>
      </c>
      <c r="W21" s="5">
        <f>HEX2DEC(MID(Table1[[#This Row],[statusRaw]],1+HEX2DEC(LEFT(W$1,2))*2, 8))/10000</f>
        <v>0.55000000000000004</v>
      </c>
      <c r="X21" s="5">
        <f>HEX2DEC(MID(Table1[[#This Row],[statusRaw]],1+HEX2DEC(LEFT(X$1,2))*2, 8))/10000</f>
        <v>0</v>
      </c>
      <c r="Y21" s="5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21" s="5">
        <f>HEX2DEC(MID(Table1[[#This Row],[statusRaw]],1+HEX2DEC(LEFT(Z$1,2))*2, 8))/10000</f>
        <v>11.95</v>
      </c>
      <c r="AA21" s="5">
        <f>HEX2DEC(MID(Table1[[#This Row],[statusRaw]],1+HEX2DEC(LEFT(AA$1,2))*2, 2))</f>
        <v>50</v>
      </c>
      <c r="AB21" s="5">
        <f>HEX2DEC(MID(Table1[[#This Row],[statusRaw]],1+HEX2DEC(LEFT(AB$1,2))*2, 8))/10000</f>
        <v>215.07499999999999</v>
      </c>
      <c r="AC21" s="5">
        <f>HEX2DEC(MID(Table1[[#This Row],[statusRaw]],1+HEX2DEC(LEFT(AC$1,2))*2, 2))</f>
        <v>25</v>
      </c>
      <c r="AD21" s="5">
        <f>HEX2DEC(MID(Table1[[#This Row],[statusRaw]],1+HEX2DEC(LEFT(AD$1,2))*2, 2))</f>
        <v>0</v>
      </c>
      <c r="AE21" s="5">
        <f>HEX2DEC(MID(Table1[[#This Row],[statusRaw]],1+HEX2DEC(LEFT(AE$1,2))*2, 8))/10000</f>
        <v>0.3</v>
      </c>
      <c r="AF21" s="5">
        <f>IF(AND(Table1[[#This Row],[cgm]],NOT(Table1[[#This Row],[35 - SGV special bit (2)]])), _xlfn.BITAND(HEX2DEC(MID(Table1[[#This Row],[statusRaw]],1+HEX2DEC(LEFT(AF$1,2))*2, 4)),HEX2DEC("1FF")),"")</f>
        <v>116</v>
      </c>
      <c r="AG21" s="5" t="b">
        <f>_xlfn.BITAND(HEX2DEC(MID(Table1[[#This Row],[statusRaw]],1+HEX2DEC(LEFT(AG$1,2))*2, 4)),512)=512</f>
        <v>0</v>
      </c>
      <c r="AH21" s="5" t="str">
        <f>MID(Table1[[#This Row],[statusRaw]],1+HEX2DEC(LEFT(AF$1,2))*2, 8)</f>
        <v>00748674</v>
      </c>
      <c r="AI21" s="5" t="str">
        <f>MID(Table1[[#This Row],[statusRaw]],1+HEX2DEC(LEFT(AH$1,2))*2, 8)</f>
        <v>86745F63</v>
      </c>
      <c r="AJ21" s="5" t="str">
        <f>HEX2BIN(MID(Table1[[#This Row],[statusRaw]],1+HEX2DEC(LEFT(AJ$1,2))*2, 2),8) &amp; " 0x" &amp;MID(Table1[[#This Row],[statusRaw]],1+HEX2DEC(LEFT(AJ$1,2))*2, 2)</f>
        <v>00000000 0x00</v>
      </c>
      <c r="AK21" s="4" t="str">
        <f>HEX2BIN(MID(Table1[[#This Row],[statusRaw]],1+HEX2DEC(LEFT(AK$1,2))*2, 2),8) &amp; " 0x" &amp;MID(Table1[[#This Row],[statusRaw]],1+HEX2DEC(LEFT(AK$1,2))*2, 2)</f>
        <v>01100000 0x60</v>
      </c>
      <c r="AL21" s="4" t="str">
        <f>VLOOKUP(Table1[[#This Row],[40 trend]],'Arrow status mapping'!$A$1:$B$8,2,FALSE)</f>
        <v>No arrows</v>
      </c>
      <c r="AM21" s="5" t="str">
        <f>HEX2BIN(MID(Table1[[#This Row],[statusRaw]],1+HEX2DEC(LEFT(AM$1,2))*2, 2),8) &amp; " 0x" &amp;MID(Table1[[#This Row],[statusRaw]],1+HEX2DEC(LEFT(AM$1,2))*2, 2)</f>
        <v>00010000 0x10</v>
      </c>
      <c r="AN21" s="5" t="str">
        <f>HEX2BIN(MID(Table1[[#This Row],[statusRaw]],1+HEX2DEC(LEFT(AN$1,2))*2, 2),8) &amp; " 0x" &amp;MID(Table1[[#This Row],[statusRaw]],1+HEX2DEC(LEFT(AN$1,2))*2, 2)</f>
        <v>00000000 0x00</v>
      </c>
      <c r="AO21" s="5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0x005A 90</v>
      </c>
      <c r="AP21" s="4" t="str">
        <f>HEX2BIN(MID(Table1[[#This Row],[statusRaw]],1+HEX2DEC(LEFT(AP$1,2))*2, 2),8) &amp; " 0x" &amp;MID(Table1[[#This Row],[statusRaw]],1+HEX2DEC(LEFT(AP$1,2))*2, 2)</f>
        <v>00101010 0x2A</v>
      </c>
      <c r="AQ21" s="4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0xFFF5 -11</v>
      </c>
      <c r="AR21" s="5">
        <f>TRUNC(_xlfn.NUMBERVALUE(RIGHT(Table1[[#This Row],[46 rate of change (2)]],LEN(Table1[[#This Row],[46 rate of change (2)]])-7))/100)</f>
        <v>0</v>
      </c>
      <c r="AS21" s="5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21" s="5" t="b">
        <f>Table1[[#This Row],[calc arrow]]=Table1[[#This Row],[trend]]</f>
        <v>1</v>
      </c>
      <c r="AU21" s="5" t="str">
        <f>HEX2BIN(MID(Table1[[#This Row],[statusRaw]],1+HEX2DEC(LEFT(AU$1,2))*2, 2),8) &amp; " 0x" &amp;MID(Table1[[#This Row],[statusRaw]],1+HEX2DEC(LEFT(AU$1,2))*2, 2)</f>
        <v>00000000 0x00</v>
      </c>
      <c r="AV21" s="5">
        <f>HEX2DEC(MID(Table1[[#This Row],[statusRaw]],1+HEX2DEC(LEFT(AV$1,2))*2, 4))</f>
        <v>159</v>
      </c>
      <c r="AW21" s="5" t="str">
        <f>HEX2BIN(MID(Table1[[#This Row],[statusRaw]],1+HEX2DEC(LEFT(AW$1,2))*2, 2),8) &amp; " 0x" &amp;MID(Table1[[#This Row],[statusRaw]],1+HEX2DEC(LEFT(AW$1,2))*2, 2)</f>
        <v>00000000 0x00</v>
      </c>
      <c r="AX21" s="5" t="str">
        <f>HEX2BIN(MID(Table1[[#This Row],[statusRaw]],1+HEX2DEC(LEFT(AX$1,2))*2, 2),8) &amp; " 0x" &amp;MID(Table1[[#This Row],[statusRaw]],1+HEX2DEC(LEFT(AX$1,2))*2, 2)</f>
        <v>00000000 0x00</v>
      </c>
      <c r="AY21" s="5" t="str">
        <f>MID(Table1[[#This Row],[statusRaw]],1+HEX2DEC(LEFT(AY$1,2))*2, 8)</f>
        <v>00000000</v>
      </c>
      <c r="AZ21" s="5" t="str">
        <f>MID(Table1[[#This Row],[statusRaw]],1+HEX2DEC(LEFT(AZ$1,2))*2, 8)</f>
        <v>00000000</v>
      </c>
      <c r="BA21" s="5" t="str">
        <f>HEX2BIN(MID(Table1[[#This Row],[statusRaw]],1+HEX2DEC(LEFT(BA$1,2))*2, 2),8) &amp; " 0x" &amp;MID(Table1[[#This Row],[statusRaw]],1+HEX2DEC(LEFT(BA$1,2))*2, 2)</f>
        <v>00000000 0x00</v>
      </c>
      <c r="BB21" s="5" t="str">
        <f>HEX2BIN(MID(Table1[[#This Row],[statusRaw]],1+HEX2DEC(LEFT(BB$1,2))*2, 2),8) &amp; " 0x" &amp;MID(Table1[[#This Row],[statusRaw]],1+HEX2DEC(LEFT(BB$1,2))*2, 2)</f>
        <v>00000000 0x00</v>
      </c>
      <c r="BC21" s="5" t="str">
        <f>HEX2BIN(MID(Table1[[#This Row],[statusRaw]],1+HEX2DEC(LEFT(BC$1,2))*2, 2),8) &amp; " 0x" &amp;MID(Table1[[#This Row],[statusRaw]],1+HEX2DEC(LEFT(BC$1,2))*2, 2)</f>
        <v>00000000 0x00</v>
      </c>
      <c r="BD21" s="5" t="str">
        <f>MID(Table1[[#This Row],[statusRaw]],1+HEX2DEC(LEFT(BD$1,2))*2, 8)</f>
        <v>000008C7</v>
      </c>
      <c r="BE21" s="5" t="str">
        <f>MID(Table1[[#This Row],[statusRaw]],1+HEX2DEC(LEFT(BE$1,2))*2, 8)</f>
        <v>000008C7</v>
      </c>
      <c r="BF21" s="10"/>
    </row>
    <row r="22" spans="1:58" x14ac:dyDescent="0.25">
      <c r="A22" s="1" t="s">
        <v>66</v>
      </c>
      <c r="B22" s="1" t="s">
        <v>67</v>
      </c>
      <c r="C22" s="1" t="s">
        <v>7</v>
      </c>
      <c r="D22" s="1" t="s">
        <v>68</v>
      </c>
      <c r="E22" s="1">
        <v>23</v>
      </c>
      <c r="F22" s="3" t="str">
        <f>HEX2BIN(MID(Table1[[#This Row],[statusRaw]],1+HEX2DEC(LEFT(F$1,2))*2, 2),8) &amp; " 0x" &amp;MID(Table1[[#This Row],[statusRaw]],1+HEX2DEC(LEFT(F$1,2))*2, 2)</f>
        <v>01010000 0x50</v>
      </c>
      <c r="G22" s="3" t="b">
        <f>MID(Table1[[#This Row],[03 - pump status (1)]],1,1)="1"</f>
        <v>0</v>
      </c>
      <c r="H22" s="3" t="b">
        <f>MID(Table1[[#This Row],[03 - pump status (1)]],2,1)="1"</f>
        <v>1</v>
      </c>
      <c r="I22" s="3" t="b">
        <f>MID(Table1[[#This Row],[03 - pump status (1)]],3,1)="1"</f>
        <v>0</v>
      </c>
      <c r="J22" s="3" t="b">
        <f>MID(Table1[[#This Row],[03 - pump status (1)]],4,1)="1"</f>
        <v>1</v>
      </c>
      <c r="K22" s="3" t="b">
        <f>MID(Table1[[#This Row],[03 - pump status (1)]],5,1)="1"</f>
        <v>0</v>
      </c>
      <c r="L22" s="3" t="b">
        <f>MID(Table1[[#This Row],[03 - pump status (1)]],6,1)="1"</f>
        <v>0</v>
      </c>
      <c r="M22" s="3" t="b">
        <f>MID(Table1[[#This Row],[03 - pump status (1)]],7,1)="1"</f>
        <v>0</v>
      </c>
      <c r="N22" s="3" t="b">
        <f>MID(Table1[[#This Row],[03 - pump status (1)]],8,1)="1"</f>
        <v>0</v>
      </c>
      <c r="O22" s="3" t="str">
        <f>MID(Table1[[#This Row],[statusRaw]],1+HEX2DEC(LEFT(O$1,2))*2, 8)</f>
        <v>00000000</v>
      </c>
      <c r="P22" s="3" t="str">
        <f>MID(Table1[[#This Row],[statusRaw]],1+HEX2DEC(LEFT(P$1,2))*2, 8)</f>
        <v>00000000</v>
      </c>
      <c r="Q22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22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22" s="3">
        <f>HEX2DEC(MID(Table1[[#This Row],[statusRaw]],1+HEX2DEC(LEFT(S$1,2))*2, 8))/10000</f>
        <v>0.7</v>
      </c>
      <c r="T22" s="3" t="str">
        <f>MID(Table1[[#This Row],[statusRaw]],1+HEX2DEC(LEFT(T$1,2))*2, 8)</f>
        <v>278A4116</v>
      </c>
      <c r="U22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22" s="3" t="str">
        <f>HEX2BIN(MID(Table1[[#This Row],[statusRaw]],1+HEX2DEC(LEFT(V$1,2))*2, 2),8) &amp; " 0x" &amp;MID(Table1[[#This Row],[statusRaw]],1+HEX2DEC(LEFT(V$1,2))*2, 2)</f>
        <v>00000001 0x01</v>
      </c>
      <c r="W22" s="3">
        <f>HEX2DEC(MID(Table1[[#This Row],[statusRaw]],1+HEX2DEC(LEFT(W$1,2))*2, 8))/10000</f>
        <v>0.55000000000000004</v>
      </c>
      <c r="X22" s="3">
        <f>HEX2DEC(MID(Table1[[#This Row],[statusRaw]],1+HEX2DEC(LEFT(X$1,2))*2, 8))/10000</f>
        <v>0</v>
      </c>
      <c r="Y22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22" s="3">
        <f>HEX2DEC(MID(Table1[[#This Row],[statusRaw]],1+HEX2DEC(LEFT(Z$1,2))*2, 8))/10000</f>
        <v>11.9</v>
      </c>
      <c r="AA22" s="3">
        <f>HEX2DEC(MID(Table1[[#This Row],[statusRaw]],1+HEX2DEC(LEFT(AA$1,2))*2, 2))</f>
        <v>50</v>
      </c>
      <c r="AB22" s="3">
        <f>HEX2DEC(MID(Table1[[#This Row],[statusRaw]],1+HEX2DEC(LEFT(AB$1,2))*2, 8))/10000</f>
        <v>215.125</v>
      </c>
      <c r="AC22" s="3">
        <f>HEX2DEC(MID(Table1[[#This Row],[statusRaw]],1+HEX2DEC(LEFT(AC$1,2))*2, 2))</f>
        <v>25</v>
      </c>
      <c r="AD22" s="3">
        <f>HEX2DEC(MID(Table1[[#This Row],[statusRaw]],1+HEX2DEC(LEFT(AD$1,2))*2, 2))</f>
        <v>0</v>
      </c>
      <c r="AE22" s="3">
        <f>HEX2DEC(MID(Table1[[#This Row],[statusRaw]],1+HEX2DEC(LEFT(AE$1,2))*2, 8))/10000</f>
        <v>0.4</v>
      </c>
      <c r="AF22" s="3">
        <f>IF(AND(Table1[[#This Row],[cgm]],NOT(Table1[[#This Row],[35 - SGV special bit (2)]])), _xlfn.BITAND(HEX2DEC(MID(Table1[[#This Row],[statusRaw]],1+HEX2DEC(LEFT(AF$1,2))*2, 4)),HEX2DEC("1FF")),"")</f>
        <v>116</v>
      </c>
      <c r="AG22" s="3" t="b">
        <f>_xlfn.BITAND(HEX2DEC(MID(Table1[[#This Row],[statusRaw]],1+HEX2DEC(LEFT(AG$1,2))*2, 4)),512)=512</f>
        <v>0</v>
      </c>
      <c r="AH22" s="3" t="str">
        <f>MID(Table1[[#This Row],[statusRaw]],1+HEX2DEC(LEFT(AF$1,2))*2, 8)</f>
        <v>00748674</v>
      </c>
      <c r="AI22" s="3" t="str">
        <f>MID(Table1[[#This Row],[statusRaw]],1+HEX2DEC(LEFT(AH$1,2))*2, 8)</f>
        <v>86745F63</v>
      </c>
      <c r="AJ22" s="3" t="str">
        <f>HEX2BIN(MID(Table1[[#This Row],[statusRaw]],1+HEX2DEC(LEFT(AJ$1,2))*2, 2),8) &amp; " 0x" &amp;MID(Table1[[#This Row],[statusRaw]],1+HEX2DEC(LEFT(AJ$1,2))*2, 2)</f>
        <v>00000000 0x00</v>
      </c>
      <c r="AK22" s="1" t="str">
        <f>HEX2BIN(MID(Table1[[#This Row],[statusRaw]],1+HEX2DEC(LEFT(AK$1,2))*2, 2),8) &amp; " 0x" &amp;MID(Table1[[#This Row],[statusRaw]],1+HEX2DEC(LEFT(AK$1,2))*2, 2)</f>
        <v>01100000 0x60</v>
      </c>
      <c r="AL22" s="1" t="str">
        <f>VLOOKUP(Table1[[#This Row],[40 trend]],'Arrow status mapping'!$A$1:$B$8,2,FALSE)</f>
        <v>No arrows</v>
      </c>
      <c r="AM22" s="3" t="str">
        <f>HEX2BIN(MID(Table1[[#This Row],[statusRaw]],1+HEX2DEC(LEFT(AM$1,2))*2, 2),8) &amp; " 0x" &amp;MID(Table1[[#This Row],[statusRaw]],1+HEX2DEC(LEFT(AM$1,2))*2, 2)</f>
        <v>00010000 0x10</v>
      </c>
      <c r="AN22" s="3" t="str">
        <f>HEX2BIN(MID(Table1[[#This Row],[statusRaw]],1+HEX2DEC(LEFT(AN$1,2))*2, 2),8) &amp; " 0x" &amp;MID(Table1[[#This Row],[statusRaw]],1+HEX2DEC(LEFT(AN$1,2))*2, 2)</f>
        <v>00000000 0x00</v>
      </c>
      <c r="AO22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0x005A 90</v>
      </c>
      <c r="AP22" s="1" t="str">
        <f>HEX2BIN(MID(Table1[[#This Row],[statusRaw]],1+HEX2DEC(LEFT(AP$1,2))*2, 2),8) &amp; " 0x" &amp;MID(Table1[[#This Row],[statusRaw]],1+HEX2DEC(LEFT(AP$1,2))*2, 2)</f>
        <v>00101010 0x2A</v>
      </c>
      <c r="AQ22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0xFFF5 -11</v>
      </c>
      <c r="AR22" s="3">
        <f>TRUNC(_xlfn.NUMBERVALUE(RIGHT(Table1[[#This Row],[46 rate of change (2)]],LEN(Table1[[#This Row],[46 rate of change (2)]])-7))/100)</f>
        <v>0</v>
      </c>
      <c r="AS22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22" s="3" t="b">
        <f>Table1[[#This Row],[calc arrow]]=Table1[[#This Row],[trend]]</f>
        <v>1</v>
      </c>
      <c r="AU22" s="3" t="str">
        <f>HEX2BIN(MID(Table1[[#This Row],[statusRaw]],1+HEX2DEC(LEFT(AU$1,2))*2, 2),8) &amp; " 0x" &amp;MID(Table1[[#This Row],[statusRaw]],1+HEX2DEC(LEFT(AU$1,2))*2, 2)</f>
        <v>00000000 0x00</v>
      </c>
      <c r="AV22" s="3">
        <f>HEX2DEC(MID(Table1[[#This Row],[statusRaw]],1+HEX2DEC(LEFT(AV$1,2))*2, 4))</f>
        <v>0</v>
      </c>
      <c r="AW22" s="3" t="str">
        <f>HEX2BIN(MID(Table1[[#This Row],[statusRaw]],1+HEX2DEC(LEFT(AW$1,2))*2, 2),8) &amp; " 0x" &amp;MID(Table1[[#This Row],[statusRaw]],1+HEX2DEC(LEFT(AW$1,2))*2, 2)</f>
        <v>00000000 0x00</v>
      </c>
      <c r="AX22" s="3" t="str">
        <f>HEX2BIN(MID(Table1[[#This Row],[statusRaw]],1+HEX2DEC(LEFT(AX$1,2))*2, 2),8) &amp; " 0x" &amp;MID(Table1[[#This Row],[statusRaw]],1+HEX2DEC(LEFT(AX$1,2))*2, 2)</f>
        <v>00000000 0x00</v>
      </c>
      <c r="AY22" s="3" t="str">
        <f>MID(Table1[[#This Row],[statusRaw]],1+HEX2DEC(LEFT(AY$1,2))*2, 8)</f>
        <v>00000000</v>
      </c>
      <c r="AZ22" s="3" t="str">
        <f>MID(Table1[[#This Row],[statusRaw]],1+HEX2DEC(LEFT(AZ$1,2))*2, 8)</f>
        <v>00000000</v>
      </c>
      <c r="BA22" s="3" t="str">
        <f>HEX2BIN(MID(Table1[[#This Row],[statusRaw]],1+HEX2DEC(LEFT(BA$1,2))*2, 2),8) &amp; " 0x" &amp;MID(Table1[[#This Row],[statusRaw]],1+HEX2DEC(LEFT(BA$1,2))*2, 2)</f>
        <v>00000000 0x00</v>
      </c>
      <c r="BB22" s="3" t="str">
        <f>HEX2BIN(MID(Table1[[#This Row],[statusRaw]],1+HEX2DEC(LEFT(BB$1,2))*2, 2),8) &amp; " 0x" &amp;MID(Table1[[#This Row],[statusRaw]],1+HEX2DEC(LEFT(BB$1,2))*2, 2)</f>
        <v>00000000 0x00</v>
      </c>
      <c r="BC22" s="3" t="str">
        <f>HEX2BIN(MID(Table1[[#This Row],[statusRaw]],1+HEX2DEC(LEFT(BC$1,2))*2, 2),8) &amp; " 0x" &amp;MID(Table1[[#This Row],[statusRaw]],1+HEX2DEC(LEFT(BC$1,2))*2, 2)</f>
        <v>00000000 0x00</v>
      </c>
      <c r="BD22" s="3" t="str">
        <f>MID(Table1[[#This Row],[statusRaw]],1+HEX2DEC(LEFT(BD$1,2))*2, 8)</f>
        <v>000008C7</v>
      </c>
      <c r="BE22" s="3" t="str">
        <f>MID(Table1[[#This Row],[statusRaw]],1+HEX2DEC(LEFT(BE$1,2))*2, 8)</f>
        <v>000008C7</v>
      </c>
      <c r="BF22" s="9"/>
    </row>
    <row r="23" spans="1:58" x14ac:dyDescent="0.25">
      <c r="A23" s="1" t="s">
        <v>69</v>
      </c>
      <c r="B23" s="1" t="s">
        <v>70</v>
      </c>
      <c r="C23" s="1" t="s">
        <v>7</v>
      </c>
      <c r="D23" s="1" t="s">
        <v>71</v>
      </c>
      <c r="E23" s="1">
        <v>23</v>
      </c>
      <c r="F23" s="3" t="str">
        <f>HEX2BIN(MID(Table1[[#This Row],[statusRaw]],1+HEX2DEC(LEFT(F$1,2))*2, 2),8) &amp; " 0x" &amp;MID(Table1[[#This Row],[statusRaw]],1+HEX2DEC(LEFT(F$1,2))*2, 2)</f>
        <v>01010000 0x50</v>
      </c>
      <c r="G23" s="3" t="b">
        <f>MID(Table1[[#This Row],[03 - pump status (1)]],1,1)="1"</f>
        <v>0</v>
      </c>
      <c r="H23" s="3" t="b">
        <f>MID(Table1[[#This Row],[03 - pump status (1)]],2,1)="1"</f>
        <v>1</v>
      </c>
      <c r="I23" s="3" t="b">
        <f>MID(Table1[[#This Row],[03 - pump status (1)]],3,1)="1"</f>
        <v>0</v>
      </c>
      <c r="J23" s="3" t="b">
        <f>MID(Table1[[#This Row],[03 - pump status (1)]],4,1)="1"</f>
        <v>1</v>
      </c>
      <c r="K23" s="3" t="b">
        <f>MID(Table1[[#This Row],[03 - pump status (1)]],5,1)="1"</f>
        <v>0</v>
      </c>
      <c r="L23" s="3" t="b">
        <f>MID(Table1[[#This Row],[03 - pump status (1)]],6,1)="1"</f>
        <v>0</v>
      </c>
      <c r="M23" s="3" t="b">
        <f>MID(Table1[[#This Row],[03 - pump status (1)]],7,1)="1"</f>
        <v>0</v>
      </c>
      <c r="N23" s="3" t="b">
        <f>MID(Table1[[#This Row],[03 - pump status (1)]],8,1)="1"</f>
        <v>0</v>
      </c>
      <c r="O23" s="3" t="str">
        <f>MID(Table1[[#This Row],[statusRaw]],1+HEX2DEC(LEFT(O$1,2))*2, 8)</f>
        <v>00000000</v>
      </c>
      <c r="P23" s="3" t="str">
        <f>MID(Table1[[#This Row],[statusRaw]],1+HEX2DEC(LEFT(P$1,2))*2, 8)</f>
        <v>00000000</v>
      </c>
      <c r="Q23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23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23" s="3">
        <f>HEX2DEC(MID(Table1[[#This Row],[statusRaw]],1+HEX2DEC(LEFT(S$1,2))*2, 8))/10000</f>
        <v>0.7</v>
      </c>
      <c r="T23" s="3" t="str">
        <f>MID(Table1[[#This Row],[statusRaw]],1+HEX2DEC(LEFT(T$1,2))*2, 8)</f>
        <v>278A4116</v>
      </c>
      <c r="U23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23" s="3" t="str">
        <f>HEX2BIN(MID(Table1[[#This Row],[statusRaw]],1+HEX2DEC(LEFT(V$1,2))*2, 2),8) &amp; " 0x" &amp;MID(Table1[[#This Row],[statusRaw]],1+HEX2DEC(LEFT(V$1,2))*2, 2)</f>
        <v>00000001 0x01</v>
      </c>
      <c r="W23" s="3">
        <f>HEX2DEC(MID(Table1[[#This Row],[statusRaw]],1+HEX2DEC(LEFT(W$1,2))*2, 8))/10000</f>
        <v>0.55000000000000004</v>
      </c>
      <c r="X23" s="3">
        <f>HEX2DEC(MID(Table1[[#This Row],[statusRaw]],1+HEX2DEC(LEFT(X$1,2))*2, 8))/10000</f>
        <v>0</v>
      </c>
      <c r="Y23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23" s="3">
        <f>HEX2DEC(MID(Table1[[#This Row],[statusRaw]],1+HEX2DEC(LEFT(Z$1,2))*2, 8))/10000</f>
        <v>11.875</v>
      </c>
      <c r="AA23" s="3">
        <f>HEX2DEC(MID(Table1[[#This Row],[statusRaw]],1+HEX2DEC(LEFT(AA$1,2))*2, 2))</f>
        <v>50</v>
      </c>
      <c r="AB23" s="3">
        <f>HEX2DEC(MID(Table1[[#This Row],[statusRaw]],1+HEX2DEC(LEFT(AB$1,2))*2, 8))/10000</f>
        <v>215.15</v>
      </c>
      <c r="AC23" s="3">
        <f>HEX2DEC(MID(Table1[[#This Row],[statusRaw]],1+HEX2DEC(LEFT(AC$1,2))*2, 2))</f>
        <v>25</v>
      </c>
      <c r="AD23" s="3">
        <f>HEX2DEC(MID(Table1[[#This Row],[statusRaw]],1+HEX2DEC(LEFT(AD$1,2))*2, 2))</f>
        <v>0</v>
      </c>
      <c r="AE23" s="3">
        <f>HEX2DEC(MID(Table1[[#This Row],[statusRaw]],1+HEX2DEC(LEFT(AE$1,2))*2, 8))/10000</f>
        <v>0.4</v>
      </c>
      <c r="AF23" s="3">
        <f>IF(AND(Table1[[#This Row],[cgm]],NOT(Table1[[#This Row],[35 - SGV special bit (2)]])), _xlfn.BITAND(HEX2DEC(MID(Table1[[#This Row],[statusRaw]],1+HEX2DEC(LEFT(AF$1,2))*2, 4)),HEX2DEC("1FF")),"")</f>
        <v>122</v>
      </c>
      <c r="AG23" s="3" t="b">
        <f>_xlfn.BITAND(HEX2DEC(MID(Table1[[#This Row],[statusRaw]],1+HEX2DEC(LEFT(AG$1,2))*2, 4)),512)=512</f>
        <v>0</v>
      </c>
      <c r="AH23" s="3" t="str">
        <f>MID(Table1[[#This Row],[statusRaw]],1+HEX2DEC(LEFT(AF$1,2))*2, 8)</f>
        <v>007A8674</v>
      </c>
      <c r="AI23" s="3" t="str">
        <f>MID(Table1[[#This Row],[statusRaw]],1+HEX2DEC(LEFT(AH$1,2))*2, 8)</f>
        <v>86745D0B</v>
      </c>
      <c r="AJ23" s="3" t="str">
        <f>HEX2BIN(MID(Table1[[#This Row],[statusRaw]],1+HEX2DEC(LEFT(AJ$1,2))*2, 2),8) &amp; " 0x" &amp;MID(Table1[[#This Row],[statusRaw]],1+HEX2DEC(LEFT(AJ$1,2))*2, 2)</f>
        <v>00000000 0x00</v>
      </c>
      <c r="AK23" s="1" t="str">
        <f>HEX2BIN(MID(Table1[[#This Row],[statusRaw]],1+HEX2DEC(LEFT(AK$1,2))*2, 2),8) &amp; " 0x" &amp;MID(Table1[[#This Row],[statusRaw]],1+HEX2DEC(LEFT(AK$1,2))*2, 2)</f>
        <v>01100000 0x60</v>
      </c>
      <c r="AL23" s="1" t="str">
        <f>VLOOKUP(Table1[[#This Row],[40 trend]],'Arrow status mapping'!$A$1:$B$8,2,FALSE)</f>
        <v>No arrows</v>
      </c>
      <c r="AM23" s="3" t="str">
        <f>HEX2BIN(MID(Table1[[#This Row],[statusRaw]],1+HEX2DEC(LEFT(AM$1,2))*2, 2),8) &amp; " 0x" &amp;MID(Table1[[#This Row],[statusRaw]],1+HEX2DEC(LEFT(AM$1,2))*2, 2)</f>
        <v>00010000 0x10</v>
      </c>
      <c r="AN23" s="3" t="str">
        <f>HEX2BIN(MID(Table1[[#This Row],[statusRaw]],1+HEX2DEC(LEFT(AN$1,2))*2, 2),8) &amp; " 0x" &amp;MID(Table1[[#This Row],[statusRaw]],1+HEX2DEC(LEFT(AN$1,2))*2, 2)</f>
        <v>00000000 0x00</v>
      </c>
      <c r="AO23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0x0064 100</v>
      </c>
      <c r="AP23" s="1" t="str">
        <f>HEX2BIN(MID(Table1[[#This Row],[statusRaw]],1+HEX2DEC(LEFT(AP$1,2))*2, 2),8) &amp; " 0x" &amp;MID(Table1[[#This Row],[statusRaw]],1+HEX2DEC(LEFT(AP$1,2))*2, 2)</f>
        <v>00101010 0x2A</v>
      </c>
      <c r="AQ23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0xFFD2 -46</v>
      </c>
      <c r="AR23" s="3">
        <f>TRUNC(_xlfn.NUMBERVALUE(RIGHT(Table1[[#This Row],[46 rate of change (2)]],LEN(Table1[[#This Row],[46 rate of change (2)]])-7))/100)</f>
        <v>0</v>
      </c>
      <c r="AS23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23" s="3" t="b">
        <f>Table1[[#This Row],[calc arrow]]=Table1[[#This Row],[trend]]</f>
        <v>1</v>
      </c>
      <c r="AU23" s="3" t="str">
        <f>HEX2BIN(MID(Table1[[#This Row],[statusRaw]],1+HEX2DEC(LEFT(AU$1,2))*2, 2),8) &amp; " 0x" &amp;MID(Table1[[#This Row],[statusRaw]],1+HEX2DEC(LEFT(AU$1,2))*2, 2)</f>
        <v>00000000 0x00</v>
      </c>
      <c r="AV23" s="3">
        <f>HEX2DEC(MID(Table1[[#This Row],[statusRaw]],1+HEX2DEC(LEFT(AV$1,2))*2, 4))</f>
        <v>0</v>
      </c>
      <c r="AW23" s="3" t="str">
        <f>HEX2BIN(MID(Table1[[#This Row],[statusRaw]],1+HEX2DEC(LEFT(AW$1,2))*2, 2),8) &amp; " 0x" &amp;MID(Table1[[#This Row],[statusRaw]],1+HEX2DEC(LEFT(AW$1,2))*2, 2)</f>
        <v>00000000 0x00</v>
      </c>
      <c r="AX23" s="3" t="str">
        <f>HEX2BIN(MID(Table1[[#This Row],[statusRaw]],1+HEX2DEC(LEFT(AX$1,2))*2, 2),8) &amp; " 0x" &amp;MID(Table1[[#This Row],[statusRaw]],1+HEX2DEC(LEFT(AX$1,2))*2, 2)</f>
        <v>00000000 0x00</v>
      </c>
      <c r="AY23" s="3" t="str">
        <f>MID(Table1[[#This Row],[statusRaw]],1+HEX2DEC(LEFT(AY$1,2))*2, 8)</f>
        <v>00000000</v>
      </c>
      <c r="AZ23" s="3" t="str">
        <f>MID(Table1[[#This Row],[statusRaw]],1+HEX2DEC(LEFT(AZ$1,2))*2, 8)</f>
        <v>00000000</v>
      </c>
      <c r="BA23" s="3" t="str">
        <f>HEX2BIN(MID(Table1[[#This Row],[statusRaw]],1+HEX2DEC(LEFT(BA$1,2))*2, 2),8) &amp; " 0x" &amp;MID(Table1[[#This Row],[statusRaw]],1+HEX2DEC(LEFT(BA$1,2))*2, 2)</f>
        <v>00000000 0x00</v>
      </c>
      <c r="BB23" s="3" t="str">
        <f>HEX2BIN(MID(Table1[[#This Row],[statusRaw]],1+HEX2DEC(LEFT(BB$1,2))*2, 2),8) &amp; " 0x" &amp;MID(Table1[[#This Row],[statusRaw]],1+HEX2DEC(LEFT(BB$1,2))*2, 2)</f>
        <v>00000000 0x00</v>
      </c>
      <c r="BC23" s="3" t="str">
        <f>HEX2BIN(MID(Table1[[#This Row],[statusRaw]],1+HEX2DEC(LEFT(BC$1,2))*2, 2),8) &amp; " 0x" &amp;MID(Table1[[#This Row],[statusRaw]],1+HEX2DEC(LEFT(BC$1,2))*2, 2)</f>
        <v>00000000 0x00</v>
      </c>
      <c r="BD23" s="3" t="str">
        <f>MID(Table1[[#This Row],[statusRaw]],1+HEX2DEC(LEFT(BD$1,2))*2, 8)</f>
        <v>000008C7</v>
      </c>
      <c r="BE23" s="3" t="str">
        <f>MID(Table1[[#This Row],[statusRaw]],1+HEX2DEC(LEFT(BE$1,2))*2, 8)</f>
        <v>000008C7</v>
      </c>
      <c r="BF23" s="9"/>
    </row>
    <row r="24" spans="1:58" x14ac:dyDescent="0.25">
      <c r="A24" s="1" t="s">
        <v>72</v>
      </c>
      <c r="B24" s="1" t="s">
        <v>73</v>
      </c>
      <c r="C24" s="1" t="s">
        <v>7</v>
      </c>
      <c r="D24" s="1" t="s">
        <v>74</v>
      </c>
      <c r="E24" s="1">
        <v>23</v>
      </c>
      <c r="F24" s="3" t="str">
        <f>HEX2BIN(MID(Table1[[#This Row],[statusRaw]],1+HEX2DEC(LEFT(F$1,2))*2, 2),8) &amp; " 0x" &amp;MID(Table1[[#This Row],[statusRaw]],1+HEX2DEC(LEFT(F$1,2))*2, 2)</f>
        <v>01010000 0x50</v>
      </c>
      <c r="G24" s="3" t="b">
        <f>MID(Table1[[#This Row],[03 - pump status (1)]],1,1)="1"</f>
        <v>0</v>
      </c>
      <c r="H24" s="3" t="b">
        <f>MID(Table1[[#This Row],[03 - pump status (1)]],2,1)="1"</f>
        <v>1</v>
      </c>
      <c r="I24" s="3" t="b">
        <f>MID(Table1[[#This Row],[03 - pump status (1)]],3,1)="1"</f>
        <v>0</v>
      </c>
      <c r="J24" s="3" t="b">
        <f>MID(Table1[[#This Row],[03 - pump status (1)]],4,1)="1"</f>
        <v>1</v>
      </c>
      <c r="K24" s="3" t="b">
        <f>MID(Table1[[#This Row],[03 - pump status (1)]],5,1)="1"</f>
        <v>0</v>
      </c>
      <c r="L24" s="3" t="b">
        <f>MID(Table1[[#This Row],[03 - pump status (1)]],6,1)="1"</f>
        <v>0</v>
      </c>
      <c r="M24" s="3" t="b">
        <f>MID(Table1[[#This Row],[03 - pump status (1)]],7,1)="1"</f>
        <v>0</v>
      </c>
      <c r="N24" s="3" t="b">
        <f>MID(Table1[[#This Row],[03 - pump status (1)]],8,1)="1"</f>
        <v>0</v>
      </c>
      <c r="O24" s="3" t="str">
        <f>MID(Table1[[#This Row],[statusRaw]],1+HEX2DEC(LEFT(O$1,2))*2, 8)</f>
        <v>00000000</v>
      </c>
      <c r="P24" s="3" t="str">
        <f>MID(Table1[[#This Row],[statusRaw]],1+HEX2DEC(LEFT(P$1,2))*2, 8)</f>
        <v>00000000</v>
      </c>
      <c r="Q24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24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24" s="3">
        <f>HEX2DEC(MID(Table1[[#This Row],[statusRaw]],1+HEX2DEC(LEFT(S$1,2))*2, 8))/10000</f>
        <v>0.7</v>
      </c>
      <c r="T24" s="3" t="str">
        <f>MID(Table1[[#This Row],[statusRaw]],1+HEX2DEC(LEFT(T$1,2))*2, 8)</f>
        <v>278A4116</v>
      </c>
      <c r="U24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24" s="3" t="str">
        <f>HEX2BIN(MID(Table1[[#This Row],[statusRaw]],1+HEX2DEC(LEFT(V$1,2))*2, 2),8) &amp; " 0x" &amp;MID(Table1[[#This Row],[statusRaw]],1+HEX2DEC(LEFT(V$1,2))*2, 2)</f>
        <v>00000001 0x01</v>
      </c>
      <c r="W24" s="3">
        <f>HEX2DEC(MID(Table1[[#This Row],[statusRaw]],1+HEX2DEC(LEFT(W$1,2))*2, 8))/10000</f>
        <v>0.55000000000000004</v>
      </c>
      <c r="X24" s="3">
        <f>HEX2DEC(MID(Table1[[#This Row],[statusRaw]],1+HEX2DEC(LEFT(X$1,2))*2, 8))/10000</f>
        <v>0</v>
      </c>
      <c r="Y24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24" s="3">
        <f>HEX2DEC(MID(Table1[[#This Row],[statusRaw]],1+HEX2DEC(LEFT(Z$1,2))*2, 8))/10000</f>
        <v>11.824999999999999</v>
      </c>
      <c r="AA24" s="3">
        <f>HEX2DEC(MID(Table1[[#This Row],[statusRaw]],1+HEX2DEC(LEFT(AA$1,2))*2, 2))</f>
        <v>50</v>
      </c>
      <c r="AB24" s="3">
        <f>HEX2DEC(MID(Table1[[#This Row],[statusRaw]],1+HEX2DEC(LEFT(AB$1,2))*2, 8))/10000</f>
        <v>215.2</v>
      </c>
      <c r="AC24" s="3">
        <f>HEX2DEC(MID(Table1[[#This Row],[statusRaw]],1+HEX2DEC(LEFT(AC$1,2))*2, 2))</f>
        <v>25</v>
      </c>
      <c r="AD24" s="3">
        <f>HEX2DEC(MID(Table1[[#This Row],[statusRaw]],1+HEX2DEC(LEFT(AD$1,2))*2, 2))</f>
        <v>0</v>
      </c>
      <c r="AE24" s="3">
        <f>HEX2DEC(MID(Table1[[#This Row],[statusRaw]],1+HEX2DEC(LEFT(AE$1,2))*2, 8))/10000</f>
        <v>0.4</v>
      </c>
      <c r="AF24" s="3">
        <f>IF(AND(Table1[[#This Row],[cgm]],NOT(Table1[[#This Row],[35 - SGV special bit (2)]])), _xlfn.BITAND(HEX2DEC(MID(Table1[[#This Row],[statusRaw]],1+HEX2DEC(LEFT(AF$1,2))*2, 4)),HEX2DEC("1FF")),"")</f>
        <v>123</v>
      </c>
      <c r="AG24" s="3" t="b">
        <f>_xlfn.BITAND(HEX2DEC(MID(Table1[[#This Row],[statusRaw]],1+HEX2DEC(LEFT(AG$1,2))*2, 4)),512)=512</f>
        <v>0</v>
      </c>
      <c r="AH24" s="3" t="str">
        <f>MID(Table1[[#This Row],[statusRaw]],1+HEX2DEC(LEFT(AF$1,2))*2, 8)</f>
        <v>007B8674</v>
      </c>
      <c r="AI24" s="3" t="str">
        <f>MID(Table1[[#This Row],[statusRaw]],1+HEX2DEC(LEFT(AH$1,2))*2, 8)</f>
        <v>86745BDF</v>
      </c>
      <c r="AJ24" s="3" t="str">
        <f>HEX2BIN(MID(Table1[[#This Row],[statusRaw]],1+HEX2DEC(LEFT(AJ$1,2))*2, 2),8) &amp; " 0x" &amp;MID(Table1[[#This Row],[statusRaw]],1+HEX2DEC(LEFT(AJ$1,2))*2, 2)</f>
        <v>00000000 0x00</v>
      </c>
      <c r="AK24" s="1" t="str">
        <f>HEX2BIN(MID(Table1[[#This Row],[statusRaw]],1+HEX2DEC(LEFT(AK$1,2))*2, 2),8) &amp; " 0x" &amp;MID(Table1[[#This Row],[statusRaw]],1+HEX2DEC(LEFT(AK$1,2))*2, 2)</f>
        <v>01100000 0x60</v>
      </c>
      <c r="AL24" s="1" t="str">
        <f>VLOOKUP(Table1[[#This Row],[40 trend]],'Arrow status mapping'!$A$1:$B$8,2,FALSE)</f>
        <v>No arrows</v>
      </c>
      <c r="AM24" s="3" t="str">
        <f>HEX2BIN(MID(Table1[[#This Row],[statusRaw]],1+HEX2DEC(LEFT(AM$1,2))*2, 2),8) &amp; " 0x" &amp;MID(Table1[[#This Row],[statusRaw]],1+HEX2DEC(LEFT(AM$1,2))*2, 2)</f>
        <v>00010000 0x10</v>
      </c>
      <c r="AN24" s="3" t="str">
        <f>HEX2BIN(MID(Table1[[#This Row],[statusRaw]],1+HEX2DEC(LEFT(AN$1,2))*2, 2),8) &amp; " 0x" &amp;MID(Table1[[#This Row],[statusRaw]],1+HEX2DEC(LEFT(AN$1,2))*2, 2)</f>
        <v>00000000 0x00</v>
      </c>
      <c r="AO24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0x0069 105</v>
      </c>
      <c r="AP24" s="1" t="str">
        <f>HEX2BIN(MID(Table1[[#This Row],[statusRaw]],1+HEX2DEC(LEFT(AP$1,2))*2, 2),8) &amp; " 0x" &amp;MID(Table1[[#This Row],[statusRaw]],1+HEX2DEC(LEFT(AP$1,2))*2, 2)</f>
        <v>00101010 0x2A</v>
      </c>
      <c r="AQ24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0xFFD2 -46</v>
      </c>
      <c r="AR24" s="3">
        <f>TRUNC(_xlfn.NUMBERVALUE(RIGHT(Table1[[#This Row],[46 rate of change (2)]],LEN(Table1[[#This Row],[46 rate of change (2)]])-7))/100)</f>
        <v>0</v>
      </c>
      <c r="AS24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24" s="3" t="b">
        <f>Table1[[#This Row],[calc arrow]]=Table1[[#This Row],[trend]]</f>
        <v>1</v>
      </c>
      <c r="AU24" s="3" t="str">
        <f>HEX2BIN(MID(Table1[[#This Row],[statusRaw]],1+HEX2DEC(LEFT(AU$1,2))*2, 2),8) &amp; " 0x" &amp;MID(Table1[[#This Row],[statusRaw]],1+HEX2DEC(LEFT(AU$1,2))*2, 2)</f>
        <v>00000000 0x00</v>
      </c>
      <c r="AV24" s="3">
        <f>HEX2DEC(MID(Table1[[#This Row],[statusRaw]],1+HEX2DEC(LEFT(AV$1,2))*2, 4))</f>
        <v>0</v>
      </c>
      <c r="AW24" s="3" t="str">
        <f>HEX2BIN(MID(Table1[[#This Row],[statusRaw]],1+HEX2DEC(LEFT(AW$1,2))*2, 2),8) &amp; " 0x" &amp;MID(Table1[[#This Row],[statusRaw]],1+HEX2DEC(LEFT(AW$1,2))*2, 2)</f>
        <v>00000000 0x00</v>
      </c>
      <c r="AX24" s="3" t="str">
        <f>HEX2BIN(MID(Table1[[#This Row],[statusRaw]],1+HEX2DEC(LEFT(AX$1,2))*2, 2),8) &amp; " 0x" &amp;MID(Table1[[#This Row],[statusRaw]],1+HEX2DEC(LEFT(AX$1,2))*2, 2)</f>
        <v>00000000 0x00</v>
      </c>
      <c r="AY24" s="3" t="str">
        <f>MID(Table1[[#This Row],[statusRaw]],1+HEX2DEC(LEFT(AY$1,2))*2, 8)</f>
        <v>00000000</v>
      </c>
      <c r="AZ24" s="3" t="str">
        <f>MID(Table1[[#This Row],[statusRaw]],1+HEX2DEC(LEFT(AZ$1,2))*2, 8)</f>
        <v>00000000</v>
      </c>
      <c r="BA24" s="3" t="str">
        <f>HEX2BIN(MID(Table1[[#This Row],[statusRaw]],1+HEX2DEC(LEFT(BA$1,2))*2, 2),8) &amp; " 0x" &amp;MID(Table1[[#This Row],[statusRaw]],1+HEX2DEC(LEFT(BA$1,2))*2, 2)</f>
        <v>00000000 0x00</v>
      </c>
      <c r="BB24" s="3" t="str">
        <f>HEX2BIN(MID(Table1[[#This Row],[statusRaw]],1+HEX2DEC(LEFT(BB$1,2))*2, 2),8) &amp; " 0x" &amp;MID(Table1[[#This Row],[statusRaw]],1+HEX2DEC(LEFT(BB$1,2))*2, 2)</f>
        <v>00000000 0x00</v>
      </c>
      <c r="BC24" s="3" t="str">
        <f>HEX2BIN(MID(Table1[[#This Row],[statusRaw]],1+HEX2DEC(LEFT(BC$1,2))*2, 2),8) &amp; " 0x" &amp;MID(Table1[[#This Row],[statusRaw]],1+HEX2DEC(LEFT(BC$1,2))*2, 2)</f>
        <v>00000000 0x00</v>
      </c>
      <c r="BD24" s="3" t="str">
        <f>MID(Table1[[#This Row],[statusRaw]],1+HEX2DEC(LEFT(BD$1,2))*2, 8)</f>
        <v>000008C7</v>
      </c>
      <c r="BE24" s="3" t="str">
        <f>MID(Table1[[#This Row],[statusRaw]],1+HEX2DEC(LEFT(BE$1,2))*2, 8)</f>
        <v>000008C7</v>
      </c>
      <c r="BF24" s="9"/>
    </row>
    <row r="25" spans="1:58" x14ac:dyDescent="0.25">
      <c r="A25" s="1" t="s">
        <v>75</v>
      </c>
      <c r="B25" s="1" t="s">
        <v>76</v>
      </c>
      <c r="C25" s="1" t="s">
        <v>7</v>
      </c>
      <c r="D25" s="1" t="s">
        <v>77</v>
      </c>
      <c r="E25" s="1">
        <v>23</v>
      </c>
      <c r="F25" s="3" t="str">
        <f>HEX2BIN(MID(Table1[[#This Row],[statusRaw]],1+HEX2DEC(LEFT(F$1,2))*2, 2),8) &amp; " 0x" &amp;MID(Table1[[#This Row],[statusRaw]],1+HEX2DEC(LEFT(F$1,2))*2, 2)</f>
        <v>01010000 0x50</v>
      </c>
      <c r="G25" s="3" t="b">
        <f>MID(Table1[[#This Row],[03 - pump status (1)]],1,1)="1"</f>
        <v>0</v>
      </c>
      <c r="H25" s="3" t="b">
        <f>MID(Table1[[#This Row],[03 - pump status (1)]],2,1)="1"</f>
        <v>1</v>
      </c>
      <c r="I25" s="3" t="b">
        <f>MID(Table1[[#This Row],[03 - pump status (1)]],3,1)="1"</f>
        <v>0</v>
      </c>
      <c r="J25" s="3" t="b">
        <f>MID(Table1[[#This Row],[03 - pump status (1)]],4,1)="1"</f>
        <v>1</v>
      </c>
      <c r="K25" s="3" t="b">
        <f>MID(Table1[[#This Row],[03 - pump status (1)]],5,1)="1"</f>
        <v>0</v>
      </c>
      <c r="L25" s="3" t="b">
        <f>MID(Table1[[#This Row],[03 - pump status (1)]],6,1)="1"</f>
        <v>0</v>
      </c>
      <c r="M25" s="3" t="b">
        <f>MID(Table1[[#This Row],[03 - pump status (1)]],7,1)="1"</f>
        <v>0</v>
      </c>
      <c r="N25" s="3" t="b">
        <f>MID(Table1[[#This Row],[03 - pump status (1)]],8,1)="1"</f>
        <v>0</v>
      </c>
      <c r="O25" s="3" t="str">
        <f>MID(Table1[[#This Row],[statusRaw]],1+HEX2DEC(LEFT(O$1,2))*2, 8)</f>
        <v>00000000</v>
      </c>
      <c r="P25" s="3" t="str">
        <f>MID(Table1[[#This Row],[statusRaw]],1+HEX2DEC(LEFT(P$1,2))*2, 8)</f>
        <v>00000000</v>
      </c>
      <c r="Q25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25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25" s="3">
        <f>HEX2DEC(MID(Table1[[#This Row],[statusRaw]],1+HEX2DEC(LEFT(S$1,2))*2, 8))/10000</f>
        <v>0.7</v>
      </c>
      <c r="T25" s="3" t="str">
        <f>MID(Table1[[#This Row],[statusRaw]],1+HEX2DEC(LEFT(T$1,2))*2, 8)</f>
        <v>278A4116</v>
      </c>
      <c r="U25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25" s="3" t="str">
        <f>HEX2BIN(MID(Table1[[#This Row],[statusRaw]],1+HEX2DEC(LEFT(V$1,2))*2, 2),8) &amp; " 0x" &amp;MID(Table1[[#This Row],[statusRaw]],1+HEX2DEC(LEFT(V$1,2))*2, 2)</f>
        <v>00000001 0x01</v>
      </c>
      <c r="W25" s="3">
        <f>HEX2DEC(MID(Table1[[#This Row],[statusRaw]],1+HEX2DEC(LEFT(W$1,2))*2, 8))/10000</f>
        <v>0.55000000000000004</v>
      </c>
      <c r="X25" s="3">
        <f>HEX2DEC(MID(Table1[[#This Row],[statusRaw]],1+HEX2DEC(LEFT(X$1,2))*2, 8))/10000</f>
        <v>0</v>
      </c>
      <c r="Y25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25" s="3">
        <f>HEX2DEC(MID(Table1[[#This Row],[statusRaw]],1+HEX2DEC(LEFT(Z$1,2))*2, 8))/10000</f>
        <v>11.775</v>
      </c>
      <c r="AA25" s="3">
        <f>HEX2DEC(MID(Table1[[#This Row],[statusRaw]],1+HEX2DEC(LEFT(AA$1,2))*2, 2))</f>
        <v>50</v>
      </c>
      <c r="AB25" s="3">
        <f>HEX2DEC(MID(Table1[[#This Row],[statusRaw]],1+HEX2DEC(LEFT(AB$1,2))*2, 8))/10000</f>
        <v>215.25</v>
      </c>
      <c r="AC25" s="3">
        <f>HEX2DEC(MID(Table1[[#This Row],[statusRaw]],1+HEX2DEC(LEFT(AC$1,2))*2, 2))</f>
        <v>25</v>
      </c>
      <c r="AD25" s="3">
        <f>HEX2DEC(MID(Table1[[#This Row],[statusRaw]],1+HEX2DEC(LEFT(AD$1,2))*2, 2))</f>
        <v>0</v>
      </c>
      <c r="AE25" s="3">
        <f>HEX2DEC(MID(Table1[[#This Row],[statusRaw]],1+HEX2DEC(LEFT(AE$1,2))*2, 8))/10000</f>
        <v>0.4</v>
      </c>
      <c r="AF25" s="3">
        <f>IF(AND(Table1[[#This Row],[cgm]],NOT(Table1[[#This Row],[35 - SGV special bit (2)]])), _xlfn.BITAND(HEX2DEC(MID(Table1[[#This Row],[statusRaw]],1+HEX2DEC(LEFT(AF$1,2))*2, 4)),HEX2DEC("1FF")),"")</f>
        <v>123</v>
      </c>
      <c r="AG25" s="3" t="b">
        <f>_xlfn.BITAND(HEX2DEC(MID(Table1[[#This Row],[statusRaw]],1+HEX2DEC(LEFT(AG$1,2))*2, 4)),512)=512</f>
        <v>0</v>
      </c>
      <c r="AH25" s="3" t="str">
        <f>MID(Table1[[#This Row],[statusRaw]],1+HEX2DEC(LEFT(AF$1,2))*2, 8)</f>
        <v>007B8674</v>
      </c>
      <c r="AI25" s="3" t="str">
        <f>MID(Table1[[#This Row],[statusRaw]],1+HEX2DEC(LEFT(AH$1,2))*2, 8)</f>
        <v>86745AB3</v>
      </c>
      <c r="AJ25" s="3" t="str">
        <f>HEX2BIN(MID(Table1[[#This Row],[statusRaw]],1+HEX2DEC(LEFT(AJ$1,2))*2, 2),8) &amp; " 0x" &amp;MID(Table1[[#This Row],[statusRaw]],1+HEX2DEC(LEFT(AJ$1,2))*2, 2)</f>
        <v>00000000 0x00</v>
      </c>
      <c r="AK25" s="1" t="str">
        <f>HEX2BIN(MID(Table1[[#This Row],[statusRaw]],1+HEX2DEC(LEFT(AK$1,2))*2, 2),8) &amp; " 0x" &amp;MID(Table1[[#This Row],[statusRaw]],1+HEX2DEC(LEFT(AK$1,2))*2, 2)</f>
        <v>01100000 0x60</v>
      </c>
      <c r="AL25" s="1" t="str">
        <f>VLOOKUP(Table1[[#This Row],[40 trend]],'Arrow status mapping'!$A$1:$B$8,2,FALSE)</f>
        <v>No arrows</v>
      </c>
      <c r="AM25" s="3" t="str">
        <f>HEX2BIN(MID(Table1[[#This Row],[statusRaw]],1+HEX2DEC(LEFT(AM$1,2))*2, 2),8) &amp; " 0x" &amp;MID(Table1[[#This Row],[statusRaw]],1+HEX2DEC(LEFT(AM$1,2))*2, 2)</f>
        <v>00010000 0x10</v>
      </c>
      <c r="AN25" s="3" t="str">
        <f>HEX2BIN(MID(Table1[[#This Row],[statusRaw]],1+HEX2DEC(LEFT(AN$1,2))*2, 2),8) &amp; " 0x" &amp;MID(Table1[[#This Row],[statusRaw]],1+HEX2DEC(LEFT(AN$1,2))*2, 2)</f>
        <v>00000000 0x00</v>
      </c>
      <c r="AO25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0x006E 110</v>
      </c>
      <c r="AP25" s="1" t="str">
        <f>HEX2BIN(MID(Table1[[#This Row],[statusRaw]],1+HEX2DEC(LEFT(AP$1,2))*2, 2),8) &amp; " 0x" &amp;MID(Table1[[#This Row],[statusRaw]],1+HEX2DEC(LEFT(AP$1,2))*2, 2)</f>
        <v>00101010 0x2A</v>
      </c>
      <c r="AQ25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25" s="3">
        <f>TRUNC(_xlfn.NUMBERVALUE(RIGHT(Table1[[#This Row],[46 rate of change (2)]],LEN(Table1[[#This Row],[46 rate of change (2)]])-7))/100)</f>
        <v>0</v>
      </c>
      <c r="AS25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25" s="3" t="b">
        <f>Table1[[#This Row],[calc arrow]]=Table1[[#This Row],[trend]]</f>
        <v>1</v>
      </c>
      <c r="AU25" s="3" t="str">
        <f>HEX2BIN(MID(Table1[[#This Row],[statusRaw]],1+HEX2DEC(LEFT(AU$1,2))*2, 2),8) &amp; " 0x" &amp;MID(Table1[[#This Row],[statusRaw]],1+HEX2DEC(LEFT(AU$1,2))*2, 2)</f>
        <v>00000000 0x00</v>
      </c>
      <c r="AV25" s="3">
        <f>HEX2DEC(MID(Table1[[#This Row],[statusRaw]],1+HEX2DEC(LEFT(AV$1,2))*2, 4))</f>
        <v>0</v>
      </c>
      <c r="AW25" s="3" t="str">
        <f>HEX2BIN(MID(Table1[[#This Row],[statusRaw]],1+HEX2DEC(LEFT(AW$1,2))*2, 2),8) &amp; " 0x" &amp;MID(Table1[[#This Row],[statusRaw]],1+HEX2DEC(LEFT(AW$1,2))*2, 2)</f>
        <v>00000000 0x00</v>
      </c>
      <c r="AX25" s="3" t="str">
        <f>HEX2BIN(MID(Table1[[#This Row],[statusRaw]],1+HEX2DEC(LEFT(AX$1,2))*2, 2),8) &amp; " 0x" &amp;MID(Table1[[#This Row],[statusRaw]],1+HEX2DEC(LEFT(AX$1,2))*2, 2)</f>
        <v>00000000 0x00</v>
      </c>
      <c r="AY25" s="3" t="str">
        <f>MID(Table1[[#This Row],[statusRaw]],1+HEX2DEC(LEFT(AY$1,2))*2, 8)</f>
        <v>00000000</v>
      </c>
      <c r="AZ25" s="3" t="str">
        <f>MID(Table1[[#This Row],[statusRaw]],1+HEX2DEC(LEFT(AZ$1,2))*2, 8)</f>
        <v>00000000</v>
      </c>
      <c r="BA25" s="3" t="str">
        <f>HEX2BIN(MID(Table1[[#This Row],[statusRaw]],1+HEX2DEC(LEFT(BA$1,2))*2, 2),8) &amp; " 0x" &amp;MID(Table1[[#This Row],[statusRaw]],1+HEX2DEC(LEFT(BA$1,2))*2, 2)</f>
        <v>00000000 0x00</v>
      </c>
      <c r="BB25" s="3" t="str">
        <f>HEX2BIN(MID(Table1[[#This Row],[statusRaw]],1+HEX2DEC(LEFT(BB$1,2))*2, 2),8) &amp; " 0x" &amp;MID(Table1[[#This Row],[statusRaw]],1+HEX2DEC(LEFT(BB$1,2))*2, 2)</f>
        <v>00000000 0x00</v>
      </c>
      <c r="BC25" s="3" t="str">
        <f>HEX2BIN(MID(Table1[[#This Row],[statusRaw]],1+HEX2DEC(LEFT(BC$1,2))*2, 2),8) &amp; " 0x" &amp;MID(Table1[[#This Row],[statusRaw]],1+HEX2DEC(LEFT(BC$1,2))*2, 2)</f>
        <v>00000000 0x00</v>
      </c>
      <c r="BD25" s="3" t="str">
        <f>MID(Table1[[#This Row],[statusRaw]],1+HEX2DEC(LEFT(BD$1,2))*2, 8)</f>
        <v>000008C7</v>
      </c>
      <c r="BE25" s="3" t="str">
        <f>MID(Table1[[#This Row],[statusRaw]],1+HEX2DEC(LEFT(BE$1,2))*2, 8)</f>
        <v>000008C7</v>
      </c>
      <c r="BF25" s="9"/>
    </row>
    <row r="26" spans="1:58" x14ac:dyDescent="0.25">
      <c r="A26" s="1" t="s">
        <v>78</v>
      </c>
      <c r="B26" s="1" t="s">
        <v>79</v>
      </c>
      <c r="C26" s="1" t="s">
        <v>7</v>
      </c>
      <c r="D26" s="1" t="s">
        <v>80</v>
      </c>
      <c r="E26" s="1">
        <v>23</v>
      </c>
      <c r="F26" s="3" t="str">
        <f>HEX2BIN(MID(Table1[[#This Row],[statusRaw]],1+HEX2DEC(LEFT(F$1,2))*2, 2),8) &amp; " 0x" &amp;MID(Table1[[#This Row],[statusRaw]],1+HEX2DEC(LEFT(F$1,2))*2, 2)</f>
        <v>01010000 0x50</v>
      </c>
      <c r="G26" s="3" t="b">
        <f>MID(Table1[[#This Row],[03 - pump status (1)]],1,1)="1"</f>
        <v>0</v>
      </c>
      <c r="H26" s="3" t="b">
        <f>MID(Table1[[#This Row],[03 - pump status (1)]],2,1)="1"</f>
        <v>1</v>
      </c>
      <c r="I26" s="3" t="b">
        <f>MID(Table1[[#This Row],[03 - pump status (1)]],3,1)="1"</f>
        <v>0</v>
      </c>
      <c r="J26" s="3" t="b">
        <f>MID(Table1[[#This Row],[03 - pump status (1)]],4,1)="1"</f>
        <v>1</v>
      </c>
      <c r="K26" s="3" t="b">
        <f>MID(Table1[[#This Row],[03 - pump status (1)]],5,1)="1"</f>
        <v>0</v>
      </c>
      <c r="L26" s="3" t="b">
        <f>MID(Table1[[#This Row],[03 - pump status (1)]],6,1)="1"</f>
        <v>0</v>
      </c>
      <c r="M26" s="3" t="b">
        <f>MID(Table1[[#This Row],[03 - pump status (1)]],7,1)="1"</f>
        <v>0</v>
      </c>
      <c r="N26" s="3" t="b">
        <f>MID(Table1[[#This Row],[03 - pump status (1)]],8,1)="1"</f>
        <v>0</v>
      </c>
      <c r="O26" s="3" t="str">
        <f>MID(Table1[[#This Row],[statusRaw]],1+HEX2DEC(LEFT(O$1,2))*2, 8)</f>
        <v>00000000</v>
      </c>
      <c r="P26" s="3" t="str">
        <f>MID(Table1[[#This Row],[statusRaw]],1+HEX2DEC(LEFT(P$1,2))*2, 8)</f>
        <v>00000000</v>
      </c>
      <c r="Q26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26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26" s="3">
        <f>HEX2DEC(MID(Table1[[#This Row],[statusRaw]],1+HEX2DEC(LEFT(S$1,2))*2, 8))/10000</f>
        <v>0.7</v>
      </c>
      <c r="T26" s="3" t="str">
        <f>MID(Table1[[#This Row],[statusRaw]],1+HEX2DEC(LEFT(T$1,2))*2, 8)</f>
        <v>278A4116</v>
      </c>
      <c r="U26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26" s="3" t="str">
        <f>HEX2BIN(MID(Table1[[#This Row],[statusRaw]],1+HEX2DEC(LEFT(V$1,2))*2, 2),8) &amp; " 0x" &amp;MID(Table1[[#This Row],[statusRaw]],1+HEX2DEC(LEFT(V$1,2))*2, 2)</f>
        <v>00000001 0x01</v>
      </c>
      <c r="W26" s="3">
        <f>HEX2DEC(MID(Table1[[#This Row],[statusRaw]],1+HEX2DEC(LEFT(W$1,2))*2, 8))/10000</f>
        <v>0.55000000000000004</v>
      </c>
      <c r="X26" s="3">
        <f>HEX2DEC(MID(Table1[[#This Row],[statusRaw]],1+HEX2DEC(LEFT(X$1,2))*2, 8))/10000</f>
        <v>0</v>
      </c>
      <c r="Y26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26" s="3">
        <f>HEX2DEC(MID(Table1[[#This Row],[statusRaw]],1+HEX2DEC(LEFT(Z$1,2))*2, 8))/10000</f>
        <v>11.725</v>
      </c>
      <c r="AA26" s="3">
        <f>HEX2DEC(MID(Table1[[#This Row],[statusRaw]],1+HEX2DEC(LEFT(AA$1,2))*2, 2))</f>
        <v>50</v>
      </c>
      <c r="AB26" s="3">
        <f>HEX2DEC(MID(Table1[[#This Row],[statusRaw]],1+HEX2DEC(LEFT(AB$1,2))*2, 8))/10000</f>
        <v>215.3</v>
      </c>
      <c r="AC26" s="3">
        <f>HEX2DEC(MID(Table1[[#This Row],[statusRaw]],1+HEX2DEC(LEFT(AC$1,2))*2, 2))</f>
        <v>25</v>
      </c>
      <c r="AD26" s="3">
        <f>HEX2DEC(MID(Table1[[#This Row],[statusRaw]],1+HEX2DEC(LEFT(AD$1,2))*2, 2))</f>
        <v>0</v>
      </c>
      <c r="AE26" s="3">
        <f>HEX2DEC(MID(Table1[[#This Row],[statusRaw]],1+HEX2DEC(LEFT(AE$1,2))*2, 8))/10000</f>
        <v>0.5</v>
      </c>
      <c r="AF26" s="3">
        <f>IF(AND(Table1[[#This Row],[cgm]],NOT(Table1[[#This Row],[35 - SGV special bit (2)]])), _xlfn.BITAND(HEX2DEC(MID(Table1[[#This Row],[statusRaw]],1+HEX2DEC(LEFT(AF$1,2))*2, 4)),HEX2DEC("1FF")),"")</f>
        <v>129</v>
      </c>
      <c r="AG26" s="3" t="b">
        <f>_xlfn.BITAND(HEX2DEC(MID(Table1[[#This Row],[statusRaw]],1+HEX2DEC(LEFT(AG$1,2))*2, 4)),512)=512</f>
        <v>0</v>
      </c>
      <c r="AH26" s="3" t="str">
        <f>MID(Table1[[#This Row],[statusRaw]],1+HEX2DEC(LEFT(AF$1,2))*2, 8)</f>
        <v>00818674</v>
      </c>
      <c r="AI26" s="3" t="str">
        <f>MID(Table1[[#This Row],[statusRaw]],1+HEX2DEC(LEFT(AH$1,2))*2, 8)</f>
        <v>86745987</v>
      </c>
      <c r="AJ26" s="3" t="str">
        <f>HEX2BIN(MID(Table1[[#This Row],[statusRaw]],1+HEX2DEC(LEFT(AJ$1,2))*2, 2),8) &amp; " 0x" &amp;MID(Table1[[#This Row],[statusRaw]],1+HEX2DEC(LEFT(AJ$1,2))*2, 2)</f>
        <v>00000000 0x00</v>
      </c>
      <c r="AK26" s="1" t="str">
        <f>HEX2BIN(MID(Table1[[#This Row],[statusRaw]],1+HEX2DEC(LEFT(AK$1,2))*2, 2),8) &amp; " 0x" &amp;MID(Table1[[#This Row],[statusRaw]],1+HEX2DEC(LEFT(AK$1,2))*2, 2)</f>
        <v>01100000 0x60</v>
      </c>
      <c r="AL26" s="1" t="str">
        <f>VLOOKUP(Table1[[#This Row],[40 trend]],'Arrow status mapping'!$A$1:$B$8,2,FALSE)</f>
        <v>No arrows</v>
      </c>
      <c r="AM26" s="3" t="str">
        <f>HEX2BIN(MID(Table1[[#This Row],[statusRaw]],1+HEX2DEC(LEFT(AM$1,2))*2, 2),8) &amp; " 0x" &amp;MID(Table1[[#This Row],[statusRaw]],1+HEX2DEC(LEFT(AM$1,2))*2, 2)</f>
        <v>00010000 0x10</v>
      </c>
      <c r="AN26" s="3" t="str">
        <f>HEX2BIN(MID(Table1[[#This Row],[statusRaw]],1+HEX2DEC(LEFT(AN$1,2))*2, 2),8) &amp; " 0x" &amp;MID(Table1[[#This Row],[statusRaw]],1+HEX2DEC(LEFT(AN$1,2))*2, 2)</f>
        <v>00000000 0x00</v>
      </c>
      <c r="AO26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0x0073 115</v>
      </c>
      <c r="AP26" s="1" t="str">
        <f>HEX2BIN(MID(Table1[[#This Row],[statusRaw]],1+HEX2DEC(LEFT(AP$1,2))*2, 2),8) &amp; " 0x" &amp;MID(Table1[[#This Row],[statusRaw]],1+HEX2DEC(LEFT(AP$1,2))*2, 2)</f>
        <v>00101010 0x2A</v>
      </c>
      <c r="AQ26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26" s="3">
        <f>TRUNC(_xlfn.NUMBERVALUE(RIGHT(Table1[[#This Row],[46 rate of change (2)]],LEN(Table1[[#This Row],[46 rate of change (2)]])-7))/100)</f>
        <v>0</v>
      </c>
      <c r="AS26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26" s="3" t="b">
        <f>Table1[[#This Row],[calc arrow]]=Table1[[#This Row],[trend]]</f>
        <v>1</v>
      </c>
      <c r="AU26" s="3" t="str">
        <f>HEX2BIN(MID(Table1[[#This Row],[statusRaw]],1+HEX2DEC(LEFT(AU$1,2))*2, 2),8) &amp; " 0x" &amp;MID(Table1[[#This Row],[statusRaw]],1+HEX2DEC(LEFT(AU$1,2))*2, 2)</f>
        <v>00000000 0x00</v>
      </c>
      <c r="AV26" s="3">
        <f>HEX2DEC(MID(Table1[[#This Row],[statusRaw]],1+HEX2DEC(LEFT(AV$1,2))*2, 4))</f>
        <v>0</v>
      </c>
      <c r="AW26" s="3" t="str">
        <f>HEX2BIN(MID(Table1[[#This Row],[statusRaw]],1+HEX2DEC(LEFT(AW$1,2))*2, 2),8) &amp; " 0x" &amp;MID(Table1[[#This Row],[statusRaw]],1+HEX2DEC(LEFT(AW$1,2))*2, 2)</f>
        <v>00000000 0x00</v>
      </c>
      <c r="AX26" s="3" t="str">
        <f>HEX2BIN(MID(Table1[[#This Row],[statusRaw]],1+HEX2DEC(LEFT(AX$1,2))*2, 2),8) &amp; " 0x" &amp;MID(Table1[[#This Row],[statusRaw]],1+HEX2DEC(LEFT(AX$1,2))*2, 2)</f>
        <v>00000000 0x00</v>
      </c>
      <c r="AY26" s="3" t="str">
        <f>MID(Table1[[#This Row],[statusRaw]],1+HEX2DEC(LEFT(AY$1,2))*2, 8)</f>
        <v>00000000</v>
      </c>
      <c r="AZ26" s="3" t="str">
        <f>MID(Table1[[#This Row],[statusRaw]],1+HEX2DEC(LEFT(AZ$1,2))*2, 8)</f>
        <v>00000000</v>
      </c>
      <c r="BA26" s="3" t="str">
        <f>HEX2BIN(MID(Table1[[#This Row],[statusRaw]],1+HEX2DEC(LEFT(BA$1,2))*2, 2),8) &amp; " 0x" &amp;MID(Table1[[#This Row],[statusRaw]],1+HEX2DEC(LEFT(BA$1,2))*2, 2)</f>
        <v>00000000 0x00</v>
      </c>
      <c r="BB26" s="3" t="str">
        <f>HEX2BIN(MID(Table1[[#This Row],[statusRaw]],1+HEX2DEC(LEFT(BB$1,2))*2, 2),8) &amp; " 0x" &amp;MID(Table1[[#This Row],[statusRaw]],1+HEX2DEC(LEFT(BB$1,2))*2, 2)</f>
        <v>00000000 0x00</v>
      </c>
      <c r="BC26" s="3" t="str">
        <f>HEX2BIN(MID(Table1[[#This Row],[statusRaw]],1+HEX2DEC(LEFT(BC$1,2))*2, 2),8) &amp; " 0x" &amp;MID(Table1[[#This Row],[statusRaw]],1+HEX2DEC(LEFT(BC$1,2))*2, 2)</f>
        <v>00000000 0x00</v>
      </c>
      <c r="BD26" s="3" t="str">
        <f>MID(Table1[[#This Row],[statusRaw]],1+HEX2DEC(LEFT(BD$1,2))*2, 8)</f>
        <v>000008C7</v>
      </c>
      <c r="BE26" s="3" t="str">
        <f>MID(Table1[[#This Row],[statusRaw]],1+HEX2DEC(LEFT(BE$1,2))*2, 8)</f>
        <v>000008C7</v>
      </c>
      <c r="BF26" s="9"/>
    </row>
    <row r="27" spans="1:58" x14ac:dyDescent="0.25">
      <c r="A27" s="1" t="s">
        <v>81</v>
      </c>
      <c r="B27" s="1" t="s">
        <v>82</v>
      </c>
      <c r="C27" s="1" t="s">
        <v>7</v>
      </c>
      <c r="D27" s="1" t="s">
        <v>83</v>
      </c>
      <c r="E27" s="1">
        <v>23</v>
      </c>
      <c r="F27" s="3" t="str">
        <f>HEX2BIN(MID(Table1[[#This Row],[statusRaw]],1+HEX2DEC(LEFT(F$1,2))*2, 2),8) &amp; " 0x" &amp;MID(Table1[[#This Row],[statusRaw]],1+HEX2DEC(LEFT(F$1,2))*2, 2)</f>
        <v>01010000 0x50</v>
      </c>
      <c r="G27" s="3" t="b">
        <f>MID(Table1[[#This Row],[03 - pump status (1)]],1,1)="1"</f>
        <v>0</v>
      </c>
      <c r="H27" s="3" t="b">
        <f>MID(Table1[[#This Row],[03 - pump status (1)]],2,1)="1"</f>
        <v>1</v>
      </c>
      <c r="I27" s="3" t="b">
        <f>MID(Table1[[#This Row],[03 - pump status (1)]],3,1)="1"</f>
        <v>0</v>
      </c>
      <c r="J27" s="3" t="b">
        <f>MID(Table1[[#This Row],[03 - pump status (1)]],4,1)="1"</f>
        <v>1</v>
      </c>
      <c r="K27" s="3" t="b">
        <f>MID(Table1[[#This Row],[03 - pump status (1)]],5,1)="1"</f>
        <v>0</v>
      </c>
      <c r="L27" s="3" t="b">
        <f>MID(Table1[[#This Row],[03 - pump status (1)]],6,1)="1"</f>
        <v>0</v>
      </c>
      <c r="M27" s="3" t="b">
        <f>MID(Table1[[#This Row],[03 - pump status (1)]],7,1)="1"</f>
        <v>0</v>
      </c>
      <c r="N27" s="3" t="b">
        <f>MID(Table1[[#This Row],[03 - pump status (1)]],8,1)="1"</f>
        <v>0</v>
      </c>
      <c r="O27" s="3" t="str">
        <f>MID(Table1[[#This Row],[statusRaw]],1+HEX2DEC(LEFT(O$1,2))*2, 8)</f>
        <v>00000000</v>
      </c>
      <c r="P27" s="3" t="str">
        <f>MID(Table1[[#This Row],[statusRaw]],1+HEX2DEC(LEFT(P$1,2))*2, 8)</f>
        <v>00000000</v>
      </c>
      <c r="Q27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27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27" s="3">
        <f>HEX2DEC(MID(Table1[[#This Row],[statusRaw]],1+HEX2DEC(LEFT(S$1,2))*2, 8))/10000</f>
        <v>0.7</v>
      </c>
      <c r="T27" s="3" t="str">
        <f>MID(Table1[[#This Row],[statusRaw]],1+HEX2DEC(LEFT(T$1,2))*2, 8)</f>
        <v>278A4116</v>
      </c>
      <c r="U27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27" s="3" t="str">
        <f>HEX2BIN(MID(Table1[[#This Row],[statusRaw]],1+HEX2DEC(LEFT(V$1,2))*2, 2),8) &amp; " 0x" &amp;MID(Table1[[#This Row],[statusRaw]],1+HEX2DEC(LEFT(V$1,2))*2, 2)</f>
        <v>00000001 0x01</v>
      </c>
      <c r="W27" s="3">
        <f>HEX2DEC(MID(Table1[[#This Row],[statusRaw]],1+HEX2DEC(LEFT(W$1,2))*2, 8))/10000</f>
        <v>0.55000000000000004</v>
      </c>
      <c r="X27" s="3">
        <f>HEX2DEC(MID(Table1[[#This Row],[statusRaw]],1+HEX2DEC(LEFT(X$1,2))*2, 8))/10000</f>
        <v>0</v>
      </c>
      <c r="Y27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27" s="3">
        <f>HEX2DEC(MID(Table1[[#This Row],[statusRaw]],1+HEX2DEC(LEFT(Z$1,2))*2, 8))/10000</f>
        <v>11.675000000000001</v>
      </c>
      <c r="AA27" s="3">
        <f>HEX2DEC(MID(Table1[[#This Row],[statusRaw]],1+HEX2DEC(LEFT(AA$1,2))*2, 2))</f>
        <v>50</v>
      </c>
      <c r="AB27" s="3">
        <f>HEX2DEC(MID(Table1[[#This Row],[statusRaw]],1+HEX2DEC(LEFT(AB$1,2))*2, 8))/10000</f>
        <v>215.35</v>
      </c>
      <c r="AC27" s="3">
        <f>HEX2DEC(MID(Table1[[#This Row],[statusRaw]],1+HEX2DEC(LEFT(AC$1,2))*2, 2))</f>
        <v>25</v>
      </c>
      <c r="AD27" s="3">
        <f>HEX2DEC(MID(Table1[[#This Row],[statusRaw]],1+HEX2DEC(LEFT(AD$1,2))*2, 2))</f>
        <v>0</v>
      </c>
      <c r="AE27" s="3">
        <f>HEX2DEC(MID(Table1[[#This Row],[statusRaw]],1+HEX2DEC(LEFT(AE$1,2))*2, 8))/10000</f>
        <v>0.5</v>
      </c>
      <c r="AF27" s="3">
        <f>IF(AND(Table1[[#This Row],[cgm]],NOT(Table1[[#This Row],[35 - SGV special bit (2)]])), _xlfn.BITAND(HEX2DEC(MID(Table1[[#This Row],[statusRaw]],1+HEX2DEC(LEFT(AF$1,2))*2, 4)),HEX2DEC("1FF")),"")</f>
        <v>128</v>
      </c>
      <c r="AG27" s="3" t="b">
        <f>_xlfn.BITAND(HEX2DEC(MID(Table1[[#This Row],[statusRaw]],1+HEX2DEC(LEFT(AG$1,2))*2, 4)),512)=512</f>
        <v>0</v>
      </c>
      <c r="AH27" s="3" t="str">
        <f>MID(Table1[[#This Row],[statusRaw]],1+HEX2DEC(LEFT(AF$1,2))*2, 8)</f>
        <v>00808674</v>
      </c>
      <c r="AI27" s="3" t="str">
        <f>MID(Table1[[#This Row],[statusRaw]],1+HEX2DEC(LEFT(AH$1,2))*2, 8)</f>
        <v>8674585B</v>
      </c>
      <c r="AJ27" s="3" t="str">
        <f>HEX2BIN(MID(Table1[[#This Row],[statusRaw]],1+HEX2DEC(LEFT(AJ$1,2))*2, 2),8) &amp; " 0x" &amp;MID(Table1[[#This Row],[statusRaw]],1+HEX2DEC(LEFT(AJ$1,2))*2, 2)</f>
        <v>00000000 0x00</v>
      </c>
      <c r="AK27" s="1" t="str">
        <f>HEX2BIN(MID(Table1[[#This Row],[statusRaw]],1+HEX2DEC(LEFT(AK$1,2))*2, 2),8) &amp; " 0x" &amp;MID(Table1[[#This Row],[statusRaw]],1+HEX2DEC(LEFT(AK$1,2))*2, 2)</f>
        <v>00100000 0x20</v>
      </c>
      <c r="AL27" s="1" t="str">
        <f>VLOOKUP(Table1[[#This Row],[40 trend]],'Arrow status mapping'!$A$1:$B$8,2,FALSE)</f>
        <v>2 arrows down</v>
      </c>
      <c r="AM27" s="3" t="str">
        <f>HEX2BIN(MID(Table1[[#This Row],[statusRaw]],1+HEX2DEC(LEFT(AM$1,2))*2, 2),8) &amp; " 0x" &amp;MID(Table1[[#This Row],[statusRaw]],1+HEX2DEC(LEFT(AM$1,2))*2, 2)</f>
        <v>00010000 0x10</v>
      </c>
      <c r="AN27" s="3" t="str">
        <f>HEX2BIN(MID(Table1[[#This Row],[statusRaw]],1+HEX2DEC(LEFT(AN$1,2))*2, 2),8) &amp; " 0x" &amp;MID(Table1[[#This Row],[statusRaw]],1+HEX2DEC(LEFT(AN$1,2))*2, 2)</f>
        <v>00000000 0x00</v>
      </c>
      <c r="AO27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0x0078 120</v>
      </c>
      <c r="AP27" s="1" t="str">
        <f>HEX2BIN(MID(Table1[[#This Row],[statusRaw]],1+HEX2DEC(LEFT(AP$1,2))*2, 2),8) &amp; " 0x" &amp;MID(Table1[[#This Row],[statusRaw]],1+HEX2DEC(LEFT(AP$1,2))*2, 2)</f>
        <v>00101010 0x2A</v>
      </c>
      <c r="AQ27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0xFF37 -201</v>
      </c>
      <c r="AR27" s="3">
        <f>TRUNC(_xlfn.NUMBERVALUE(RIGHT(Table1[[#This Row],[46 rate of change (2)]],LEN(Table1[[#This Row],[46 rate of change (2)]])-7))/100)</f>
        <v>-2</v>
      </c>
      <c r="AS27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2 arrows down</v>
      </c>
      <c r="AT27" s="3" t="b">
        <f>Table1[[#This Row],[calc arrow]]=Table1[[#This Row],[trend]]</f>
        <v>1</v>
      </c>
      <c r="AU27" s="3" t="str">
        <f>HEX2BIN(MID(Table1[[#This Row],[statusRaw]],1+HEX2DEC(LEFT(AU$1,2))*2, 2),8) &amp; " 0x" &amp;MID(Table1[[#This Row],[statusRaw]],1+HEX2DEC(LEFT(AU$1,2))*2, 2)</f>
        <v>00000000 0x00</v>
      </c>
      <c r="AV27" s="3">
        <f>HEX2DEC(MID(Table1[[#This Row],[statusRaw]],1+HEX2DEC(LEFT(AV$1,2))*2, 4))</f>
        <v>0</v>
      </c>
      <c r="AW27" s="3" t="str">
        <f>HEX2BIN(MID(Table1[[#This Row],[statusRaw]],1+HEX2DEC(LEFT(AW$1,2))*2, 2),8) &amp; " 0x" &amp;MID(Table1[[#This Row],[statusRaw]],1+HEX2DEC(LEFT(AW$1,2))*2, 2)</f>
        <v>00000000 0x00</v>
      </c>
      <c r="AX27" s="3" t="str">
        <f>HEX2BIN(MID(Table1[[#This Row],[statusRaw]],1+HEX2DEC(LEFT(AX$1,2))*2, 2),8) &amp; " 0x" &amp;MID(Table1[[#This Row],[statusRaw]],1+HEX2DEC(LEFT(AX$1,2))*2, 2)</f>
        <v>00000000 0x00</v>
      </c>
      <c r="AY27" s="3" t="str">
        <f>MID(Table1[[#This Row],[statusRaw]],1+HEX2DEC(LEFT(AY$1,2))*2, 8)</f>
        <v>00000000</v>
      </c>
      <c r="AZ27" s="3" t="str">
        <f>MID(Table1[[#This Row],[statusRaw]],1+HEX2DEC(LEFT(AZ$1,2))*2, 8)</f>
        <v>00000000</v>
      </c>
      <c r="BA27" s="3" t="str">
        <f>HEX2BIN(MID(Table1[[#This Row],[statusRaw]],1+HEX2DEC(LEFT(BA$1,2))*2, 2),8) &amp; " 0x" &amp;MID(Table1[[#This Row],[statusRaw]],1+HEX2DEC(LEFT(BA$1,2))*2, 2)</f>
        <v>00000000 0x00</v>
      </c>
      <c r="BB27" s="3" t="str">
        <f>HEX2BIN(MID(Table1[[#This Row],[statusRaw]],1+HEX2DEC(LEFT(BB$1,2))*2, 2),8) &amp; " 0x" &amp;MID(Table1[[#This Row],[statusRaw]],1+HEX2DEC(LEFT(BB$1,2))*2, 2)</f>
        <v>00000000 0x00</v>
      </c>
      <c r="BC27" s="3" t="str">
        <f>HEX2BIN(MID(Table1[[#This Row],[statusRaw]],1+HEX2DEC(LEFT(BC$1,2))*2, 2),8) &amp; " 0x" &amp;MID(Table1[[#This Row],[statusRaw]],1+HEX2DEC(LEFT(BC$1,2))*2, 2)</f>
        <v>00000000 0x00</v>
      </c>
      <c r="BD27" s="3" t="str">
        <f>MID(Table1[[#This Row],[statusRaw]],1+HEX2DEC(LEFT(BD$1,2))*2, 8)</f>
        <v>000008C7</v>
      </c>
      <c r="BE27" s="3" t="str">
        <f>MID(Table1[[#This Row],[statusRaw]],1+HEX2DEC(LEFT(BE$1,2))*2, 8)</f>
        <v>000008C7</v>
      </c>
      <c r="BF27" s="9"/>
    </row>
    <row r="28" spans="1:58" x14ac:dyDescent="0.25">
      <c r="A28" s="1" t="s">
        <v>84</v>
      </c>
      <c r="B28" s="1" t="s">
        <v>85</v>
      </c>
      <c r="C28" s="1" t="s">
        <v>7</v>
      </c>
      <c r="D28" s="1" t="s">
        <v>86</v>
      </c>
      <c r="E28" s="1">
        <v>22</v>
      </c>
      <c r="F28" s="3" t="str">
        <f>HEX2BIN(MID(Table1[[#This Row],[statusRaw]],1+HEX2DEC(LEFT(F$1,2))*2, 2),8) &amp; " 0x" &amp;MID(Table1[[#This Row],[statusRaw]],1+HEX2DEC(LEFT(F$1,2))*2, 2)</f>
        <v>01010000 0x50</v>
      </c>
      <c r="G28" s="3" t="b">
        <f>MID(Table1[[#This Row],[03 - pump status (1)]],1,1)="1"</f>
        <v>0</v>
      </c>
      <c r="H28" s="3" t="b">
        <f>MID(Table1[[#This Row],[03 - pump status (1)]],2,1)="1"</f>
        <v>1</v>
      </c>
      <c r="I28" s="3" t="b">
        <f>MID(Table1[[#This Row],[03 - pump status (1)]],3,1)="1"</f>
        <v>0</v>
      </c>
      <c r="J28" s="3" t="b">
        <f>MID(Table1[[#This Row],[03 - pump status (1)]],4,1)="1"</f>
        <v>1</v>
      </c>
      <c r="K28" s="3" t="b">
        <f>MID(Table1[[#This Row],[03 - pump status (1)]],5,1)="1"</f>
        <v>0</v>
      </c>
      <c r="L28" s="3" t="b">
        <f>MID(Table1[[#This Row],[03 - pump status (1)]],6,1)="1"</f>
        <v>0</v>
      </c>
      <c r="M28" s="3" t="b">
        <f>MID(Table1[[#This Row],[03 - pump status (1)]],7,1)="1"</f>
        <v>0</v>
      </c>
      <c r="N28" s="3" t="b">
        <f>MID(Table1[[#This Row],[03 - pump status (1)]],8,1)="1"</f>
        <v>0</v>
      </c>
      <c r="O28" s="3" t="str">
        <f>MID(Table1[[#This Row],[statusRaw]],1+HEX2DEC(LEFT(O$1,2))*2, 8)</f>
        <v>00000000</v>
      </c>
      <c r="P28" s="3" t="str">
        <f>MID(Table1[[#This Row],[statusRaw]],1+HEX2DEC(LEFT(P$1,2))*2, 8)</f>
        <v>00000000</v>
      </c>
      <c r="Q28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28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28" s="3">
        <f>HEX2DEC(MID(Table1[[#This Row],[statusRaw]],1+HEX2DEC(LEFT(S$1,2))*2, 8))/10000</f>
        <v>0.7</v>
      </c>
      <c r="T28" s="3" t="str">
        <f>MID(Table1[[#This Row],[statusRaw]],1+HEX2DEC(LEFT(T$1,2))*2, 8)</f>
        <v>278A4116</v>
      </c>
      <c r="U28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28" s="3" t="str">
        <f>HEX2BIN(MID(Table1[[#This Row],[statusRaw]],1+HEX2DEC(LEFT(V$1,2))*2, 2),8) &amp; " 0x" &amp;MID(Table1[[#This Row],[statusRaw]],1+HEX2DEC(LEFT(V$1,2))*2, 2)</f>
        <v>00000001 0x01</v>
      </c>
      <c r="W28" s="3">
        <f>HEX2DEC(MID(Table1[[#This Row],[statusRaw]],1+HEX2DEC(LEFT(W$1,2))*2, 8))/10000</f>
        <v>0.6</v>
      </c>
      <c r="X28" s="3">
        <f>HEX2DEC(MID(Table1[[#This Row],[statusRaw]],1+HEX2DEC(LEFT(X$1,2))*2, 8))/10000</f>
        <v>0</v>
      </c>
      <c r="Y28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28" s="3">
        <f>HEX2DEC(MID(Table1[[#This Row],[statusRaw]],1+HEX2DEC(LEFT(Z$1,2))*2, 8))/10000</f>
        <v>11.475</v>
      </c>
      <c r="AA28" s="3">
        <f>HEX2DEC(MID(Table1[[#This Row],[statusRaw]],1+HEX2DEC(LEFT(AA$1,2))*2, 2))</f>
        <v>50</v>
      </c>
      <c r="AB28" s="3">
        <f>HEX2DEC(MID(Table1[[#This Row],[statusRaw]],1+HEX2DEC(LEFT(AB$1,2))*2, 8))/10000</f>
        <v>215.55</v>
      </c>
      <c r="AC28" s="3">
        <f>HEX2DEC(MID(Table1[[#This Row],[statusRaw]],1+HEX2DEC(LEFT(AC$1,2))*2, 2))</f>
        <v>25</v>
      </c>
      <c r="AD28" s="3">
        <f>HEX2DEC(MID(Table1[[#This Row],[statusRaw]],1+HEX2DEC(LEFT(AD$1,2))*2, 2))</f>
        <v>0</v>
      </c>
      <c r="AE28" s="3">
        <f>HEX2DEC(MID(Table1[[#This Row],[statusRaw]],1+HEX2DEC(LEFT(AE$1,2))*2, 8))/10000</f>
        <v>0.7</v>
      </c>
      <c r="AF28" s="3">
        <f>IF(AND(Table1[[#This Row],[cgm]],NOT(Table1[[#This Row],[35 - SGV special bit (2)]])), _xlfn.BITAND(HEX2DEC(MID(Table1[[#This Row],[statusRaw]],1+HEX2DEC(LEFT(AF$1,2))*2, 4)),HEX2DEC("1FF")),"")</f>
        <v>175</v>
      </c>
      <c r="AG28" s="3" t="b">
        <f>_xlfn.BITAND(HEX2DEC(MID(Table1[[#This Row],[statusRaw]],1+HEX2DEC(LEFT(AG$1,2))*2, 4)),512)=512</f>
        <v>0</v>
      </c>
      <c r="AH28" s="3" t="str">
        <f>MID(Table1[[#This Row],[statusRaw]],1+HEX2DEC(LEFT(AF$1,2))*2, 8)</f>
        <v>00AF8674</v>
      </c>
      <c r="AI28" s="3" t="str">
        <f>MID(Table1[[#This Row],[statusRaw]],1+HEX2DEC(LEFT(AH$1,2))*2, 8)</f>
        <v>867453AB</v>
      </c>
      <c r="AJ28" s="3" t="str">
        <f>HEX2BIN(MID(Table1[[#This Row],[statusRaw]],1+HEX2DEC(LEFT(AJ$1,2))*2, 2),8) &amp; " 0x" &amp;MID(Table1[[#This Row],[statusRaw]],1+HEX2DEC(LEFT(AJ$1,2))*2, 2)</f>
        <v>00000000 0x00</v>
      </c>
      <c r="AK28" s="1" t="str">
        <f>HEX2BIN(MID(Table1[[#This Row],[statusRaw]],1+HEX2DEC(LEFT(AK$1,2))*2, 2),8) &amp; " 0x" &amp;MID(Table1[[#This Row],[statusRaw]],1+HEX2DEC(LEFT(AK$1,2))*2, 2)</f>
        <v>01000000 0x40</v>
      </c>
      <c r="AL28" s="1" t="str">
        <f>VLOOKUP(Table1[[#This Row],[40 trend]],'Arrow status mapping'!$A$1:$B$8,2,FALSE)</f>
        <v>1 arrows down</v>
      </c>
      <c r="AM28" s="3" t="str">
        <f>HEX2BIN(MID(Table1[[#This Row],[statusRaw]],1+HEX2DEC(LEFT(AM$1,2))*2, 2),8) &amp; " 0x" &amp;MID(Table1[[#This Row],[statusRaw]],1+HEX2DEC(LEFT(AM$1,2))*2, 2)</f>
        <v>00010000 0x10</v>
      </c>
      <c r="AN28" s="3" t="str">
        <f>HEX2BIN(MID(Table1[[#This Row],[statusRaw]],1+HEX2DEC(LEFT(AN$1,2))*2, 2),8) &amp; " 0x" &amp;MID(Table1[[#This Row],[statusRaw]],1+HEX2DEC(LEFT(AN$1,2))*2, 2)</f>
        <v>00000000 0x00</v>
      </c>
      <c r="AO28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0x008C 140</v>
      </c>
      <c r="AP28" s="1" t="str">
        <f>HEX2BIN(MID(Table1[[#This Row],[statusRaw]],1+HEX2DEC(LEFT(AP$1,2))*2, 2),8) &amp; " 0x" &amp;MID(Table1[[#This Row],[statusRaw]],1+HEX2DEC(LEFT(AP$1,2))*2, 2)</f>
        <v>00101010 0x2A</v>
      </c>
      <c r="AQ28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0xFF4E -178</v>
      </c>
      <c r="AR28" s="3">
        <f>TRUNC(_xlfn.NUMBERVALUE(RIGHT(Table1[[#This Row],[46 rate of change (2)]],LEN(Table1[[#This Row],[46 rate of change (2)]])-7))/100)</f>
        <v>-1</v>
      </c>
      <c r="AS28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down</v>
      </c>
      <c r="AT28" s="3" t="b">
        <f>Table1[[#This Row],[calc arrow]]=Table1[[#This Row],[trend]]</f>
        <v>1</v>
      </c>
      <c r="AU28" s="3" t="str">
        <f>HEX2BIN(MID(Table1[[#This Row],[statusRaw]],1+HEX2DEC(LEFT(AU$1,2))*2, 2),8) &amp; " 0x" &amp;MID(Table1[[#This Row],[statusRaw]],1+HEX2DEC(LEFT(AU$1,2))*2, 2)</f>
        <v>00000000 0x00</v>
      </c>
      <c r="AV28" s="3">
        <f>HEX2DEC(MID(Table1[[#This Row],[statusRaw]],1+HEX2DEC(LEFT(AV$1,2))*2, 4))</f>
        <v>0</v>
      </c>
      <c r="AW28" s="3" t="str">
        <f>HEX2BIN(MID(Table1[[#This Row],[statusRaw]],1+HEX2DEC(LEFT(AW$1,2))*2, 2),8) &amp; " 0x" &amp;MID(Table1[[#This Row],[statusRaw]],1+HEX2DEC(LEFT(AW$1,2))*2, 2)</f>
        <v>00000000 0x00</v>
      </c>
      <c r="AX28" s="3" t="str">
        <f>HEX2BIN(MID(Table1[[#This Row],[statusRaw]],1+HEX2DEC(LEFT(AX$1,2))*2, 2),8) &amp; " 0x" &amp;MID(Table1[[#This Row],[statusRaw]],1+HEX2DEC(LEFT(AX$1,2))*2, 2)</f>
        <v>00000000 0x00</v>
      </c>
      <c r="AY28" s="3" t="str">
        <f>MID(Table1[[#This Row],[statusRaw]],1+HEX2DEC(LEFT(AY$1,2))*2, 8)</f>
        <v>00000000</v>
      </c>
      <c r="AZ28" s="3" t="str">
        <f>MID(Table1[[#This Row],[statusRaw]],1+HEX2DEC(LEFT(AZ$1,2))*2, 8)</f>
        <v>00000000</v>
      </c>
      <c r="BA28" s="3" t="str">
        <f>HEX2BIN(MID(Table1[[#This Row],[statusRaw]],1+HEX2DEC(LEFT(BA$1,2))*2, 2),8) &amp; " 0x" &amp;MID(Table1[[#This Row],[statusRaw]],1+HEX2DEC(LEFT(BA$1,2))*2, 2)</f>
        <v>00000000 0x00</v>
      </c>
      <c r="BB28" s="3" t="str">
        <f>HEX2BIN(MID(Table1[[#This Row],[statusRaw]],1+HEX2DEC(LEFT(BB$1,2))*2, 2),8) &amp; " 0x" &amp;MID(Table1[[#This Row],[statusRaw]],1+HEX2DEC(LEFT(BB$1,2))*2, 2)</f>
        <v>00000000 0x00</v>
      </c>
      <c r="BC28" s="3" t="str">
        <f>HEX2BIN(MID(Table1[[#This Row],[statusRaw]],1+HEX2DEC(LEFT(BC$1,2))*2, 2),8) &amp; " 0x" &amp;MID(Table1[[#This Row],[statusRaw]],1+HEX2DEC(LEFT(BC$1,2))*2, 2)</f>
        <v>00000000 0x00</v>
      </c>
      <c r="BD28" s="3" t="str">
        <f>MID(Table1[[#This Row],[statusRaw]],1+HEX2DEC(LEFT(BD$1,2))*2, 8)</f>
        <v>000008C7</v>
      </c>
      <c r="BE28" s="3" t="str">
        <f>MID(Table1[[#This Row],[statusRaw]],1+HEX2DEC(LEFT(BE$1,2))*2, 8)</f>
        <v>000008C7</v>
      </c>
      <c r="BF28" s="9"/>
    </row>
    <row r="29" spans="1:58" x14ac:dyDescent="0.25">
      <c r="A29" s="1" t="s">
        <v>87</v>
      </c>
      <c r="B29" s="1" t="s">
        <v>88</v>
      </c>
      <c r="C29" s="1" t="s">
        <v>7</v>
      </c>
      <c r="D29" s="1" t="s">
        <v>89</v>
      </c>
      <c r="E29" s="1">
        <v>22</v>
      </c>
      <c r="F29" s="3" t="str">
        <f>HEX2BIN(MID(Table1[[#This Row],[statusRaw]],1+HEX2DEC(LEFT(F$1,2))*2, 2),8) &amp; " 0x" &amp;MID(Table1[[#This Row],[statusRaw]],1+HEX2DEC(LEFT(F$1,2))*2, 2)</f>
        <v>01010000 0x50</v>
      </c>
      <c r="G29" s="3" t="b">
        <f>MID(Table1[[#This Row],[03 - pump status (1)]],1,1)="1"</f>
        <v>0</v>
      </c>
      <c r="H29" s="3" t="b">
        <f>MID(Table1[[#This Row],[03 - pump status (1)]],2,1)="1"</f>
        <v>1</v>
      </c>
      <c r="I29" s="3" t="b">
        <f>MID(Table1[[#This Row],[03 - pump status (1)]],3,1)="1"</f>
        <v>0</v>
      </c>
      <c r="J29" s="3" t="b">
        <f>MID(Table1[[#This Row],[03 - pump status (1)]],4,1)="1"</f>
        <v>1</v>
      </c>
      <c r="K29" s="3" t="b">
        <f>MID(Table1[[#This Row],[03 - pump status (1)]],5,1)="1"</f>
        <v>0</v>
      </c>
      <c r="L29" s="3" t="b">
        <f>MID(Table1[[#This Row],[03 - pump status (1)]],6,1)="1"</f>
        <v>0</v>
      </c>
      <c r="M29" s="3" t="b">
        <f>MID(Table1[[#This Row],[03 - pump status (1)]],7,1)="1"</f>
        <v>0</v>
      </c>
      <c r="N29" s="3" t="b">
        <f>MID(Table1[[#This Row],[03 - pump status (1)]],8,1)="1"</f>
        <v>0</v>
      </c>
      <c r="O29" s="3" t="str">
        <f>MID(Table1[[#This Row],[statusRaw]],1+HEX2DEC(LEFT(O$1,2))*2, 8)</f>
        <v>00000000</v>
      </c>
      <c r="P29" s="3" t="str">
        <f>MID(Table1[[#This Row],[statusRaw]],1+HEX2DEC(LEFT(P$1,2))*2, 8)</f>
        <v>00000000</v>
      </c>
      <c r="Q29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29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29" s="3">
        <f>HEX2DEC(MID(Table1[[#This Row],[statusRaw]],1+HEX2DEC(LEFT(S$1,2))*2, 8))/10000</f>
        <v>0.7</v>
      </c>
      <c r="T29" s="3" t="str">
        <f>MID(Table1[[#This Row],[statusRaw]],1+HEX2DEC(LEFT(T$1,2))*2, 8)</f>
        <v>278A4116</v>
      </c>
      <c r="U29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29" s="3" t="str">
        <f>HEX2BIN(MID(Table1[[#This Row],[statusRaw]],1+HEX2DEC(LEFT(V$1,2))*2, 2),8) &amp; " 0x" &amp;MID(Table1[[#This Row],[statusRaw]],1+HEX2DEC(LEFT(V$1,2))*2, 2)</f>
        <v>00000001 0x01</v>
      </c>
      <c r="W29" s="3">
        <f>HEX2DEC(MID(Table1[[#This Row],[statusRaw]],1+HEX2DEC(LEFT(W$1,2))*2, 8))/10000</f>
        <v>0.6</v>
      </c>
      <c r="X29" s="3">
        <f>HEX2DEC(MID(Table1[[#This Row],[statusRaw]],1+HEX2DEC(LEFT(X$1,2))*2, 8))/10000</f>
        <v>0</v>
      </c>
      <c r="Y29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29" s="3">
        <f>HEX2DEC(MID(Table1[[#This Row],[statusRaw]],1+HEX2DEC(LEFT(Z$1,2))*2, 8))/10000</f>
        <v>11.425000000000001</v>
      </c>
      <c r="AA29" s="3">
        <f>HEX2DEC(MID(Table1[[#This Row],[statusRaw]],1+HEX2DEC(LEFT(AA$1,2))*2, 2))</f>
        <v>50</v>
      </c>
      <c r="AB29" s="3">
        <f>HEX2DEC(MID(Table1[[#This Row],[statusRaw]],1+HEX2DEC(LEFT(AB$1,2))*2, 8))/10000</f>
        <v>215.6</v>
      </c>
      <c r="AC29" s="3">
        <f>HEX2DEC(MID(Table1[[#This Row],[statusRaw]],1+HEX2DEC(LEFT(AC$1,2))*2, 2))</f>
        <v>25</v>
      </c>
      <c r="AD29" s="3">
        <f>HEX2DEC(MID(Table1[[#This Row],[statusRaw]],1+HEX2DEC(LEFT(AD$1,2))*2, 2))</f>
        <v>0</v>
      </c>
      <c r="AE29" s="3">
        <f>HEX2DEC(MID(Table1[[#This Row],[statusRaw]],1+HEX2DEC(LEFT(AE$1,2))*2, 8))/10000</f>
        <v>0.7</v>
      </c>
      <c r="AF29" s="3">
        <f>IF(AND(Table1[[#This Row],[cgm]],NOT(Table1[[#This Row],[35 - SGV special bit (2)]])), _xlfn.BITAND(HEX2DEC(MID(Table1[[#This Row],[statusRaw]],1+HEX2DEC(LEFT(AF$1,2))*2, 4)),HEX2DEC("1FF")),"")</f>
        <v>185</v>
      </c>
      <c r="AG29" s="3" t="b">
        <f>_xlfn.BITAND(HEX2DEC(MID(Table1[[#This Row],[statusRaw]],1+HEX2DEC(LEFT(AG$1,2))*2, 4)),512)=512</f>
        <v>0</v>
      </c>
      <c r="AH29" s="3" t="str">
        <f>MID(Table1[[#This Row],[statusRaw]],1+HEX2DEC(LEFT(AF$1,2))*2, 8)</f>
        <v>00B98674</v>
      </c>
      <c r="AI29" s="3" t="str">
        <f>MID(Table1[[#This Row],[statusRaw]],1+HEX2DEC(LEFT(AH$1,2))*2, 8)</f>
        <v>8674527F</v>
      </c>
      <c r="AJ29" s="3" t="str">
        <f>HEX2BIN(MID(Table1[[#This Row],[statusRaw]],1+HEX2DEC(LEFT(AJ$1,2))*2, 2),8) &amp; " 0x" &amp;MID(Table1[[#This Row],[statusRaw]],1+HEX2DEC(LEFT(AJ$1,2))*2, 2)</f>
        <v>00000000 0x00</v>
      </c>
      <c r="AK29" s="1" t="str">
        <f>HEX2BIN(MID(Table1[[#This Row],[statusRaw]],1+HEX2DEC(LEFT(AK$1,2))*2, 2),8) &amp; " 0x" &amp;MID(Table1[[#This Row],[statusRaw]],1+HEX2DEC(LEFT(AK$1,2))*2, 2)</f>
        <v>01100000 0x60</v>
      </c>
      <c r="AL29" s="1" t="str">
        <f>VLOOKUP(Table1[[#This Row],[40 trend]],'Arrow status mapping'!$A$1:$B$8,2,FALSE)</f>
        <v>No arrows</v>
      </c>
      <c r="AM29" s="3" t="str">
        <f>HEX2BIN(MID(Table1[[#This Row],[statusRaw]],1+HEX2DEC(LEFT(AM$1,2))*2, 2),8) &amp; " 0x" &amp;MID(Table1[[#This Row],[statusRaw]],1+HEX2DEC(LEFT(AM$1,2))*2, 2)</f>
        <v>00010000 0x10</v>
      </c>
      <c r="AN29" s="3" t="str">
        <f>HEX2BIN(MID(Table1[[#This Row],[statusRaw]],1+HEX2DEC(LEFT(AN$1,2))*2, 2),8) &amp; " 0x" &amp;MID(Table1[[#This Row],[statusRaw]],1+HEX2DEC(LEFT(AN$1,2))*2, 2)</f>
        <v>00000000 0x00</v>
      </c>
      <c r="AO29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0x0091 145</v>
      </c>
      <c r="AP29" s="1" t="str">
        <f>HEX2BIN(MID(Table1[[#This Row],[statusRaw]],1+HEX2DEC(LEFT(AP$1,2))*2, 2),8) &amp; " 0x" &amp;MID(Table1[[#This Row],[statusRaw]],1+HEX2DEC(LEFT(AP$1,2))*2, 2)</f>
        <v>00101010 0x2A</v>
      </c>
      <c r="AQ29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0xFFD5 -43</v>
      </c>
      <c r="AR29" s="3">
        <f>TRUNC(_xlfn.NUMBERVALUE(RIGHT(Table1[[#This Row],[46 rate of change (2)]],LEN(Table1[[#This Row],[46 rate of change (2)]])-7))/100)</f>
        <v>0</v>
      </c>
      <c r="AS29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29" s="3" t="b">
        <f>Table1[[#This Row],[calc arrow]]=Table1[[#This Row],[trend]]</f>
        <v>1</v>
      </c>
      <c r="AU29" s="3" t="str">
        <f>HEX2BIN(MID(Table1[[#This Row],[statusRaw]],1+HEX2DEC(LEFT(AU$1,2))*2, 2),8) &amp; " 0x" &amp;MID(Table1[[#This Row],[statusRaw]],1+HEX2DEC(LEFT(AU$1,2))*2, 2)</f>
        <v>00000000 0x00</v>
      </c>
      <c r="AV29" s="3">
        <f>HEX2DEC(MID(Table1[[#This Row],[statusRaw]],1+HEX2DEC(LEFT(AV$1,2))*2, 4))</f>
        <v>0</v>
      </c>
      <c r="AW29" s="3" t="str">
        <f>HEX2BIN(MID(Table1[[#This Row],[statusRaw]],1+HEX2DEC(LEFT(AW$1,2))*2, 2),8) &amp; " 0x" &amp;MID(Table1[[#This Row],[statusRaw]],1+HEX2DEC(LEFT(AW$1,2))*2, 2)</f>
        <v>00000000 0x00</v>
      </c>
      <c r="AX29" s="3" t="str">
        <f>HEX2BIN(MID(Table1[[#This Row],[statusRaw]],1+HEX2DEC(LEFT(AX$1,2))*2, 2),8) &amp; " 0x" &amp;MID(Table1[[#This Row],[statusRaw]],1+HEX2DEC(LEFT(AX$1,2))*2, 2)</f>
        <v>00000000 0x00</v>
      </c>
      <c r="AY29" s="3" t="str">
        <f>MID(Table1[[#This Row],[statusRaw]],1+HEX2DEC(LEFT(AY$1,2))*2, 8)</f>
        <v>00000000</v>
      </c>
      <c r="AZ29" s="3" t="str">
        <f>MID(Table1[[#This Row],[statusRaw]],1+HEX2DEC(LEFT(AZ$1,2))*2, 8)</f>
        <v>00000000</v>
      </c>
      <c r="BA29" s="3" t="str">
        <f>HEX2BIN(MID(Table1[[#This Row],[statusRaw]],1+HEX2DEC(LEFT(BA$1,2))*2, 2),8) &amp; " 0x" &amp;MID(Table1[[#This Row],[statusRaw]],1+HEX2DEC(LEFT(BA$1,2))*2, 2)</f>
        <v>00000000 0x00</v>
      </c>
      <c r="BB29" s="3" t="str">
        <f>HEX2BIN(MID(Table1[[#This Row],[statusRaw]],1+HEX2DEC(LEFT(BB$1,2))*2, 2),8) &amp; " 0x" &amp;MID(Table1[[#This Row],[statusRaw]],1+HEX2DEC(LEFT(BB$1,2))*2, 2)</f>
        <v>00000000 0x00</v>
      </c>
      <c r="BC29" s="3" t="str">
        <f>HEX2BIN(MID(Table1[[#This Row],[statusRaw]],1+HEX2DEC(LEFT(BC$1,2))*2, 2),8) &amp; " 0x" &amp;MID(Table1[[#This Row],[statusRaw]],1+HEX2DEC(LEFT(BC$1,2))*2, 2)</f>
        <v>00000000 0x00</v>
      </c>
      <c r="BD29" s="3" t="str">
        <f>MID(Table1[[#This Row],[statusRaw]],1+HEX2DEC(LEFT(BD$1,2))*2, 8)</f>
        <v>000008C7</v>
      </c>
      <c r="BE29" s="3" t="str">
        <f>MID(Table1[[#This Row],[statusRaw]],1+HEX2DEC(LEFT(BE$1,2))*2, 8)</f>
        <v>000008C7</v>
      </c>
      <c r="BF29" s="9"/>
    </row>
    <row r="30" spans="1:58" x14ac:dyDescent="0.25">
      <c r="A30" s="1" t="s">
        <v>90</v>
      </c>
      <c r="B30" s="1" t="s">
        <v>91</v>
      </c>
      <c r="C30" s="1" t="s">
        <v>7</v>
      </c>
      <c r="D30" s="1" t="s">
        <v>92</v>
      </c>
      <c r="E30" s="1">
        <v>22</v>
      </c>
      <c r="F30" s="3" t="str">
        <f>HEX2BIN(MID(Table1[[#This Row],[statusRaw]],1+HEX2DEC(LEFT(F$1,2))*2, 2),8) &amp; " 0x" &amp;MID(Table1[[#This Row],[statusRaw]],1+HEX2DEC(LEFT(F$1,2))*2, 2)</f>
        <v>01010000 0x50</v>
      </c>
      <c r="G30" s="3" t="b">
        <f>MID(Table1[[#This Row],[03 - pump status (1)]],1,1)="1"</f>
        <v>0</v>
      </c>
      <c r="H30" s="3" t="b">
        <f>MID(Table1[[#This Row],[03 - pump status (1)]],2,1)="1"</f>
        <v>1</v>
      </c>
      <c r="I30" s="3" t="b">
        <f>MID(Table1[[#This Row],[03 - pump status (1)]],3,1)="1"</f>
        <v>0</v>
      </c>
      <c r="J30" s="3" t="b">
        <f>MID(Table1[[#This Row],[03 - pump status (1)]],4,1)="1"</f>
        <v>1</v>
      </c>
      <c r="K30" s="3" t="b">
        <f>MID(Table1[[#This Row],[03 - pump status (1)]],5,1)="1"</f>
        <v>0</v>
      </c>
      <c r="L30" s="3" t="b">
        <f>MID(Table1[[#This Row],[03 - pump status (1)]],6,1)="1"</f>
        <v>0</v>
      </c>
      <c r="M30" s="3" t="b">
        <f>MID(Table1[[#This Row],[03 - pump status (1)]],7,1)="1"</f>
        <v>0</v>
      </c>
      <c r="N30" s="3" t="b">
        <f>MID(Table1[[#This Row],[03 - pump status (1)]],8,1)="1"</f>
        <v>0</v>
      </c>
      <c r="O30" s="3" t="str">
        <f>MID(Table1[[#This Row],[statusRaw]],1+HEX2DEC(LEFT(O$1,2))*2, 8)</f>
        <v>00000000</v>
      </c>
      <c r="P30" s="3" t="str">
        <f>MID(Table1[[#This Row],[statusRaw]],1+HEX2DEC(LEFT(P$1,2))*2, 8)</f>
        <v>00000000</v>
      </c>
      <c r="Q30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30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30" s="3">
        <f>HEX2DEC(MID(Table1[[#This Row],[statusRaw]],1+HEX2DEC(LEFT(S$1,2))*2, 8))/10000</f>
        <v>0.7</v>
      </c>
      <c r="T30" s="3" t="str">
        <f>MID(Table1[[#This Row],[statusRaw]],1+HEX2DEC(LEFT(T$1,2))*2, 8)</f>
        <v>278A4116</v>
      </c>
      <c r="U30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30" s="3" t="str">
        <f>HEX2BIN(MID(Table1[[#This Row],[statusRaw]],1+HEX2DEC(LEFT(V$1,2))*2, 2),8) &amp; " 0x" &amp;MID(Table1[[#This Row],[statusRaw]],1+HEX2DEC(LEFT(V$1,2))*2, 2)</f>
        <v>00000001 0x01</v>
      </c>
      <c r="W30" s="3">
        <f>HEX2DEC(MID(Table1[[#This Row],[statusRaw]],1+HEX2DEC(LEFT(W$1,2))*2, 8))/10000</f>
        <v>0.6</v>
      </c>
      <c r="X30" s="3">
        <f>HEX2DEC(MID(Table1[[#This Row],[statusRaw]],1+HEX2DEC(LEFT(X$1,2))*2, 8))/10000</f>
        <v>0</v>
      </c>
      <c r="Y30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30" s="3">
        <f>HEX2DEC(MID(Table1[[#This Row],[statusRaw]],1+HEX2DEC(LEFT(Z$1,2))*2, 8))/10000</f>
        <v>11.375</v>
      </c>
      <c r="AA30" s="3">
        <f>HEX2DEC(MID(Table1[[#This Row],[statusRaw]],1+HEX2DEC(LEFT(AA$1,2))*2, 2))</f>
        <v>50</v>
      </c>
      <c r="AB30" s="3">
        <f>HEX2DEC(MID(Table1[[#This Row],[statusRaw]],1+HEX2DEC(LEFT(AB$1,2))*2, 8))/10000</f>
        <v>215.65</v>
      </c>
      <c r="AC30" s="3">
        <f>HEX2DEC(MID(Table1[[#This Row],[statusRaw]],1+HEX2DEC(LEFT(AC$1,2))*2, 2))</f>
        <v>25</v>
      </c>
      <c r="AD30" s="3">
        <f>HEX2DEC(MID(Table1[[#This Row],[statusRaw]],1+HEX2DEC(LEFT(AD$1,2))*2, 2))</f>
        <v>0</v>
      </c>
      <c r="AE30" s="3">
        <f>HEX2DEC(MID(Table1[[#This Row],[statusRaw]],1+HEX2DEC(LEFT(AE$1,2))*2, 8))/10000</f>
        <v>0.8</v>
      </c>
      <c r="AF30" s="3">
        <f>IF(AND(Table1[[#This Row],[cgm]],NOT(Table1[[#This Row],[35 - SGV special bit (2)]])), _xlfn.BITAND(HEX2DEC(MID(Table1[[#This Row],[statusRaw]],1+HEX2DEC(LEFT(AF$1,2))*2, 4)),HEX2DEC("1FF")),"")</f>
        <v>195</v>
      </c>
      <c r="AG30" s="3" t="b">
        <f>_xlfn.BITAND(HEX2DEC(MID(Table1[[#This Row],[statusRaw]],1+HEX2DEC(LEFT(AG$1,2))*2, 4)),512)=512</f>
        <v>0</v>
      </c>
      <c r="AH30" s="3" t="str">
        <f>MID(Table1[[#This Row],[statusRaw]],1+HEX2DEC(LEFT(AF$1,2))*2, 8)</f>
        <v>00C38674</v>
      </c>
      <c r="AI30" s="3" t="str">
        <f>MID(Table1[[#This Row],[statusRaw]],1+HEX2DEC(LEFT(AH$1,2))*2, 8)</f>
        <v>86745153</v>
      </c>
      <c r="AJ30" s="3" t="str">
        <f>HEX2BIN(MID(Table1[[#This Row],[statusRaw]],1+HEX2DEC(LEFT(AJ$1,2))*2, 2),8) &amp; " 0x" &amp;MID(Table1[[#This Row],[statusRaw]],1+HEX2DEC(LEFT(AJ$1,2))*2, 2)</f>
        <v>00000000 0x00</v>
      </c>
      <c r="AK30" s="1" t="str">
        <f>HEX2BIN(MID(Table1[[#This Row],[statusRaw]],1+HEX2DEC(LEFT(AK$1,2))*2, 2),8) &amp; " 0x" &amp;MID(Table1[[#This Row],[statusRaw]],1+HEX2DEC(LEFT(AK$1,2))*2, 2)</f>
        <v>01100000 0x60</v>
      </c>
      <c r="AL30" s="1" t="str">
        <f>VLOOKUP(Table1[[#This Row],[40 trend]],'Arrow status mapping'!$A$1:$B$8,2,FALSE)</f>
        <v>No arrows</v>
      </c>
      <c r="AM30" s="3" t="str">
        <f>HEX2BIN(MID(Table1[[#This Row],[statusRaw]],1+HEX2DEC(LEFT(AM$1,2))*2, 2),8) &amp; " 0x" &amp;MID(Table1[[#This Row],[statusRaw]],1+HEX2DEC(LEFT(AM$1,2))*2, 2)</f>
        <v>00010000 0x10</v>
      </c>
      <c r="AN30" s="3" t="str">
        <f>HEX2BIN(MID(Table1[[#This Row],[statusRaw]],1+HEX2DEC(LEFT(AN$1,2))*2, 2),8) &amp; " 0x" &amp;MID(Table1[[#This Row],[statusRaw]],1+HEX2DEC(LEFT(AN$1,2))*2, 2)</f>
        <v>00000000 0x00</v>
      </c>
      <c r="AO30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0x0096 150</v>
      </c>
      <c r="AP30" s="1" t="str">
        <f>HEX2BIN(MID(Table1[[#This Row],[statusRaw]],1+HEX2DEC(LEFT(AP$1,2))*2, 2),8) &amp; " 0x" &amp;MID(Table1[[#This Row],[statusRaw]],1+HEX2DEC(LEFT(AP$1,2))*2, 2)</f>
        <v>00101010 0x2A</v>
      </c>
      <c r="AQ30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30" s="3">
        <f>TRUNC(_xlfn.NUMBERVALUE(RIGHT(Table1[[#This Row],[46 rate of change (2)]],LEN(Table1[[#This Row],[46 rate of change (2)]])-7))/100)</f>
        <v>0</v>
      </c>
      <c r="AS30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30" s="3" t="b">
        <f>Table1[[#This Row],[calc arrow]]=Table1[[#This Row],[trend]]</f>
        <v>1</v>
      </c>
      <c r="AU30" s="3" t="str">
        <f>HEX2BIN(MID(Table1[[#This Row],[statusRaw]],1+HEX2DEC(LEFT(AU$1,2))*2, 2),8) &amp; " 0x" &amp;MID(Table1[[#This Row],[statusRaw]],1+HEX2DEC(LEFT(AU$1,2))*2, 2)</f>
        <v>00000000 0x00</v>
      </c>
      <c r="AV30" s="3">
        <f>HEX2DEC(MID(Table1[[#This Row],[statusRaw]],1+HEX2DEC(LEFT(AV$1,2))*2, 4))</f>
        <v>0</v>
      </c>
      <c r="AW30" s="3" t="str">
        <f>HEX2BIN(MID(Table1[[#This Row],[statusRaw]],1+HEX2DEC(LEFT(AW$1,2))*2, 2),8) &amp; " 0x" &amp;MID(Table1[[#This Row],[statusRaw]],1+HEX2DEC(LEFT(AW$1,2))*2, 2)</f>
        <v>00000000 0x00</v>
      </c>
      <c r="AX30" s="3" t="str">
        <f>HEX2BIN(MID(Table1[[#This Row],[statusRaw]],1+HEX2DEC(LEFT(AX$1,2))*2, 2),8) &amp; " 0x" &amp;MID(Table1[[#This Row],[statusRaw]],1+HEX2DEC(LEFT(AX$1,2))*2, 2)</f>
        <v>00000000 0x00</v>
      </c>
      <c r="AY30" s="3" t="str">
        <f>MID(Table1[[#This Row],[statusRaw]],1+HEX2DEC(LEFT(AY$1,2))*2, 8)</f>
        <v>00000000</v>
      </c>
      <c r="AZ30" s="3" t="str">
        <f>MID(Table1[[#This Row],[statusRaw]],1+HEX2DEC(LEFT(AZ$1,2))*2, 8)</f>
        <v>00000000</v>
      </c>
      <c r="BA30" s="3" t="str">
        <f>HEX2BIN(MID(Table1[[#This Row],[statusRaw]],1+HEX2DEC(LEFT(BA$1,2))*2, 2),8) &amp; " 0x" &amp;MID(Table1[[#This Row],[statusRaw]],1+HEX2DEC(LEFT(BA$1,2))*2, 2)</f>
        <v>00000000 0x00</v>
      </c>
      <c r="BB30" s="3" t="str">
        <f>HEX2BIN(MID(Table1[[#This Row],[statusRaw]],1+HEX2DEC(LEFT(BB$1,2))*2, 2),8) &amp; " 0x" &amp;MID(Table1[[#This Row],[statusRaw]],1+HEX2DEC(LEFT(BB$1,2))*2, 2)</f>
        <v>00000000 0x00</v>
      </c>
      <c r="BC30" s="3" t="str">
        <f>HEX2BIN(MID(Table1[[#This Row],[statusRaw]],1+HEX2DEC(LEFT(BC$1,2))*2, 2),8) &amp; " 0x" &amp;MID(Table1[[#This Row],[statusRaw]],1+HEX2DEC(LEFT(BC$1,2))*2, 2)</f>
        <v>00000000 0x00</v>
      </c>
      <c r="BD30" s="3" t="str">
        <f>MID(Table1[[#This Row],[statusRaw]],1+HEX2DEC(LEFT(BD$1,2))*2, 8)</f>
        <v>000008C7</v>
      </c>
      <c r="BE30" s="3" t="str">
        <f>MID(Table1[[#This Row],[statusRaw]],1+HEX2DEC(LEFT(BE$1,2))*2, 8)</f>
        <v>000008C7</v>
      </c>
      <c r="BF30" s="9"/>
    </row>
    <row r="31" spans="1:58" x14ac:dyDescent="0.25">
      <c r="A31" s="1" t="s">
        <v>93</v>
      </c>
      <c r="B31" s="1" t="s">
        <v>94</v>
      </c>
      <c r="C31" s="1" t="s">
        <v>7</v>
      </c>
      <c r="D31" s="1" t="s">
        <v>95</v>
      </c>
      <c r="E31" s="1">
        <v>22</v>
      </c>
      <c r="F31" s="3" t="str">
        <f>HEX2BIN(MID(Table1[[#This Row],[statusRaw]],1+HEX2DEC(LEFT(F$1,2))*2, 2),8) &amp; " 0x" &amp;MID(Table1[[#This Row],[statusRaw]],1+HEX2DEC(LEFT(F$1,2))*2, 2)</f>
        <v>01010000 0x50</v>
      </c>
      <c r="G31" s="3" t="b">
        <f>MID(Table1[[#This Row],[03 - pump status (1)]],1,1)="1"</f>
        <v>0</v>
      </c>
      <c r="H31" s="3" t="b">
        <f>MID(Table1[[#This Row],[03 - pump status (1)]],2,1)="1"</f>
        <v>1</v>
      </c>
      <c r="I31" s="3" t="b">
        <f>MID(Table1[[#This Row],[03 - pump status (1)]],3,1)="1"</f>
        <v>0</v>
      </c>
      <c r="J31" s="3" t="b">
        <f>MID(Table1[[#This Row],[03 - pump status (1)]],4,1)="1"</f>
        <v>1</v>
      </c>
      <c r="K31" s="3" t="b">
        <f>MID(Table1[[#This Row],[03 - pump status (1)]],5,1)="1"</f>
        <v>0</v>
      </c>
      <c r="L31" s="3" t="b">
        <f>MID(Table1[[#This Row],[03 - pump status (1)]],6,1)="1"</f>
        <v>0</v>
      </c>
      <c r="M31" s="3" t="b">
        <f>MID(Table1[[#This Row],[03 - pump status (1)]],7,1)="1"</f>
        <v>0</v>
      </c>
      <c r="N31" s="3" t="b">
        <f>MID(Table1[[#This Row],[03 - pump status (1)]],8,1)="1"</f>
        <v>0</v>
      </c>
      <c r="O31" s="3" t="str">
        <f>MID(Table1[[#This Row],[statusRaw]],1+HEX2DEC(LEFT(O$1,2))*2, 8)</f>
        <v>00000000</v>
      </c>
      <c r="P31" s="3" t="str">
        <f>MID(Table1[[#This Row],[statusRaw]],1+HEX2DEC(LEFT(P$1,2))*2, 8)</f>
        <v>00000000</v>
      </c>
      <c r="Q31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31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31" s="3">
        <f>HEX2DEC(MID(Table1[[#This Row],[statusRaw]],1+HEX2DEC(LEFT(S$1,2))*2, 8))/10000</f>
        <v>0.7</v>
      </c>
      <c r="T31" s="3" t="str">
        <f>MID(Table1[[#This Row],[statusRaw]],1+HEX2DEC(LEFT(T$1,2))*2, 8)</f>
        <v>278A4116</v>
      </c>
      <c r="U31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31" s="3" t="str">
        <f>HEX2BIN(MID(Table1[[#This Row],[statusRaw]],1+HEX2DEC(LEFT(V$1,2))*2, 2),8) &amp; " 0x" &amp;MID(Table1[[#This Row],[statusRaw]],1+HEX2DEC(LEFT(V$1,2))*2, 2)</f>
        <v>00000001 0x01</v>
      </c>
      <c r="W31" s="3">
        <f>HEX2DEC(MID(Table1[[#This Row],[statusRaw]],1+HEX2DEC(LEFT(W$1,2))*2, 8))/10000</f>
        <v>0.6</v>
      </c>
      <c r="X31" s="3">
        <f>HEX2DEC(MID(Table1[[#This Row],[statusRaw]],1+HEX2DEC(LEFT(X$1,2))*2, 8))/10000</f>
        <v>0</v>
      </c>
      <c r="Y31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31" s="3">
        <f>HEX2DEC(MID(Table1[[#This Row],[statusRaw]],1+HEX2DEC(LEFT(Z$1,2))*2, 8))/10000</f>
        <v>11.324999999999999</v>
      </c>
      <c r="AA31" s="3">
        <f>HEX2DEC(MID(Table1[[#This Row],[statusRaw]],1+HEX2DEC(LEFT(AA$1,2))*2, 2))</f>
        <v>50</v>
      </c>
      <c r="AB31" s="3">
        <f>HEX2DEC(MID(Table1[[#This Row],[statusRaw]],1+HEX2DEC(LEFT(AB$1,2))*2, 8))/10000</f>
        <v>215.7</v>
      </c>
      <c r="AC31" s="3">
        <f>HEX2DEC(MID(Table1[[#This Row],[statusRaw]],1+HEX2DEC(LEFT(AC$1,2))*2, 2))</f>
        <v>25</v>
      </c>
      <c r="AD31" s="3">
        <f>HEX2DEC(MID(Table1[[#This Row],[statusRaw]],1+HEX2DEC(LEFT(AD$1,2))*2, 2))</f>
        <v>0</v>
      </c>
      <c r="AE31" s="3">
        <f>HEX2DEC(MID(Table1[[#This Row],[statusRaw]],1+HEX2DEC(LEFT(AE$1,2))*2, 8))/10000</f>
        <v>0.8</v>
      </c>
      <c r="AF31" s="3">
        <f>IF(AND(Table1[[#This Row],[cgm]],NOT(Table1[[#This Row],[35 - SGV special bit (2)]])), _xlfn.BITAND(HEX2DEC(MID(Table1[[#This Row],[statusRaw]],1+HEX2DEC(LEFT(AF$1,2))*2, 4)),HEX2DEC("1FF")),"")</f>
        <v>197</v>
      </c>
      <c r="AG31" s="3" t="b">
        <f>_xlfn.BITAND(HEX2DEC(MID(Table1[[#This Row],[statusRaw]],1+HEX2DEC(LEFT(AG$1,2))*2, 4)),512)=512</f>
        <v>0</v>
      </c>
      <c r="AH31" s="3" t="str">
        <f>MID(Table1[[#This Row],[statusRaw]],1+HEX2DEC(LEFT(AF$1,2))*2, 8)</f>
        <v>00C58674</v>
      </c>
      <c r="AI31" s="3" t="str">
        <f>MID(Table1[[#This Row],[statusRaw]],1+HEX2DEC(LEFT(AH$1,2))*2, 8)</f>
        <v>86745027</v>
      </c>
      <c r="AJ31" s="3" t="str">
        <f>HEX2BIN(MID(Table1[[#This Row],[statusRaw]],1+HEX2DEC(LEFT(AJ$1,2))*2, 2),8) &amp; " 0x" &amp;MID(Table1[[#This Row],[statusRaw]],1+HEX2DEC(LEFT(AJ$1,2))*2, 2)</f>
        <v>00000000 0x00</v>
      </c>
      <c r="AK31" s="1" t="str">
        <f>HEX2BIN(MID(Table1[[#This Row],[statusRaw]],1+HEX2DEC(LEFT(AK$1,2))*2, 2),8) &amp; " 0x" &amp;MID(Table1[[#This Row],[statusRaw]],1+HEX2DEC(LEFT(AK$1,2))*2, 2)</f>
        <v>01100000 0x60</v>
      </c>
      <c r="AL31" s="1" t="str">
        <f>VLOOKUP(Table1[[#This Row],[40 trend]],'Arrow status mapping'!$A$1:$B$8,2,FALSE)</f>
        <v>No arrows</v>
      </c>
      <c r="AM31" s="3" t="str">
        <f>HEX2BIN(MID(Table1[[#This Row],[statusRaw]],1+HEX2DEC(LEFT(AM$1,2))*2, 2),8) &amp; " 0x" &amp;MID(Table1[[#This Row],[statusRaw]],1+HEX2DEC(LEFT(AM$1,2))*2, 2)</f>
        <v>00010000 0x10</v>
      </c>
      <c r="AN31" s="3" t="str">
        <f>HEX2BIN(MID(Table1[[#This Row],[statusRaw]],1+HEX2DEC(LEFT(AN$1,2))*2, 2),8) &amp; " 0x" &amp;MID(Table1[[#This Row],[statusRaw]],1+HEX2DEC(LEFT(AN$1,2))*2, 2)</f>
        <v>00000000 0x00</v>
      </c>
      <c r="AO31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0x009B 155</v>
      </c>
      <c r="AP31" s="1" t="str">
        <f>HEX2BIN(MID(Table1[[#This Row],[statusRaw]],1+HEX2DEC(LEFT(AP$1,2))*2, 2),8) &amp; " 0x" &amp;MID(Table1[[#This Row],[statusRaw]],1+HEX2DEC(LEFT(AP$1,2))*2, 2)</f>
        <v>00101010 0x2A</v>
      </c>
      <c r="AQ31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0x001C 28</v>
      </c>
      <c r="AR31" s="3">
        <f>TRUNC(_xlfn.NUMBERVALUE(RIGHT(Table1[[#This Row],[46 rate of change (2)]],LEN(Table1[[#This Row],[46 rate of change (2)]])-7))/100)</f>
        <v>0</v>
      </c>
      <c r="AS31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31" s="3" t="b">
        <f>Table1[[#This Row],[calc arrow]]=Table1[[#This Row],[trend]]</f>
        <v>1</v>
      </c>
      <c r="AU31" s="3" t="str">
        <f>HEX2BIN(MID(Table1[[#This Row],[statusRaw]],1+HEX2DEC(LEFT(AU$1,2))*2, 2),8) &amp; " 0x" &amp;MID(Table1[[#This Row],[statusRaw]],1+HEX2DEC(LEFT(AU$1,2))*2, 2)</f>
        <v>00000000 0x00</v>
      </c>
      <c r="AV31" s="3">
        <f>HEX2DEC(MID(Table1[[#This Row],[statusRaw]],1+HEX2DEC(LEFT(AV$1,2))*2, 4))</f>
        <v>0</v>
      </c>
      <c r="AW31" s="3" t="str">
        <f>HEX2BIN(MID(Table1[[#This Row],[statusRaw]],1+HEX2DEC(LEFT(AW$1,2))*2, 2),8) &amp; " 0x" &amp;MID(Table1[[#This Row],[statusRaw]],1+HEX2DEC(LEFT(AW$1,2))*2, 2)</f>
        <v>00000000 0x00</v>
      </c>
      <c r="AX31" s="3" t="str">
        <f>HEX2BIN(MID(Table1[[#This Row],[statusRaw]],1+HEX2DEC(LEFT(AX$1,2))*2, 2),8) &amp; " 0x" &amp;MID(Table1[[#This Row],[statusRaw]],1+HEX2DEC(LEFT(AX$1,2))*2, 2)</f>
        <v>00000000 0x00</v>
      </c>
      <c r="AY31" s="3" t="str">
        <f>MID(Table1[[#This Row],[statusRaw]],1+HEX2DEC(LEFT(AY$1,2))*2, 8)</f>
        <v>00000000</v>
      </c>
      <c r="AZ31" s="3" t="str">
        <f>MID(Table1[[#This Row],[statusRaw]],1+HEX2DEC(LEFT(AZ$1,2))*2, 8)</f>
        <v>00000000</v>
      </c>
      <c r="BA31" s="3" t="str">
        <f>HEX2BIN(MID(Table1[[#This Row],[statusRaw]],1+HEX2DEC(LEFT(BA$1,2))*2, 2),8) &amp; " 0x" &amp;MID(Table1[[#This Row],[statusRaw]],1+HEX2DEC(LEFT(BA$1,2))*2, 2)</f>
        <v>00000000 0x00</v>
      </c>
      <c r="BB31" s="3" t="str">
        <f>HEX2BIN(MID(Table1[[#This Row],[statusRaw]],1+HEX2DEC(LEFT(BB$1,2))*2, 2),8) &amp; " 0x" &amp;MID(Table1[[#This Row],[statusRaw]],1+HEX2DEC(LEFT(BB$1,2))*2, 2)</f>
        <v>00000000 0x00</v>
      </c>
      <c r="BC31" s="3" t="str">
        <f>HEX2BIN(MID(Table1[[#This Row],[statusRaw]],1+HEX2DEC(LEFT(BC$1,2))*2, 2),8) &amp; " 0x" &amp;MID(Table1[[#This Row],[statusRaw]],1+HEX2DEC(LEFT(BC$1,2))*2, 2)</f>
        <v>00000000 0x00</v>
      </c>
      <c r="BD31" s="3" t="str">
        <f>MID(Table1[[#This Row],[statusRaw]],1+HEX2DEC(LEFT(BD$1,2))*2, 8)</f>
        <v>000008C7</v>
      </c>
      <c r="BE31" s="3" t="str">
        <f>MID(Table1[[#This Row],[statusRaw]],1+HEX2DEC(LEFT(BE$1,2))*2, 8)</f>
        <v>000008C7</v>
      </c>
      <c r="BF31" s="9"/>
    </row>
    <row r="32" spans="1:58" x14ac:dyDescent="0.25">
      <c r="A32" s="1" t="s">
        <v>96</v>
      </c>
      <c r="B32" s="1" t="s">
        <v>97</v>
      </c>
      <c r="C32" s="1" t="s">
        <v>7</v>
      </c>
      <c r="D32" s="1" t="s">
        <v>98</v>
      </c>
      <c r="E32" s="1">
        <v>22</v>
      </c>
      <c r="F32" s="3" t="str">
        <f>HEX2BIN(MID(Table1[[#This Row],[statusRaw]],1+HEX2DEC(LEFT(F$1,2))*2, 2),8) &amp; " 0x" &amp;MID(Table1[[#This Row],[statusRaw]],1+HEX2DEC(LEFT(F$1,2))*2, 2)</f>
        <v>01010000 0x50</v>
      </c>
      <c r="G32" s="3" t="b">
        <f>MID(Table1[[#This Row],[03 - pump status (1)]],1,1)="1"</f>
        <v>0</v>
      </c>
      <c r="H32" s="3" t="b">
        <f>MID(Table1[[#This Row],[03 - pump status (1)]],2,1)="1"</f>
        <v>1</v>
      </c>
      <c r="I32" s="3" t="b">
        <f>MID(Table1[[#This Row],[03 - pump status (1)]],3,1)="1"</f>
        <v>0</v>
      </c>
      <c r="J32" s="3" t="b">
        <f>MID(Table1[[#This Row],[03 - pump status (1)]],4,1)="1"</f>
        <v>1</v>
      </c>
      <c r="K32" s="3" t="b">
        <f>MID(Table1[[#This Row],[03 - pump status (1)]],5,1)="1"</f>
        <v>0</v>
      </c>
      <c r="L32" s="3" t="b">
        <f>MID(Table1[[#This Row],[03 - pump status (1)]],6,1)="1"</f>
        <v>0</v>
      </c>
      <c r="M32" s="3" t="b">
        <f>MID(Table1[[#This Row],[03 - pump status (1)]],7,1)="1"</f>
        <v>0</v>
      </c>
      <c r="N32" s="3" t="b">
        <f>MID(Table1[[#This Row],[03 - pump status (1)]],8,1)="1"</f>
        <v>0</v>
      </c>
      <c r="O32" s="3" t="str">
        <f>MID(Table1[[#This Row],[statusRaw]],1+HEX2DEC(LEFT(O$1,2))*2, 8)</f>
        <v>00000000</v>
      </c>
      <c r="P32" s="3" t="str">
        <f>MID(Table1[[#This Row],[statusRaw]],1+HEX2DEC(LEFT(P$1,2))*2, 8)</f>
        <v>00000000</v>
      </c>
      <c r="Q32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32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32" s="3">
        <f>HEX2DEC(MID(Table1[[#This Row],[statusRaw]],1+HEX2DEC(LEFT(S$1,2))*2, 8))/10000</f>
        <v>0.7</v>
      </c>
      <c r="T32" s="3" t="str">
        <f>MID(Table1[[#This Row],[statusRaw]],1+HEX2DEC(LEFT(T$1,2))*2, 8)</f>
        <v>278A4116</v>
      </c>
      <c r="U32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32" s="3" t="str">
        <f>HEX2BIN(MID(Table1[[#This Row],[statusRaw]],1+HEX2DEC(LEFT(V$1,2))*2, 2),8) &amp; " 0x" &amp;MID(Table1[[#This Row],[statusRaw]],1+HEX2DEC(LEFT(V$1,2))*2, 2)</f>
        <v>00000001 0x01</v>
      </c>
      <c r="W32" s="3">
        <f>HEX2DEC(MID(Table1[[#This Row],[statusRaw]],1+HEX2DEC(LEFT(W$1,2))*2, 8))/10000</f>
        <v>0.6</v>
      </c>
      <c r="X32" s="3">
        <f>HEX2DEC(MID(Table1[[#This Row],[statusRaw]],1+HEX2DEC(LEFT(X$1,2))*2, 8))/10000</f>
        <v>0</v>
      </c>
      <c r="Y32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32" s="3">
        <f>HEX2DEC(MID(Table1[[#This Row],[statusRaw]],1+HEX2DEC(LEFT(Z$1,2))*2, 8))/10000</f>
        <v>11.275</v>
      </c>
      <c r="AA32" s="3">
        <f>HEX2DEC(MID(Table1[[#This Row],[statusRaw]],1+HEX2DEC(LEFT(AA$1,2))*2, 2))</f>
        <v>50</v>
      </c>
      <c r="AB32" s="3">
        <f>HEX2DEC(MID(Table1[[#This Row],[statusRaw]],1+HEX2DEC(LEFT(AB$1,2))*2, 8))/10000</f>
        <v>215.75</v>
      </c>
      <c r="AC32" s="3">
        <f>HEX2DEC(MID(Table1[[#This Row],[statusRaw]],1+HEX2DEC(LEFT(AC$1,2))*2, 2))</f>
        <v>25</v>
      </c>
      <c r="AD32" s="3">
        <f>HEX2DEC(MID(Table1[[#This Row],[statusRaw]],1+HEX2DEC(LEFT(AD$1,2))*2, 2))</f>
        <v>0</v>
      </c>
      <c r="AE32" s="3">
        <f>HEX2DEC(MID(Table1[[#This Row],[statusRaw]],1+HEX2DEC(LEFT(AE$1,2))*2, 8))/10000</f>
        <v>0.8</v>
      </c>
      <c r="AF32" s="3">
        <f>IF(AND(Table1[[#This Row],[cgm]],NOT(Table1[[#This Row],[35 - SGV special bit (2)]])), _xlfn.BITAND(HEX2DEC(MID(Table1[[#This Row],[statusRaw]],1+HEX2DEC(LEFT(AF$1,2))*2, 4)),HEX2DEC("1FF")),"")</f>
        <v>197</v>
      </c>
      <c r="AG32" s="3" t="b">
        <f>_xlfn.BITAND(HEX2DEC(MID(Table1[[#This Row],[statusRaw]],1+HEX2DEC(LEFT(AG$1,2))*2, 4)),512)=512</f>
        <v>0</v>
      </c>
      <c r="AH32" s="3" t="str">
        <f>MID(Table1[[#This Row],[statusRaw]],1+HEX2DEC(LEFT(AF$1,2))*2, 8)</f>
        <v>00C58674</v>
      </c>
      <c r="AI32" s="3" t="str">
        <f>MID(Table1[[#This Row],[statusRaw]],1+HEX2DEC(LEFT(AH$1,2))*2, 8)</f>
        <v>86745027</v>
      </c>
      <c r="AJ32" s="3" t="str">
        <f>HEX2BIN(MID(Table1[[#This Row],[statusRaw]],1+HEX2DEC(LEFT(AJ$1,2))*2, 2),8) &amp; " 0x" &amp;MID(Table1[[#This Row],[statusRaw]],1+HEX2DEC(LEFT(AJ$1,2))*2, 2)</f>
        <v>00000000 0x00</v>
      </c>
      <c r="AK32" s="1" t="str">
        <f>HEX2BIN(MID(Table1[[#This Row],[statusRaw]],1+HEX2DEC(LEFT(AK$1,2))*2, 2),8) &amp; " 0x" &amp;MID(Table1[[#This Row],[statusRaw]],1+HEX2DEC(LEFT(AK$1,2))*2, 2)</f>
        <v>01100000 0x60</v>
      </c>
      <c r="AL32" s="1" t="str">
        <f>VLOOKUP(Table1[[#This Row],[40 trend]],'Arrow status mapping'!$A$1:$B$8,2,FALSE)</f>
        <v>No arrows</v>
      </c>
      <c r="AM32" s="3" t="str">
        <f>HEX2BIN(MID(Table1[[#This Row],[statusRaw]],1+HEX2DEC(LEFT(AM$1,2))*2, 2),8) &amp; " 0x" &amp;MID(Table1[[#This Row],[statusRaw]],1+HEX2DEC(LEFT(AM$1,2))*2, 2)</f>
        <v>00010000 0x10</v>
      </c>
      <c r="AN32" s="3" t="str">
        <f>HEX2BIN(MID(Table1[[#This Row],[statusRaw]],1+HEX2DEC(LEFT(AN$1,2))*2, 2),8) &amp; " 0x" &amp;MID(Table1[[#This Row],[statusRaw]],1+HEX2DEC(LEFT(AN$1,2))*2, 2)</f>
        <v>00000000 0x00</v>
      </c>
      <c r="AO32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0x009B 155</v>
      </c>
      <c r="AP32" s="1" t="str">
        <f>HEX2BIN(MID(Table1[[#This Row],[statusRaw]],1+HEX2DEC(LEFT(AP$1,2))*2, 2),8) &amp; " 0x" &amp;MID(Table1[[#This Row],[statusRaw]],1+HEX2DEC(LEFT(AP$1,2))*2, 2)</f>
        <v>00101010 0x2A</v>
      </c>
      <c r="AQ32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0x001C 28</v>
      </c>
      <c r="AR32" s="3">
        <f>TRUNC(_xlfn.NUMBERVALUE(RIGHT(Table1[[#This Row],[46 rate of change (2)]],LEN(Table1[[#This Row],[46 rate of change (2)]])-7))/100)</f>
        <v>0</v>
      </c>
      <c r="AS32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32" s="3" t="b">
        <f>Table1[[#This Row],[calc arrow]]=Table1[[#This Row],[trend]]</f>
        <v>1</v>
      </c>
      <c r="AU32" s="3" t="str">
        <f>HEX2BIN(MID(Table1[[#This Row],[statusRaw]],1+HEX2DEC(LEFT(AU$1,2))*2, 2),8) &amp; " 0x" &amp;MID(Table1[[#This Row],[statusRaw]],1+HEX2DEC(LEFT(AU$1,2))*2, 2)</f>
        <v>00000000 0x00</v>
      </c>
      <c r="AV32" s="3">
        <f>HEX2DEC(MID(Table1[[#This Row],[statusRaw]],1+HEX2DEC(LEFT(AV$1,2))*2, 4))</f>
        <v>0</v>
      </c>
      <c r="AW32" s="3" t="str">
        <f>HEX2BIN(MID(Table1[[#This Row],[statusRaw]],1+HEX2DEC(LEFT(AW$1,2))*2, 2),8) &amp; " 0x" &amp;MID(Table1[[#This Row],[statusRaw]],1+HEX2DEC(LEFT(AW$1,2))*2, 2)</f>
        <v>00000000 0x00</v>
      </c>
      <c r="AX32" s="3" t="str">
        <f>HEX2BIN(MID(Table1[[#This Row],[statusRaw]],1+HEX2DEC(LEFT(AX$1,2))*2, 2),8) &amp; " 0x" &amp;MID(Table1[[#This Row],[statusRaw]],1+HEX2DEC(LEFT(AX$1,2))*2, 2)</f>
        <v>00000000 0x00</v>
      </c>
      <c r="AY32" s="3" t="str">
        <f>MID(Table1[[#This Row],[statusRaw]],1+HEX2DEC(LEFT(AY$1,2))*2, 8)</f>
        <v>00000000</v>
      </c>
      <c r="AZ32" s="3" t="str">
        <f>MID(Table1[[#This Row],[statusRaw]],1+HEX2DEC(LEFT(AZ$1,2))*2, 8)</f>
        <v>00000000</v>
      </c>
      <c r="BA32" s="3" t="str">
        <f>HEX2BIN(MID(Table1[[#This Row],[statusRaw]],1+HEX2DEC(LEFT(BA$1,2))*2, 2),8) &amp; " 0x" &amp;MID(Table1[[#This Row],[statusRaw]],1+HEX2DEC(LEFT(BA$1,2))*2, 2)</f>
        <v>00000000 0x00</v>
      </c>
      <c r="BB32" s="3" t="str">
        <f>HEX2BIN(MID(Table1[[#This Row],[statusRaw]],1+HEX2DEC(LEFT(BB$1,2))*2, 2),8) &amp; " 0x" &amp;MID(Table1[[#This Row],[statusRaw]],1+HEX2DEC(LEFT(BB$1,2))*2, 2)</f>
        <v>00000000 0x00</v>
      </c>
      <c r="BC32" s="3" t="str">
        <f>HEX2BIN(MID(Table1[[#This Row],[statusRaw]],1+HEX2DEC(LEFT(BC$1,2))*2, 2),8) &amp; " 0x" &amp;MID(Table1[[#This Row],[statusRaw]],1+HEX2DEC(LEFT(BC$1,2))*2, 2)</f>
        <v>00000000 0x00</v>
      </c>
      <c r="BD32" s="3" t="str">
        <f>MID(Table1[[#This Row],[statusRaw]],1+HEX2DEC(LEFT(BD$1,2))*2, 8)</f>
        <v>000008C7</v>
      </c>
      <c r="BE32" s="3" t="str">
        <f>MID(Table1[[#This Row],[statusRaw]],1+HEX2DEC(LEFT(BE$1,2))*2, 8)</f>
        <v>000008C7</v>
      </c>
      <c r="BF32" s="9"/>
    </row>
    <row r="33" spans="1:58" x14ac:dyDescent="0.25">
      <c r="A33" s="1" t="s">
        <v>99</v>
      </c>
      <c r="B33" s="1" t="s">
        <v>100</v>
      </c>
      <c r="C33" s="1" t="s">
        <v>7</v>
      </c>
      <c r="D33" s="1" t="s">
        <v>101</v>
      </c>
      <c r="E33" s="1">
        <v>22</v>
      </c>
      <c r="F33" s="3" t="str">
        <f>HEX2BIN(MID(Table1[[#This Row],[statusRaw]],1+HEX2DEC(LEFT(F$1,2))*2, 2),8) &amp; " 0x" &amp;MID(Table1[[#This Row],[statusRaw]],1+HEX2DEC(LEFT(F$1,2))*2, 2)</f>
        <v>01010000 0x50</v>
      </c>
      <c r="G33" s="3" t="b">
        <f>MID(Table1[[#This Row],[03 - pump status (1)]],1,1)="1"</f>
        <v>0</v>
      </c>
      <c r="H33" s="3" t="b">
        <f>MID(Table1[[#This Row],[03 - pump status (1)]],2,1)="1"</f>
        <v>1</v>
      </c>
      <c r="I33" s="3" t="b">
        <f>MID(Table1[[#This Row],[03 - pump status (1)]],3,1)="1"</f>
        <v>0</v>
      </c>
      <c r="J33" s="3" t="b">
        <f>MID(Table1[[#This Row],[03 - pump status (1)]],4,1)="1"</f>
        <v>1</v>
      </c>
      <c r="K33" s="3" t="b">
        <f>MID(Table1[[#This Row],[03 - pump status (1)]],5,1)="1"</f>
        <v>0</v>
      </c>
      <c r="L33" s="3" t="b">
        <f>MID(Table1[[#This Row],[03 - pump status (1)]],6,1)="1"</f>
        <v>0</v>
      </c>
      <c r="M33" s="3" t="b">
        <f>MID(Table1[[#This Row],[03 - pump status (1)]],7,1)="1"</f>
        <v>0</v>
      </c>
      <c r="N33" s="3" t="b">
        <f>MID(Table1[[#This Row],[03 - pump status (1)]],8,1)="1"</f>
        <v>0</v>
      </c>
      <c r="O33" s="3" t="str">
        <f>MID(Table1[[#This Row],[statusRaw]],1+HEX2DEC(LEFT(O$1,2))*2, 8)</f>
        <v>00000000</v>
      </c>
      <c r="P33" s="3" t="str">
        <f>MID(Table1[[#This Row],[statusRaw]],1+HEX2DEC(LEFT(P$1,2))*2, 8)</f>
        <v>00000000</v>
      </c>
      <c r="Q33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33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33" s="3">
        <f>HEX2DEC(MID(Table1[[#This Row],[statusRaw]],1+HEX2DEC(LEFT(S$1,2))*2, 8))/10000</f>
        <v>0.7</v>
      </c>
      <c r="T33" s="3" t="str">
        <f>MID(Table1[[#This Row],[statusRaw]],1+HEX2DEC(LEFT(T$1,2))*2, 8)</f>
        <v>278A4116</v>
      </c>
      <c r="U33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33" s="3" t="str">
        <f>HEX2BIN(MID(Table1[[#This Row],[statusRaw]],1+HEX2DEC(LEFT(V$1,2))*2, 2),8) &amp; " 0x" &amp;MID(Table1[[#This Row],[statusRaw]],1+HEX2DEC(LEFT(V$1,2))*2, 2)</f>
        <v>00000001 0x01</v>
      </c>
      <c r="W33" s="3">
        <f>HEX2DEC(MID(Table1[[#This Row],[statusRaw]],1+HEX2DEC(LEFT(W$1,2))*2, 8))/10000</f>
        <v>0.6</v>
      </c>
      <c r="X33" s="3">
        <f>HEX2DEC(MID(Table1[[#This Row],[statusRaw]],1+HEX2DEC(LEFT(X$1,2))*2, 8))/10000</f>
        <v>0</v>
      </c>
      <c r="Y33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33" s="3">
        <f>HEX2DEC(MID(Table1[[#This Row],[statusRaw]],1+HEX2DEC(LEFT(Z$1,2))*2, 8))/10000</f>
        <v>11.225</v>
      </c>
      <c r="AA33" s="3">
        <f>HEX2DEC(MID(Table1[[#This Row],[statusRaw]],1+HEX2DEC(LEFT(AA$1,2))*2, 2))</f>
        <v>50</v>
      </c>
      <c r="AB33" s="3">
        <f>HEX2DEC(MID(Table1[[#This Row],[statusRaw]],1+HEX2DEC(LEFT(AB$1,2))*2, 8))/10000</f>
        <v>215.8</v>
      </c>
      <c r="AC33" s="3">
        <f>HEX2DEC(MID(Table1[[#This Row],[statusRaw]],1+HEX2DEC(LEFT(AC$1,2))*2, 2))</f>
        <v>25</v>
      </c>
      <c r="AD33" s="3">
        <f>HEX2DEC(MID(Table1[[#This Row],[statusRaw]],1+HEX2DEC(LEFT(AD$1,2))*2, 2))</f>
        <v>0</v>
      </c>
      <c r="AE33" s="3">
        <f>HEX2DEC(MID(Table1[[#This Row],[statusRaw]],1+HEX2DEC(LEFT(AE$1,2))*2, 8))/10000</f>
        <v>0.9</v>
      </c>
      <c r="AF33" s="3">
        <f>IF(AND(Table1[[#This Row],[cgm]],NOT(Table1[[#This Row],[35 - SGV special bit (2)]])), _xlfn.BITAND(HEX2DEC(MID(Table1[[#This Row],[statusRaw]],1+HEX2DEC(LEFT(AF$1,2))*2, 4)),HEX2DEC("1FF")),"")</f>
        <v>192</v>
      </c>
      <c r="AG33" s="3" t="b">
        <f>_xlfn.BITAND(HEX2DEC(MID(Table1[[#This Row],[statusRaw]],1+HEX2DEC(LEFT(AG$1,2))*2, 4)),512)=512</f>
        <v>0</v>
      </c>
      <c r="AH33" s="3" t="str">
        <f>MID(Table1[[#This Row],[statusRaw]],1+HEX2DEC(LEFT(AF$1,2))*2, 8)</f>
        <v>00C08674</v>
      </c>
      <c r="AI33" s="3" t="str">
        <f>MID(Table1[[#This Row],[statusRaw]],1+HEX2DEC(LEFT(AH$1,2))*2, 8)</f>
        <v>86744DCF</v>
      </c>
      <c r="AJ33" s="3" t="str">
        <f>HEX2BIN(MID(Table1[[#This Row],[statusRaw]],1+HEX2DEC(LEFT(AJ$1,2))*2, 2),8) &amp; " 0x" &amp;MID(Table1[[#This Row],[statusRaw]],1+HEX2DEC(LEFT(AJ$1,2))*2, 2)</f>
        <v>00000000 0x00</v>
      </c>
      <c r="AK33" s="1" t="str">
        <f>HEX2BIN(MID(Table1[[#This Row],[statusRaw]],1+HEX2DEC(LEFT(AK$1,2))*2, 2),8) &amp; " 0x" &amp;MID(Table1[[#This Row],[statusRaw]],1+HEX2DEC(LEFT(AK$1,2))*2, 2)</f>
        <v>01100000 0x60</v>
      </c>
      <c r="AL33" s="1" t="str">
        <f>VLOOKUP(Table1[[#This Row],[40 trend]],'Arrow status mapping'!$A$1:$B$8,2,FALSE)</f>
        <v>No arrows</v>
      </c>
      <c r="AM33" s="3" t="str">
        <f>HEX2BIN(MID(Table1[[#This Row],[statusRaw]],1+HEX2DEC(LEFT(AM$1,2))*2, 2),8) &amp; " 0x" &amp;MID(Table1[[#This Row],[statusRaw]],1+HEX2DEC(LEFT(AM$1,2))*2, 2)</f>
        <v>00010000 0x10</v>
      </c>
      <c r="AN33" s="3" t="str">
        <f>HEX2BIN(MID(Table1[[#This Row],[statusRaw]],1+HEX2DEC(LEFT(AN$1,2))*2, 2),8) &amp; " 0x" &amp;MID(Table1[[#This Row],[statusRaw]],1+HEX2DEC(LEFT(AN$1,2))*2, 2)</f>
        <v>00000000 0x00</v>
      </c>
      <c r="AO33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0x00A5 165</v>
      </c>
      <c r="AP33" s="1" t="str">
        <f>HEX2BIN(MID(Table1[[#This Row],[statusRaw]],1+HEX2DEC(LEFT(AP$1,2))*2, 2),8) &amp; " 0x" &amp;MID(Table1[[#This Row],[statusRaw]],1+HEX2DEC(LEFT(AP$1,2))*2, 2)</f>
        <v>00101010 0x2A</v>
      </c>
      <c r="AQ33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33" s="3">
        <f>TRUNC(_xlfn.NUMBERVALUE(RIGHT(Table1[[#This Row],[46 rate of change (2)]],LEN(Table1[[#This Row],[46 rate of change (2)]])-7))/100)</f>
        <v>0</v>
      </c>
      <c r="AS33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33" s="3" t="b">
        <f>Table1[[#This Row],[calc arrow]]=Table1[[#This Row],[trend]]</f>
        <v>1</v>
      </c>
      <c r="AU33" s="3" t="str">
        <f>HEX2BIN(MID(Table1[[#This Row],[statusRaw]],1+HEX2DEC(LEFT(AU$1,2))*2, 2),8) &amp; " 0x" &amp;MID(Table1[[#This Row],[statusRaw]],1+HEX2DEC(LEFT(AU$1,2))*2, 2)</f>
        <v>00000000 0x00</v>
      </c>
      <c r="AV33" s="3">
        <f>HEX2DEC(MID(Table1[[#This Row],[statusRaw]],1+HEX2DEC(LEFT(AV$1,2))*2, 4))</f>
        <v>0</v>
      </c>
      <c r="AW33" s="3" t="str">
        <f>HEX2BIN(MID(Table1[[#This Row],[statusRaw]],1+HEX2DEC(LEFT(AW$1,2))*2, 2),8) &amp; " 0x" &amp;MID(Table1[[#This Row],[statusRaw]],1+HEX2DEC(LEFT(AW$1,2))*2, 2)</f>
        <v>00000000 0x00</v>
      </c>
      <c r="AX33" s="3" t="str">
        <f>HEX2BIN(MID(Table1[[#This Row],[statusRaw]],1+HEX2DEC(LEFT(AX$1,2))*2, 2),8) &amp; " 0x" &amp;MID(Table1[[#This Row],[statusRaw]],1+HEX2DEC(LEFT(AX$1,2))*2, 2)</f>
        <v>00000000 0x00</v>
      </c>
      <c r="AY33" s="3" t="str">
        <f>MID(Table1[[#This Row],[statusRaw]],1+HEX2DEC(LEFT(AY$1,2))*2, 8)</f>
        <v>00000000</v>
      </c>
      <c r="AZ33" s="3" t="str">
        <f>MID(Table1[[#This Row],[statusRaw]],1+HEX2DEC(LEFT(AZ$1,2))*2, 8)</f>
        <v>00000000</v>
      </c>
      <c r="BA33" s="3" t="str">
        <f>HEX2BIN(MID(Table1[[#This Row],[statusRaw]],1+HEX2DEC(LEFT(BA$1,2))*2, 2),8) &amp; " 0x" &amp;MID(Table1[[#This Row],[statusRaw]],1+HEX2DEC(LEFT(BA$1,2))*2, 2)</f>
        <v>00000000 0x00</v>
      </c>
      <c r="BB33" s="3" t="str">
        <f>HEX2BIN(MID(Table1[[#This Row],[statusRaw]],1+HEX2DEC(LEFT(BB$1,2))*2, 2),8) &amp; " 0x" &amp;MID(Table1[[#This Row],[statusRaw]],1+HEX2DEC(LEFT(BB$1,2))*2, 2)</f>
        <v>00000000 0x00</v>
      </c>
      <c r="BC33" s="3" t="str">
        <f>HEX2BIN(MID(Table1[[#This Row],[statusRaw]],1+HEX2DEC(LEFT(BC$1,2))*2, 2),8) &amp; " 0x" &amp;MID(Table1[[#This Row],[statusRaw]],1+HEX2DEC(LEFT(BC$1,2))*2, 2)</f>
        <v>00000000 0x00</v>
      </c>
      <c r="BD33" s="3" t="str">
        <f>MID(Table1[[#This Row],[statusRaw]],1+HEX2DEC(LEFT(BD$1,2))*2, 8)</f>
        <v>000008C7</v>
      </c>
      <c r="BE33" s="3" t="str">
        <f>MID(Table1[[#This Row],[statusRaw]],1+HEX2DEC(LEFT(BE$1,2))*2, 8)</f>
        <v>000008C7</v>
      </c>
      <c r="BF33" s="9"/>
    </row>
    <row r="34" spans="1:58" x14ac:dyDescent="0.25">
      <c r="A34" s="1" t="s">
        <v>102</v>
      </c>
      <c r="B34" s="1" t="s">
        <v>103</v>
      </c>
      <c r="C34" s="1" t="s">
        <v>7</v>
      </c>
      <c r="D34" s="1" t="s">
        <v>104</v>
      </c>
      <c r="E34" s="1">
        <v>22</v>
      </c>
      <c r="F34" s="3" t="str">
        <f>HEX2BIN(MID(Table1[[#This Row],[statusRaw]],1+HEX2DEC(LEFT(F$1,2))*2, 2),8) &amp; " 0x" &amp;MID(Table1[[#This Row],[statusRaw]],1+HEX2DEC(LEFT(F$1,2))*2, 2)</f>
        <v>01010000 0x50</v>
      </c>
      <c r="G34" s="3" t="b">
        <f>MID(Table1[[#This Row],[03 - pump status (1)]],1,1)="1"</f>
        <v>0</v>
      </c>
      <c r="H34" s="3" t="b">
        <f>MID(Table1[[#This Row],[03 - pump status (1)]],2,1)="1"</f>
        <v>1</v>
      </c>
      <c r="I34" s="3" t="b">
        <f>MID(Table1[[#This Row],[03 - pump status (1)]],3,1)="1"</f>
        <v>0</v>
      </c>
      <c r="J34" s="3" t="b">
        <f>MID(Table1[[#This Row],[03 - pump status (1)]],4,1)="1"</f>
        <v>1</v>
      </c>
      <c r="K34" s="3" t="b">
        <f>MID(Table1[[#This Row],[03 - pump status (1)]],5,1)="1"</f>
        <v>0</v>
      </c>
      <c r="L34" s="3" t="b">
        <f>MID(Table1[[#This Row],[03 - pump status (1)]],6,1)="1"</f>
        <v>0</v>
      </c>
      <c r="M34" s="3" t="b">
        <f>MID(Table1[[#This Row],[03 - pump status (1)]],7,1)="1"</f>
        <v>0</v>
      </c>
      <c r="N34" s="3" t="b">
        <f>MID(Table1[[#This Row],[03 - pump status (1)]],8,1)="1"</f>
        <v>0</v>
      </c>
      <c r="O34" s="3" t="str">
        <f>MID(Table1[[#This Row],[statusRaw]],1+HEX2DEC(LEFT(O$1,2))*2, 8)</f>
        <v>00000000</v>
      </c>
      <c r="P34" s="3" t="str">
        <f>MID(Table1[[#This Row],[statusRaw]],1+HEX2DEC(LEFT(P$1,2))*2, 8)</f>
        <v>00000000</v>
      </c>
      <c r="Q34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34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34" s="3">
        <f>HEX2DEC(MID(Table1[[#This Row],[statusRaw]],1+HEX2DEC(LEFT(S$1,2))*2, 8))/10000</f>
        <v>0.7</v>
      </c>
      <c r="T34" s="3" t="str">
        <f>MID(Table1[[#This Row],[statusRaw]],1+HEX2DEC(LEFT(T$1,2))*2, 8)</f>
        <v>278A4116</v>
      </c>
      <c r="U34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34" s="3" t="str">
        <f>HEX2BIN(MID(Table1[[#This Row],[statusRaw]],1+HEX2DEC(LEFT(V$1,2))*2, 2),8) &amp; " 0x" &amp;MID(Table1[[#This Row],[statusRaw]],1+HEX2DEC(LEFT(V$1,2))*2, 2)</f>
        <v>00000001 0x01</v>
      </c>
      <c r="W34" s="3">
        <f>HEX2DEC(MID(Table1[[#This Row],[statusRaw]],1+HEX2DEC(LEFT(W$1,2))*2, 8))/10000</f>
        <v>0.6</v>
      </c>
      <c r="X34" s="3">
        <f>HEX2DEC(MID(Table1[[#This Row],[statusRaw]],1+HEX2DEC(LEFT(X$1,2))*2, 8))/10000</f>
        <v>0</v>
      </c>
      <c r="Y34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34" s="3">
        <f>HEX2DEC(MID(Table1[[#This Row],[statusRaw]],1+HEX2DEC(LEFT(Z$1,2))*2, 8))/10000</f>
        <v>11.175000000000001</v>
      </c>
      <c r="AA34" s="3">
        <f>HEX2DEC(MID(Table1[[#This Row],[statusRaw]],1+HEX2DEC(LEFT(AA$1,2))*2, 2))</f>
        <v>50</v>
      </c>
      <c r="AB34" s="3">
        <f>HEX2DEC(MID(Table1[[#This Row],[statusRaw]],1+HEX2DEC(LEFT(AB$1,2))*2, 8))/10000</f>
        <v>215.85</v>
      </c>
      <c r="AC34" s="3">
        <f>HEX2DEC(MID(Table1[[#This Row],[statusRaw]],1+HEX2DEC(LEFT(AC$1,2))*2, 2))</f>
        <v>25</v>
      </c>
      <c r="AD34" s="3">
        <f>HEX2DEC(MID(Table1[[#This Row],[statusRaw]],1+HEX2DEC(LEFT(AD$1,2))*2, 2))</f>
        <v>0</v>
      </c>
      <c r="AE34" s="3">
        <f>HEX2DEC(MID(Table1[[#This Row],[statusRaw]],1+HEX2DEC(LEFT(AE$1,2))*2, 8))/10000</f>
        <v>0.9</v>
      </c>
      <c r="AF34" s="3">
        <f>IF(AND(Table1[[#This Row],[cgm]],NOT(Table1[[#This Row],[35 - SGV special bit (2)]])), _xlfn.BITAND(HEX2DEC(MID(Table1[[#This Row],[statusRaw]],1+HEX2DEC(LEFT(AF$1,2))*2, 4)),HEX2DEC("1FF")),"")</f>
        <v>195</v>
      </c>
      <c r="AG34" s="3" t="b">
        <f>_xlfn.BITAND(HEX2DEC(MID(Table1[[#This Row],[statusRaw]],1+HEX2DEC(LEFT(AG$1,2))*2, 4)),512)=512</f>
        <v>0</v>
      </c>
      <c r="AH34" s="3" t="str">
        <f>MID(Table1[[#This Row],[statusRaw]],1+HEX2DEC(LEFT(AF$1,2))*2, 8)</f>
        <v>00C38674</v>
      </c>
      <c r="AI34" s="3" t="str">
        <f>MID(Table1[[#This Row],[statusRaw]],1+HEX2DEC(LEFT(AH$1,2))*2, 8)</f>
        <v>86744CA3</v>
      </c>
      <c r="AJ34" s="3" t="str">
        <f>HEX2BIN(MID(Table1[[#This Row],[statusRaw]],1+HEX2DEC(LEFT(AJ$1,2))*2, 2),8) &amp; " 0x" &amp;MID(Table1[[#This Row],[statusRaw]],1+HEX2DEC(LEFT(AJ$1,2))*2, 2)</f>
        <v>00000000 0x00</v>
      </c>
      <c r="AK34" s="1" t="str">
        <f>HEX2BIN(MID(Table1[[#This Row],[statusRaw]],1+HEX2DEC(LEFT(AK$1,2))*2, 2),8) &amp; " 0x" &amp;MID(Table1[[#This Row],[statusRaw]],1+HEX2DEC(LEFT(AK$1,2))*2, 2)</f>
        <v>01100000 0x60</v>
      </c>
      <c r="AL34" s="1" t="str">
        <f>VLOOKUP(Table1[[#This Row],[40 trend]],'Arrow status mapping'!$A$1:$B$8,2,FALSE)</f>
        <v>No arrows</v>
      </c>
      <c r="AM34" s="3" t="str">
        <f>HEX2BIN(MID(Table1[[#This Row],[statusRaw]],1+HEX2DEC(LEFT(AM$1,2))*2, 2),8) &amp; " 0x" &amp;MID(Table1[[#This Row],[statusRaw]],1+HEX2DEC(LEFT(AM$1,2))*2, 2)</f>
        <v>00010000 0x10</v>
      </c>
      <c r="AN34" s="3" t="str">
        <f>HEX2BIN(MID(Table1[[#This Row],[statusRaw]],1+HEX2DEC(LEFT(AN$1,2))*2, 2),8) &amp; " 0x" &amp;MID(Table1[[#This Row],[statusRaw]],1+HEX2DEC(LEFT(AN$1,2))*2, 2)</f>
        <v>00000000 0x00</v>
      </c>
      <c r="AO34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0x00AA 170</v>
      </c>
      <c r="AP34" s="1" t="str">
        <f>HEX2BIN(MID(Table1[[#This Row],[statusRaw]],1+HEX2DEC(LEFT(AP$1,2))*2, 2),8) &amp; " 0x" &amp;MID(Table1[[#This Row],[statusRaw]],1+HEX2DEC(LEFT(AP$1,2))*2, 2)</f>
        <v>00101010 0x2A</v>
      </c>
      <c r="AQ34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0x0019 25</v>
      </c>
      <c r="AR34" s="3">
        <f>TRUNC(_xlfn.NUMBERVALUE(RIGHT(Table1[[#This Row],[46 rate of change (2)]],LEN(Table1[[#This Row],[46 rate of change (2)]])-7))/100)</f>
        <v>0</v>
      </c>
      <c r="AS34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34" s="3" t="b">
        <f>Table1[[#This Row],[calc arrow]]=Table1[[#This Row],[trend]]</f>
        <v>1</v>
      </c>
      <c r="AU34" s="3" t="str">
        <f>HEX2BIN(MID(Table1[[#This Row],[statusRaw]],1+HEX2DEC(LEFT(AU$1,2))*2, 2),8) &amp; " 0x" &amp;MID(Table1[[#This Row],[statusRaw]],1+HEX2DEC(LEFT(AU$1,2))*2, 2)</f>
        <v>00000000 0x00</v>
      </c>
      <c r="AV34" s="3">
        <f>HEX2DEC(MID(Table1[[#This Row],[statusRaw]],1+HEX2DEC(LEFT(AV$1,2))*2, 4))</f>
        <v>0</v>
      </c>
      <c r="AW34" s="3" t="str">
        <f>HEX2BIN(MID(Table1[[#This Row],[statusRaw]],1+HEX2DEC(LEFT(AW$1,2))*2, 2),8) &amp; " 0x" &amp;MID(Table1[[#This Row],[statusRaw]],1+HEX2DEC(LEFT(AW$1,2))*2, 2)</f>
        <v>00000000 0x00</v>
      </c>
      <c r="AX34" s="3" t="str">
        <f>HEX2BIN(MID(Table1[[#This Row],[statusRaw]],1+HEX2DEC(LEFT(AX$1,2))*2, 2),8) &amp; " 0x" &amp;MID(Table1[[#This Row],[statusRaw]],1+HEX2DEC(LEFT(AX$1,2))*2, 2)</f>
        <v>00000000 0x00</v>
      </c>
      <c r="AY34" s="3" t="str">
        <f>MID(Table1[[#This Row],[statusRaw]],1+HEX2DEC(LEFT(AY$1,2))*2, 8)</f>
        <v>00000000</v>
      </c>
      <c r="AZ34" s="3" t="str">
        <f>MID(Table1[[#This Row],[statusRaw]],1+HEX2DEC(LEFT(AZ$1,2))*2, 8)</f>
        <v>00000000</v>
      </c>
      <c r="BA34" s="3" t="str">
        <f>HEX2BIN(MID(Table1[[#This Row],[statusRaw]],1+HEX2DEC(LEFT(BA$1,2))*2, 2),8) &amp; " 0x" &amp;MID(Table1[[#This Row],[statusRaw]],1+HEX2DEC(LEFT(BA$1,2))*2, 2)</f>
        <v>00000000 0x00</v>
      </c>
      <c r="BB34" s="3" t="str">
        <f>HEX2BIN(MID(Table1[[#This Row],[statusRaw]],1+HEX2DEC(LEFT(BB$1,2))*2, 2),8) &amp; " 0x" &amp;MID(Table1[[#This Row],[statusRaw]],1+HEX2DEC(LEFT(BB$1,2))*2, 2)</f>
        <v>00000000 0x00</v>
      </c>
      <c r="BC34" s="3" t="str">
        <f>HEX2BIN(MID(Table1[[#This Row],[statusRaw]],1+HEX2DEC(LEFT(BC$1,2))*2, 2),8) &amp; " 0x" &amp;MID(Table1[[#This Row],[statusRaw]],1+HEX2DEC(LEFT(BC$1,2))*2, 2)</f>
        <v>00000000 0x00</v>
      </c>
      <c r="BD34" s="3" t="str">
        <f>MID(Table1[[#This Row],[statusRaw]],1+HEX2DEC(LEFT(BD$1,2))*2, 8)</f>
        <v>000008C7</v>
      </c>
      <c r="BE34" s="3" t="str">
        <f>MID(Table1[[#This Row],[statusRaw]],1+HEX2DEC(LEFT(BE$1,2))*2, 8)</f>
        <v>000008C7</v>
      </c>
      <c r="BF34" s="9"/>
    </row>
    <row r="35" spans="1:58" x14ac:dyDescent="0.25">
      <c r="A35" s="1" t="s">
        <v>105</v>
      </c>
      <c r="B35" s="1" t="s">
        <v>106</v>
      </c>
      <c r="C35" s="1" t="s">
        <v>7</v>
      </c>
      <c r="D35" s="1" t="s">
        <v>107</v>
      </c>
      <c r="E35" s="1">
        <v>21</v>
      </c>
      <c r="F35" s="3" t="str">
        <f>HEX2BIN(MID(Table1[[#This Row],[statusRaw]],1+HEX2DEC(LEFT(F$1,2))*2, 2),8) &amp; " 0x" &amp;MID(Table1[[#This Row],[statusRaw]],1+HEX2DEC(LEFT(F$1,2))*2, 2)</f>
        <v>01010000 0x50</v>
      </c>
      <c r="G35" s="3" t="b">
        <f>MID(Table1[[#This Row],[03 - pump status (1)]],1,1)="1"</f>
        <v>0</v>
      </c>
      <c r="H35" s="3" t="b">
        <f>MID(Table1[[#This Row],[03 - pump status (1)]],2,1)="1"</f>
        <v>1</v>
      </c>
      <c r="I35" s="3" t="b">
        <f>MID(Table1[[#This Row],[03 - pump status (1)]],3,1)="1"</f>
        <v>0</v>
      </c>
      <c r="J35" s="3" t="b">
        <f>MID(Table1[[#This Row],[03 - pump status (1)]],4,1)="1"</f>
        <v>1</v>
      </c>
      <c r="K35" s="3" t="b">
        <f>MID(Table1[[#This Row],[03 - pump status (1)]],5,1)="1"</f>
        <v>0</v>
      </c>
      <c r="L35" s="3" t="b">
        <f>MID(Table1[[#This Row],[03 - pump status (1)]],6,1)="1"</f>
        <v>0</v>
      </c>
      <c r="M35" s="3" t="b">
        <f>MID(Table1[[#This Row],[03 - pump status (1)]],7,1)="1"</f>
        <v>0</v>
      </c>
      <c r="N35" s="3" t="b">
        <f>MID(Table1[[#This Row],[03 - pump status (1)]],8,1)="1"</f>
        <v>0</v>
      </c>
      <c r="O35" s="3" t="str">
        <f>MID(Table1[[#This Row],[statusRaw]],1+HEX2DEC(LEFT(O$1,2))*2, 8)</f>
        <v>00000000</v>
      </c>
      <c r="P35" s="3" t="str">
        <f>MID(Table1[[#This Row],[statusRaw]],1+HEX2DEC(LEFT(P$1,2))*2, 8)</f>
        <v>00000000</v>
      </c>
      <c r="Q35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35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35" s="3">
        <f>HEX2DEC(MID(Table1[[#This Row],[statusRaw]],1+HEX2DEC(LEFT(S$1,2))*2, 8))/10000</f>
        <v>1</v>
      </c>
      <c r="T35" s="3" t="str">
        <f>MID(Table1[[#This Row],[statusRaw]],1+HEX2DEC(LEFT(T$1,2))*2, 8)</f>
        <v>278A247E</v>
      </c>
      <c r="U35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0x2D00 11520</v>
      </c>
      <c r="V35" s="3" t="str">
        <f>HEX2BIN(MID(Table1[[#This Row],[statusRaw]],1+HEX2DEC(LEFT(V$1,2))*2, 2),8) &amp; " 0x" &amp;MID(Table1[[#This Row],[statusRaw]],1+HEX2DEC(LEFT(V$1,2))*2, 2)</f>
        <v>00000001 0x01</v>
      </c>
      <c r="W35" s="3">
        <f>HEX2DEC(MID(Table1[[#This Row],[statusRaw]],1+HEX2DEC(LEFT(W$1,2))*2, 8))/10000</f>
        <v>0.65</v>
      </c>
      <c r="X35" s="3">
        <f>HEX2DEC(MID(Table1[[#This Row],[statusRaw]],1+HEX2DEC(LEFT(X$1,2))*2, 8))/10000</f>
        <v>0</v>
      </c>
      <c r="Y35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35" s="3">
        <f>HEX2DEC(MID(Table1[[#This Row],[statusRaw]],1+HEX2DEC(LEFT(Z$1,2))*2, 8))/10000</f>
        <v>10.55</v>
      </c>
      <c r="AA35" s="3">
        <f>HEX2DEC(MID(Table1[[#This Row],[statusRaw]],1+HEX2DEC(LEFT(AA$1,2))*2, 2))</f>
        <v>50</v>
      </c>
      <c r="AB35" s="3">
        <f>HEX2DEC(MID(Table1[[#This Row],[statusRaw]],1+HEX2DEC(LEFT(AB$1,2))*2, 8))/10000</f>
        <v>217.17500000000001</v>
      </c>
      <c r="AC35" s="3">
        <f>HEX2DEC(MID(Table1[[#This Row],[statusRaw]],1+HEX2DEC(LEFT(AC$1,2))*2, 2))</f>
        <v>25</v>
      </c>
      <c r="AD35" s="3">
        <f>HEX2DEC(MID(Table1[[#This Row],[statusRaw]],1+HEX2DEC(LEFT(AD$1,2))*2, 2))</f>
        <v>0</v>
      </c>
      <c r="AE35" s="3">
        <f>HEX2DEC(MID(Table1[[#This Row],[statusRaw]],1+HEX2DEC(LEFT(AE$1,2))*2, 8))/10000</f>
        <v>1.3</v>
      </c>
      <c r="AF35" s="3">
        <f>IF(AND(Table1[[#This Row],[cgm]],NOT(Table1[[#This Row],[35 - SGV special bit (2)]])), _xlfn.BITAND(HEX2DEC(MID(Table1[[#This Row],[statusRaw]],1+HEX2DEC(LEFT(AF$1,2))*2, 4)),HEX2DEC("1FF")),"")</f>
        <v>207</v>
      </c>
      <c r="AG35" s="3" t="b">
        <f>_xlfn.BITAND(HEX2DEC(MID(Table1[[#This Row],[statusRaw]],1+HEX2DEC(LEFT(AG$1,2))*2, 4)),512)=512</f>
        <v>0</v>
      </c>
      <c r="AH35" s="3" t="str">
        <f>MID(Table1[[#This Row],[statusRaw]],1+HEX2DEC(LEFT(AF$1,2))*2, 8)</f>
        <v>00CF8674</v>
      </c>
      <c r="AI35" s="3" t="str">
        <f>MID(Table1[[#This Row],[statusRaw]],1+HEX2DEC(LEFT(AH$1,2))*2, 8)</f>
        <v>86743E93</v>
      </c>
      <c r="AJ35" s="3" t="str">
        <f>HEX2BIN(MID(Table1[[#This Row],[statusRaw]],1+HEX2DEC(LEFT(AJ$1,2))*2, 2),8) &amp; " 0x" &amp;MID(Table1[[#This Row],[statusRaw]],1+HEX2DEC(LEFT(AJ$1,2))*2, 2)</f>
        <v>00000101 0x05</v>
      </c>
      <c r="AK35" s="1" t="str">
        <f>HEX2BIN(MID(Table1[[#This Row],[statusRaw]],1+HEX2DEC(LEFT(AK$1,2))*2, 2),8) &amp; " 0x" &amp;MID(Table1[[#This Row],[statusRaw]],1+HEX2DEC(LEFT(AK$1,2))*2, 2)</f>
        <v>01100000 0x60</v>
      </c>
      <c r="AL35" s="1" t="str">
        <f>VLOOKUP(Table1[[#This Row],[40 trend]],'Arrow status mapping'!$A$1:$B$8,2,FALSE)</f>
        <v>No arrows</v>
      </c>
      <c r="AM35" s="3" t="str">
        <f>HEX2BIN(MID(Table1[[#This Row],[statusRaw]],1+HEX2DEC(LEFT(AM$1,2))*2, 2),8) &amp; " 0x" &amp;MID(Table1[[#This Row],[statusRaw]],1+HEX2DEC(LEFT(AM$1,2))*2, 2)</f>
        <v>00010000 0x10</v>
      </c>
      <c r="AN35" s="3" t="str">
        <f>HEX2BIN(MID(Table1[[#This Row],[statusRaw]],1+HEX2DEC(LEFT(AN$1,2))*2, 2),8) &amp; " 0x" &amp;MID(Table1[[#This Row],[statusRaw]],1+HEX2DEC(LEFT(AN$1,2))*2, 2)</f>
        <v>00000000 0x00</v>
      </c>
      <c r="AO35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0x00E6 230</v>
      </c>
      <c r="AP35" s="1" t="str">
        <f>HEX2BIN(MID(Table1[[#This Row],[statusRaw]],1+HEX2DEC(LEFT(AP$1,2))*2, 2),8) &amp; " 0x" &amp;MID(Table1[[#This Row],[statusRaw]],1+HEX2DEC(LEFT(AP$1,2))*2, 2)</f>
        <v>00101010 0x2A</v>
      </c>
      <c r="AQ35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0xFFEA -22</v>
      </c>
      <c r="AR35" s="3">
        <f>TRUNC(_xlfn.NUMBERVALUE(RIGHT(Table1[[#This Row],[46 rate of change (2)]],LEN(Table1[[#This Row],[46 rate of change (2)]])-7))/100)</f>
        <v>0</v>
      </c>
      <c r="AS35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35" s="3" t="b">
        <f>Table1[[#This Row],[calc arrow]]=Table1[[#This Row],[trend]]</f>
        <v>1</v>
      </c>
      <c r="AU35" s="3" t="str">
        <f>HEX2BIN(MID(Table1[[#This Row],[statusRaw]],1+HEX2DEC(LEFT(AU$1,2))*2, 2),8) &amp; " 0x" &amp;MID(Table1[[#This Row],[statusRaw]],1+HEX2DEC(LEFT(AU$1,2))*2, 2)</f>
        <v>00000000 0x00</v>
      </c>
      <c r="AV35" s="3">
        <f>HEX2DEC(MID(Table1[[#This Row],[statusRaw]],1+HEX2DEC(LEFT(AV$1,2))*2, 4))</f>
        <v>0</v>
      </c>
      <c r="AW35" s="3" t="str">
        <f>HEX2BIN(MID(Table1[[#This Row],[statusRaw]],1+HEX2DEC(LEFT(AW$1,2))*2, 2),8) &amp; " 0x" &amp;MID(Table1[[#This Row],[statusRaw]],1+HEX2DEC(LEFT(AW$1,2))*2, 2)</f>
        <v>00000000 0x00</v>
      </c>
      <c r="AX35" s="3" t="str">
        <f>HEX2BIN(MID(Table1[[#This Row],[statusRaw]],1+HEX2DEC(LEFT(AX$1,2))*2, 2),8) &amp; " 0x" &amp;MID(Table1[[#This Row],[statusRaw]],1+HEX2DEC(LEFT(AX$1,2))*2, 2)</f>
        <v>00000000 0x00</v>
      </c>
      <c r="AY35" s="3" t="str">
        <f>MID(Table1[[#This Row],[statusRaw]],1+HEX2DEC(LEFT(AY$1,2))*2, 8)</f>
        <v>00000000</v>
      </c>
      <c r="AZ35" s="3" t="str">
        <f>MID(Table1[[#This Row],[statusRaw]],1+HEX2DEC(LEFT(AZ$1,2))*2, 8)</f>
        <v>00000000</v>
      </c>
      <c r="BA35" s="3" t="str">
        <f>HEX2BIN(MID(Table1[[#This Row],[statusRaw]],1+HEX2DEC(LEFT(BA$1,2))*2, 2),8) &amp; " 0x" &amp;MID(Table1[[#This Row],[statusRaw]],1+HEX2DEC(LEFT(BA$1,2))*2, 2)</f>
        <v>00000000 0x00</v>
      </c>
      <c r="BB35" s="3" t="str">
        <f>HEX2BIN(MID(Table1[[#This Row],[statusRaw]],1+HEX2DEC(LEFT(BB$1,2))*2, 2),8) &amp; " 0x" &amp;MID(Table1[[#This Row],[statusRaw]],1+HEX2DEC(LEFT(BB$1,2))*2, 2)</f>
        <v>00000000 0x00</v>
      </c>
      <c r="BC35" s="3" t="str">
        <f>HEX2BIN(MID(Table1[[#This Row],[statusRaw]],1+HEX2DEC(LEFT(BC$1,2))*2, 2),8) &amp; " 0x" &amp;MID(Table1[[#This Row],[statusRaw]],1+HEX2DEC(LEFT(BC$1,2))*2, 2)</f>
        <v>00000000 0x00</v>
      </c>
      <c r="BD35" s="3" t="str">
        <f>MID(Table1[[#This Row],[statusRaw]],1+HEX2DEC(LEFT(BD$1,2))*2, 8)</f>
        <v>000008C7</v>
      </c>
      <c r="BE35" s="3" t="str">
        <f>MID(Table1[[#This Row],[statusRaw]],1+HEX2DEC(LEFT(BE$1,2))*2, 8)</f>
        <v>000008C7</v>
      </c>
      <c r="BF35" s="9"/>
    </row>
    <row r="36" spans="1:58" x14ac:dyDescent="0.25">
      <c r="A36" s="1" t="s">
        <v>108</v>
      </c>
      <c r="B36" s="1" t="s">
        <v>109</v>
      </c>
      <c r="C36" s="1" t="s">
        <v>7</v>
      </c>
      <c r="D36" s="1" t="s">
        <v>110</v>
      </c>
      <c r="E36" s="1">
        <v>21</v>
      </c>
      <c r="F36" s="3" t="str">
        <f>HEX2BIN(MID(Table1[[#This Row],[statusRaw]],1+HEX2DEC(LEFT(F$1,2))*2, 2),8) &amp; " 0x" &amp;MID(Table1[[#This Row],[statusRaw]],1+HEX2DEC(LEFT(F$1,2))*2, 2)</f>
        <v>01010000 0x50</v>
      </c>
      <c r="G36" s="3" t="b">
        <f>MID(Table1[[#This Row],[03 - pump status (1)]],1,1)="1"</f>
        <v>0</v>
      </c>
      <c r="H36" s="3" t="b">
        <f>MID(Table1[[#This Row],[03 - pump status (1)]],2,1)="1"</f>
        <v>1</v>
      </c>
      <c r="I36" s="3" t="b">
        <f>MID(Table1[[#This Row],[03 - pump status (1)]],3,1)="1"</f>
        <v>0</v>
      </c>
      <c r="J36" s="3" t="b">
        <f>MID(Table1[[#This Row],[03 - pump status (1)]],4,1)="1"</f>
        <v>1</v>
      </c>
      <c r="K36" s="3" t="b">
        <f>MID(Table1[[#This Row],[03 - pump status (1)]],5,1)="1"</f>
        <v>0</v>
      </c>
      <c r="L36" s="3" t="b">
        <f>MID(Table1[[#This Row],[03 - pump status (1)]],6,1)="1"</f>
        <v>0</v>
      </c>
      <c r="M36" s="3" t="b">
        <f>MID(Table1[[#This Row],[03 - pump status (1)]],7,1)="1"</f>
        <v>0</v>
      </c>
      <c r="N36" s="3" t="b">
        <f>MID(Table1[[#This Row],[03 - pump status (1)]],8,1)="1"</f>
        <v>0</v>
      </c>
      <c r="O36" s="3" t="str">
        <f>MID(Table1[[#This Row],[statusRaw]],1+HEX2DEC(LEFT(O$1,2))*2, 8)</f>
        <v>00000000</v>
      </c>
      <c r="P36" s="3" t="str">
        <f>MID(Table1[[#This Row],[statusRaw]],1+HEX2DEC(LEFT(P$1,2))*2, 8)</f>
        <v>00000000</v>
      </c>
      <c r="Q36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36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36" s="3">
        <f>HEX2DEC(MID(Table1[[#This Row],[statusRaw]],1+HEX2DEC(LEFT(S$1,2))*2, 8))/10000</f>
        <v>1</v>
      </c>
      <c r="T36" s="3" t="str">
        <f>MID(Table1[[#This Row],[statusRaw]],1+HEX2DEC(LEFT(T$1,2))*2, 8)</f>
        <v>278A247E</v>
      </c>
      <c r="U36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0x2D00 11520</v>
      </c>
      <c r="V36" s="3" t="str">
        <f>HEX2BIN(MID(Table1[[#This Row],[statusRaw]],1+HEX2DEC(LEFT(V$1,2))*2, 2),8) &amp; " 0x" &amp;MID(Table1[[#This Row],[statusRaw]],1+HEX2DEC(LEFT(V$1,2))*2, 2)</f>
        <v>00000001 0x01</v>
      </c>
      <c r="W36" s="3">
        <f>HEX2DEC(MID(Table1[[#This Row],[statusRaw]],1+HEX2DEC(LEFT(W$1,2))*2, 8))/10000</f>
        <v>0.65</v>
      </c>
      <c r="X36" s="3">
        <f>HEX2DEC(MID(Table1[[#This Row],[statusRaw]],1+HEX2DEC(LEFT(X$1,2))*2, 8))/10000</f>
        <v>0</v>
      </c>
      <c r="Y36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36" s="3">
        <f>HEX2DEC(MID(Table1[[#This Row],[statusRaw]],1+HEX2DEC(LEFT(Z$1,2))*2, 8))/10000</f>
        <v>10.5</v>
      </c>
      <c r="AA36" s="3">
        <f>HEX2DEC(MID(Table1[[#This Row],[statusRaw]],1+HEX2DEC(LEFT(AA$1,2))*2, 2))</f>
        <v>50</v>
      </c>
      <c r="AB36" s="3">
        <f>HEX2DEC(MID(Table1[[#This Row],[statusRaw]],1+HEX2DEC(LEFT(AB$1,2))*2, 8))/10000</f>
        <v>217.22499999999999</v>
      </c>
      <c r="AC36" s="3">
        <f>HEX2DEC(MID(Table1[[#This Row],[statusRaw]],1+HEX2DEC(LEFT(AC$1,2))*2, 2))</f>
        <v>25</v>
      </c>
      <c r="AD36" s="3">
        <f>HEX2DEC(MID(Table1[[#This Row],[statusRaw]],1+HEX2DEC(LEFT(AD$1,2))*2, 2))</f>
        <v>0</v>
      </c>
      <c r="AE36" s="3">
        <f>HEX2DEC(MID(Table1[[#This Row],[statusRaw]],1+HEX2DEC(LEFT(AE$1,2))*2, 8))/10000</f>
        <v>1.5</v>
      </c>
      <c r="AF36" s="3">
        <f>IF(AND(Table1[[#This Row],[cgm]],NOT(Table1[[#This Row],[35 - SGV special bit (2)]])), _xlfn.BITAND(HEX2DEC(MID(Table1[[#This Row],[statusRaw]],1+HEX2DEC(LEFT(AF$1,2))*2, 4)),HEX2DEC("1FF")),"")</f>
        <v>208</v>
      </c>
      <c r="AG36" s="3" t="b">
        <f>_xlfn.BITAND(HEX2DEC(MID(Table1[[#This Row],[statusRaw]],1+HEX2DEC(LEFT(AG$1,2))*2, 4)),512)=512</f>
        <v>0</v>
      </c>
      <c r="AH36" s="3" t="str">
        <f>MID(Table1[[#This Row],[statusRaw]],1+HEX2DEC(LEFT(AF$1,2))*2, 8)</f>
        <v>00D08674</v>
      </c>
      <c r="AI36" s="3" t="str">
        <f>MID(Table1[[#This Row],[statusRaw]],1+HEX2DEC(LEFT(AH$1,2))*2, 8)</f>
        <v>86743D67</v>
      </c>
      <c r="AJ36" s="3" t="str">
        <f>HEX2BIN(MID(Table1[[#This Row],[statusRaw]],1+HEX2DEC(LEFT(AJ$1,2))*2, 2),8) &amp; " 0x" &amp;MID(Table1[[#This Row],[statusRaw]],1+HEX2DEC(LEFT(AJ$1,2))*2, 2)</f>
        <v>00000101 0x05</v>
      </c>
      <c r="AK36" s="1" t="str">
        <f>HEX2BIN(MID(Table1[[#This Row],[statusRaw]],1+HEX2DEC(LEFT(AK$1,2))*2, 2),8) &amp; " 0x" &amp;MID(Table1[[#This Row],[statusRaw]],1+HEX2DEC(LEFT(AK$1,2))*2, 2)</f>
        <v>01100000 0x60</v>
      </c>
      <c r="AL36" s="1" t="str">
        <f>VLOOKUP(Table1[[#This Row],[40 trend]],'Arrow status mapping'!$A$1:$B$8,2,FALSE)</f>
        <v>No arrows</v>
      </c>
      <c r="AM36" s="3" t="str">
        <f>HEX2BIN(MID(Table1[[#This Row],[statusRaw]],1+HEX2DEC(LEFT(AM$1,2))*2, 2),8) &amp; " 0x" &amp;MID(Table1[[#This Row],[statusRaw]],1+HEX2DEC(LEFT(AM$1,2))*2, 2)</f>
        <v>00010000 0x10</v>
      </c>
      <c r="AN36" s="3" t="str">
        <f>HEX2BIN(MID(Table1[[#This Row],[statusRaw]],1+HEX2DEC(LEFT(AN$1,2))*2, 2),8) &amp; " 0x" &amp;MID(Table1[[#This Row],[statusRaw]],1+HEX2DEC(LEFT(AN$1,2))*2, 2)</f>
        <v>00000000 0x00</v>
      </c>
      <c r="AO36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0x00EB 235</v>
      </c>
      <c r="AP36" s="1" t="str">
        <f>HEX2BIN(MID(Table1[[#This Row],[statusRaw]],1+HEX2DEC(LEFT(AP$1,2))*2, 2),8) &amp; " 0x" &amp;MID(Table1[[#This Row],[statusRaw]],1+HEX2DEC(LEFT(AP$1,2))*2, 2)</f>
        <v>00101010 0x2A</v>
      </c>
      <c r="AQ36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0xFFE4 -28</v>
      </c>
      <c r="AR36" s="3">
        <f>TRUNC(_xlfn.NUMBERVALUE(RIGHT(Table1[[#This Row],[46 rate of change (2)]],LEN(Table1[[#This Row],[46 rate of change (2)]])-7))/100)</f>
        <v>0</v>
      </c>
      <c r="AS36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36" s="3" t="b">
        <f>Table1[[#This Row],[calc arrow]]=Table1[[#This Row],[trend]]</f>
        <v>1</v>
      </c>
      <c r="AU36" s="3" t="str">
        <f>HEX2BIN(MID(Table1[[#This Row],[statusRaw]],1+HEX2DEC(LEFT(AU$1,2))*2, 2),8) &amp; " 0x" &amp;MID(Table1[[#This Row],[statusRaw]],1+HEX2DEC(LEFT(AU$1,2))*2, 2)</f>
        <v>00000000 0x00</v>
      </c>
      <c r="AV36" s="3">
        <f>HEX2DEC(MID(Table1[[#This Row],[statusRaw]],1+HEX2DEC(LEFT(AV$1,2))*2, 4))</f>
        <v>0</v>
      </c>
      <c r="AW36" s="3" t="str">
        <f>HEX2BIN(MID(Table1[[#This Row],[statusRaw]],1+HEX2DEC(LEFT(AW$1,2))*2, 2),8) &amp; " 0x" &amp;MID(Table1[[#This Row],[statusRaw]],1+HEX2DEC(LEFT(AW$1,2))*2, 2)</f>
        <v>00000000 0x00</v>
      </c>
      <c r="AX36" s="3" t="str">
        <f>HEX2BIN(MID(Table1[[#This Row],[statusRaw]],1+HEX2DEC(LEFT(AX$1,2))*2, 2),8) &amp; " 0x" &amp;MID(Table1[[#This Row],[statusRaw]],1+HEX2DEC(LEFT(AX$1,2))*2, 2)</f>
        <v>00000000 0x00</v>
      </c>
      <c r="AY36" s="3" t="str">
        <f>MID(Table1[[#This Row],[statusRaw]],1+HEX2DEC(LEFT(AY$1,2))*2, 8)</f>
        <v>00000000</v>
      </c>
      <c r="AZ36" s="3" t="str">
        <f>MID(Table1[[#This Row],[statusRaw]],1+HEX2DEC(LEFT(AZ$1,2))*2, 8)</f>
        <v>00000000</v>
      </c>
      <c r="BA36" s="3" t="str">
        <f>HEX2BIN(MID(Table1[[#This Row],[statusRaw]],1+HEX2DEC(LEFT(BA$1,2))*2, 2),8) &amp; " 0x" &amp;MID(Table1[[#This Row],[statusRaw]],1+HEX2DEC(LEFT(BA$1,2))*2, 2)</f>
        <v>00000000 0x00</v>
      </c>
      <c r="BB36" s="3" t="str">
        <f>HEX2BIN(MID(Table1[[#This Row],[statusRaw]],1+HEX2DEC(LEFT(BB$1,2))*2, 2),8) &amp; " 0x" &amp;MID(Table1[[#This Row],[statusRaw]],1+HEX2DEC(LEFT(BB$1,2))*2, 2)</f>
        <v>00000000 0x00</v>
      </c>
      <c r="BC36" s="3" t="str">
        <f>HEX2BIN(MID(Table1[[#This Row],[statusRaw]],1+HEX2DEC(LEFT(BC$1,2))*2, 2),8) &amp; " 0x" &amp;MID(Table1[[#This Row],[statusRaw]],1+HEX2DEC(LEFT(BC$1,2))*2, 2)</f>
        <v>00000000 0x00</v>
      </c>
      <c r="BD36" s="3" t="str">
        <f>MID(Table1[[#This Row],[statusRaw]],1+HEX2DEC(LEFT(BD$1,2))*2, 8)</f>
        <v>000008C7</v>
      </c>
      <c r="BE36" s="3" t="str">
        <f>MID(Table1[[#This Row],[statusRaw]],1+HEX2DEC(LEFT(BE$1,2))*2, 8)</f>
        <v>000008C7</v>
      </c>
      <c r="BF36" s="9"/>
    </row>
    <row r="37" spans="1:58" x14ac:dyDescent="0.25">
      <c r="A37" s="1" t="s">
        <v>111</v>
      </c>
      <c r="B37" s="1" t="s">
        <v>112</v>
      </c>
      <c r="C37" s="1" t="s">
        <v>7</v>
      </c>
      <c r="D37" s="1" t="s">
        <v>113</v>
      </c>
      <c r="E37" s="1">
        <v>20</v>
      </c>
      <c r="F37" s="3" t="str">
        <f>HEX2BIN(MID(Table1[[#This Row],[statusRaw]],1+HEX2DEC(LEFT(F$1,2))*2, 2),8) &amp; " 0x" &amp;MID(Table1[[#This Row],[statusRaw]],1+HEX2DEC(LEFT(F$1,2))*2, 2)</f>
        <v>01010000 0x50</v>
      </c>
      <c r="G37" s="3" t="b">
        <f>MID(Table1[[#This Row],[03 - pump status (1)]],1,1)="1"</f>
        <v>0</v>
      </c>
      <c r="H37" s="3" t="b">
        <f>MID(Table1[[#This Row],[03 - pump status (1)]],2,1)="1"</f>
        <v>1</v>
      </c>
      <c r="I37" s="3" t="b">
        <f>MID(Table1[[#This Row],[03 - pump status (1)]],3,1)="1"</f>
        <v>0</v>
      </c>
      <c r="J37" s="3" t="b">
        <f>MID(Table1[[#This Row],[03 - pump status (1)]],4,1)="1"</f>
        <v>1</v>
      </c>
      <c r="K37" s="3" t="b">
        <f>MID(Table1[[#This Row],[03 - pump status (1)]],5,1)="1"</f>
        <v>0</v>
      </c>
      <c r="L37" s="3" t="b">
        <f>MID(Table1[[#This Row],[03 - pump status (1)]],6,1)="1"</f>
        <v>0</v>
      </c>
      <c r="M37" s="3" t="b">
        <f>MID(Table1[[#This Row],[03 - pump status (1)]],7,1)="1"</f>
        <v>0</v>
      </c>
      <c r="N37" s="3" t="b">
        <f>MID(Table1[[#This Row],[03 - pump status (1)]],8,1)="1"</f>
        <v>0</v>
      </c>
      <c r="O37" s="3" t="str">
        <f>MID(Table1[[#This Row],[statusRaw]],1+HEX2DEC(LEFT(O$1,2))*2, 8)</f>
        <v>00000000</v>
      </c>
      <c r="P37" s="3" t="str">
        <f>MID(Table1[[#This Row],[statusRaw]],1+HEX2DEC(LEFT(P$1,2))*2, 8)</f>
        <v>00000000</v>
      </c>
      <c r="Q37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37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37" s="3">
        <f>HEX2DEC(MID(Table1[[#This Row],[statusRaw]],1+HEX2DEC(LEFT(S$1,2))*2, 8))/10000</f>
        <v>1</v>
      </c>
      <c r="T37" s="3" t="str">
        <f>MID(Table1[[#This Row],[statusRaw]],1+HEX2DEC(LEFT(T$1,2))*2, 8)</f>
        <v>278A247E</v>
      </c>
      <c r="U37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0x2D00 11520</v>
      </c>
      <c r="V37" s="3" t="str">
        <f>HEX2BIN(MID(Table1[[#This Row],[statusRaw]],1+HEX2DEC(LEFT(V$1,2))*2, 2),8) &amp; " 0x" &amp;MID(Table1[[#This Row],[statusRaw]],1+HEX2DEC(LEFT(V$1,2))*2, 2)</f>
        <v>00000001 0x01</v>
      </c>
      <c r="W37" s="3">
        <f>HEX2DEC(MID(Table1[[#This Row],[statusRaw]],1+HEX2DEC(LEFT(W$1,2))*2, 8))/10000</f>
        <v>0.6</v>
      </c>
      <c r="X37" s="3">
        <f>HEX2DEC(MID(Table1[[#This Row],[statusRaw]],1+HEX2DEC(LEFT(X$1,2))*2, 8))/10000</f>
        <v>0</v>
      </c>
      <c r="Y37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37" s="3">
        <f>HEX2DEC(MID(Table1[[#This Row],[statusRaw]],1+HEX2DEC(LEFT(Z$1,2))*2, 8))/10000</f>
        <v>10.375</v>
      </c>
      <c r="AA37" s="3">
        <f>HEX2DEC(MID(Table1[[#This Row],[statusRaw]],1+HEX2DEC(LEFT(AA$1,2))*2, 2))</f>
        <v>50</v>
      </c>
      <c r="AB37" s="3">
        <f>HEX2DEC(MID(Table1[[#This Row],[statusRaw]],1+HEX2DEC(LEFT(AB$1,2))*2, 8))/10000</f>
        <v>217.35</v>
      </c>
      <c r="AC37" s="3">
        <f>HEX2DEC(MID(Table1[[#This Row],[statusRaw]],1+HEX2DEC(LEFT(AC$1,2))*2, 2))</f>
        <v>25</v>
      </c>
      <c r="AD37" s="3">
        <f>HEX2DEC(MID(Table1[[#This Row],[statusRaw]],1+HEX2DEC(LEFT(AD$1,2))*2, 2))</f>
        <v>0</v>
      </c>
      <c r="AE37" s="3">
        <f>HEX2DEC(MID(Table1[[#This Row],[statusRaw]],1+HEX2DEC(LEFT(AE$1,2))*2, 8))/10000</f>
        <v>1.8</v>
      </c>
      <c r="AF37" s="3">
        <f>IF(AND(Table1[[#This Row],[cgm]],NOT(Table1[[#This Row],[35 - SGV special bit (2)]])), _xlfn.BITAND(HEX2DEC(MID(Table1[[#This Row],[statusRaw]],1+HEX2DEC(LEFT(AF$1,2))*2, 4)),HEX2DEC("1FF")),"")</f>
        <v>213</v>
      </c>
      <c r="AG37" s="3" t="b">
        <f>_xlfn.BITAND(HEX2DEC(MID(Table1[[#This Row],[statusRaw]],1+HEX2DEC(LEFT(AG$1,2))*2, 4)),512)=512</f>
        <v>0</v>
      </c>
      <c r="AH37" s="3" t="str">
        <f>MID(Table1[[#This Row],[statusRaw]],1+HEX2DEC(LEFT(AF$1,2))*2, 8)</f>
        <v>00D58674</v>
      </c>
      <c r="AI37" s="3" t="str">
        <f>MID(Table1[[#This Row],[statusRaw]],1+HEX2DEC(LEFT(AH$1,2))*2, 8)</f>
        <v>86743B0F</v>
      </c>
      <c r="AJ37" s="3" t="str">
        <f>HEX2BIN(MID(Table1[[#This Row],[statusRaw]],1+HEX2DEC(LEFT(AJ$1,2))*2, 2),8) &amp; " 0x" &amp;MID(Table1[[#This Row],[statusRaw]],1+HEX2DEC(LEFT(AJ$1,2))*2, 2)</f>
        <v>00000101 0x05</v>
      </c>
      <c r="AK37" s="1" t="str">
        <f>HEX2BIN(MID(Table1[[#This Row],[statusRaw]],1+HEX2DEC(LEFT(AK$1,2))*2, 2),8) &amp; " 0x" &amp;MID(Table1[[#This Row],[statusRaw]],1+HEX2DEC(LEFT(AK$1,2))*2, 2)</f>
        <v>01100000 0x60</v>
      </c>
      <c r="AL37" s="1" t="str">
        <f>VLOOKUP(Table1[[#This Row],[40 trend]],'Arrow status mapping'!$A$1:$B$8,2,FALSE)</f>
        <v>No arrows</v>
      </c>
      <c r="AM37" s="3" t="str">
        <f>HEX2BIN(MID(Table1[[#This Row],[statusRaw]],1+HEX2DEC(LEFT(AM$1,2))*2, 2),8) &amp; " 0x" &amp;MID(Table1[[#This Row],[statusRaw]],1+HEX2DEC(LEFT(AM$1,2))*2, 2)</f>
        <v>00010000 0x10</v>
      </c>
      <c r="AN37" s="3" t="str">
        <f>HEX2BIN(MID(Table1[[#This Row],[statusRaw]],1+HEX2DEC(LEFT(AN$1,2))*2, 2),8) &amp; " 0x" &amp;MID(Table1[[#This Row],[statusRaw]],1+HEX2DEC(LEFT(AN$1,2))*2, 2)</f>
        <v>00000000 0x00</v>
      </c>
      <c r="AO37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0x00F5 245</v>
      </c>
      <c r="AP37" s="1" t="str">
        <f>HEX2BIN(MID(Table1[[#This Row],[statusRaw]],1+HEX2DEC(LEFT(AP$1,2))*2, 2),8) &amp; " 0x" &amp;MID(Table1[[#This Row],[statusRaw]],1+HEX2DEC(LEFT(AP$1,2))*2, 2)</f>
        <v>00101010 0x2A</v>
      </c>
      <c r="AQ37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0xFFDE -34</v>
      </c>
      <c r="AR37" s="3">
        <f>TRUNC(_xlfn.NUMBERVALUE(RIGHT(Table1[[#This Row],[46 rate of change (2)]],LEN(Table1[[#This Row],[46 rate of change (2)]])-7))/100)</f>
        <v>0</v>
      </c>
      <c r="AS37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37" s="3" t="b">
        <f>Table1[[#This Row],[calc arrow]]=Table1[[#This Row],[trend]]</f>
        <v>1</v>
      </c>
      <c r="AU37" s="3" t="str">
        <f>HEX2BIN(MID(Table1[[#This Row],[statusRaw]],1+HEX2DEC(LEFT(AU$1,2))*2, 2),8) &amp; " 0x" &amp;MID(Table1[[#This Row],[statusRaw]],1+HEX2DEC(LEFT(AU$1,2))*2, 2)</f>
        <v>00000000 0x00</v>
      </c>
      <c r="AV37" s="3">
        <f>HEX2DEC(MID(Table1[[#This Row],[statusRaw]],1+HEX2DEC(LEFT(AV$1,2))*2, 4))</f>
        <v>0</v>
      </c>
      <c r="AW37" s="3" t="str">
        <f>HEX2BIN(MID(Table1[[#This Row],[statusRaw]],1+HEX2DEC(LEFT(AW$1,2))*2, 2),8) &amp; " 0x" &amp;MID(Table1[[#This Row],[statusRaw]],1+HEX2DEC(LEFT(AW$1,2))*2, 2)</f>
        <v>00000000 0x00</v>
      </c>
      <c r="AX37" s="3" t="str">
        <f>HEX2BIN(MID(Table1[[#This Row],[statusRaw]],1+HEX2DEC(LEFT(AX$1,2))*2, 2),8) &amp; " 0x" &amp;MID(Table1[[#This Row],[statusRaw]],1+HEX2DEC(LEFT(AX$1,2))*2, 2)</f>
        <v>00000000 0x00</v>
      </c>
      <c r="AY37" s="3" t="str">
        <f>MID(Table1[[#This Row],[statusRaw]],1+HEX2DEC(LEFT(AY$1,2))*2, 8)</f>
        <v>00000000</v>
      </c>
      <c r="AZ37" s="3" t="str">
        <f>MID(Table1[[#This Row],[statusRaw]],1+HEX2DEC(LEFT(AZ$1,2))*2, 8)</f>
        <v>00000000</v>
      </c>
      <c r="BA37" s="3" t="str">
        <f>HEX2BIN(MID(Table1[[#This Row],[statusRaw]],1+HEX2DEC(LEFT(BA$1,2))*2, 2),8) &amp; " 0x" &amp;MID(Table1[[#This Row],[statusRaw]],1+HEX2DEC(LEFT(BA$1,2))*2, 2)</f>
        <v>00000000 0x00</v>
      </c>
      <c r="BB37" s="3" t="str">
        <f>HEX2BIN(MID(Table1[[#This Row],[statusRaw]],1+HEX2DEC(LEFT(BB$1,2))*2, 2),8) &amp; " 0x" &amp;MID(Table1[[#This Row],[statusRaw]],1+HEX2DEC(LEFT(BB$1,2))*2, 2)</f>
        <v>00000000 0x00</v>
      </c>
      <c r="BC37" s="3" t="str">
        <f>HEX2BIN(MID(Table1[[#This Row],[statusRaw]],1+HEX2DEC(LEFT(BC$1,2))*2, 2),8) &amp; " 0x" &amp;MID(Table1[[#This Row],[statusRaw]],1+HEX2DEC(LEFT(BC$1,2))*2, 2)</f>
        <v>00000000 0x00</v>
      </c>
      <c r="BD37" s="3" t="str">
        <f>MID(Table1[[#This Row],[statusRaw]],1+HEX2DEC(LEFT(BD$1,2))*2, 8)</f>
        <v>000008C7</v>
      </c>
      <c r="BE37" s="3" t="str">
        <f>MID(Table1[[#This Row],[statusRaw]],1+HEX2DEC(LEFT(BE$1,2))*2, 8)</f>
        <v>000008C7</v>
      </c>
      <c r="BF37" s="9"/>
    </row>
    <row r="38" spans="1:58" x14ac:dyDescent="0.25">
      <c r="A38" s="1" t="s">
        <v>114</v>
      </c>
      <c r="B38" s="1" t="s">
        <v>115</v>
      </c>
      <c r="C38" s="1" t="s">
        <v>7</v>
      </c>
      <c r="D38" s="1" t="s">
        <v>116</v>
      </c>
      <c r="E38" s="1">
        <v>20</v>
      </c>
      <c r="F38" s="3" t="str">
        <f>HEX2BIN(MID(Table1[[#This Row],[statusRaw]],1+HEX2DEC(LEFT(F$1,2))*2, 2),8) &amp; " 0x" &amp;MID(Table1[[#This Row],[statusRaw]],1+HEX2DEC(LEFT(F$1,2))*2, 2)</f>
        <v>01010000 0x50</v>
      </c>
      <c r="G38" s="3" t="b">
        <f>MID(Table1[[#This Row],[03 - pump status (1)]],1,1)="1"</f>
        <v>0</v>
      </c>
      <c r="H38" s="3" t="b">
        <f>MID(Table1[[#This Row],[03 - pump status (1)]],2,1)="1"</f>
        <v>1</v>
      </c>
      <c r="I38" s="3" t="b">
        <f>MID(Table1[[#This Row],[03 - pump status (1)]],3,1)="1"</f>
        <v>0</v>
      </c>
      <c r="J38" s="3" t="b">
        <f>MID(Table1[[#This Row],[03 - pump status (1)]],4,1)="1"</f>
        <v>1</v>
      </c>
      <c r="K38" s="3" t="b">
        <f>MID(Table1[[#This Row],[03 - pump status (1)]],5,1)="1"</f>
        <v>0</v>
      </c>
      <c r="L38" s="3" t="b">
        <f>MID(Table1[[#This Row],[03 - pump status (1)]],6,1)="1"</f>
        <v>0</v>
      </c>
      <c r="M38" s="3" t="b">
        <f>MID(Table1[[#This Row],[03 - pump status (1)]],7,1)="1"</f>
        <v>0</v>
      </c>
      <c r="N38" s="3" t="b">
        <f>MID(Table1[[#This Row],[03 - pump status (1)]],8,1)="1"</f>
        <v>0</v>
      </c>
      <c r="O38" s="3" t="str">
        <f>MID(Table1[[#This Row],[statusRaw]],1+HEX2DEC(LEFT(O$1,2))*2, 8)</f>
        <v>00000000</v>
      </c>
      <c r="P38" s="3" t="str">
        <f>MID(Table1[[#This Row],[statusRaw]],1+HEX2DEC(LEFT(P$1,2))*2, 8)</f>
        <v>00000000</v>
      </c>
      <c r="Q38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38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38" s="3">
        <f>HEX2DEC(MID(Table1[[#This Row],[statusRaw]],1+HEX2DEC(LEFT(S$1,2))*2, 8))/10000</f>
        <v>1</v>
      </c>
      <c r="T38" s="3" t="str">
        <f>MID(Table1[[#This Row],[statusRaw]],1+HEX2DEC(LEFT(T$1,2))*2, 8)</f>
        <v>278A247E</v>
      </c>
      <c r="U38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0x2D00 11520</v>
      </c>
      <c r="V38" s="3" t="str">
        <f>HEX2BIN(MID(Table1[[#This Row],[statusRaw]],1+HEX2DEC(LEFT(V$1,2))*2, 2),8) &amp; " 0x" &amp;MID(Table1[[#This Row],[statusRaw]],1+HEX2DEC(LEFT(V$1,2))*2, 2)</f>
        <v>00000001 0x01</v>
      </c>
      <c r="W38" s="3">
        <f>HEX2DEC(MID(Table1[[#This Row],[statusRaw]],1+HEX2DEC(LEFT(W$1,2))*2, 8))/10000</f>
        <v>0.6</v>
      </c>
      <c r="X38" s="3">
        <f>HEX2DEC(MID(Table1[[#This Row],[statusRaw]],1+HEX2DEC(LEFT(X$1,2))*2, 8))/10000</f>
        <v>0</v>
      </c>
      <c r="Y38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38" s="3">
        <f>HEX2DEC(MID(Table1[[#This Row],[statusRaw]],1+HEX2DEC(LEFT(Z$1,2))*2, 8))/10000</f>
        <v>10.324999999999999</v>
      </c>
      <c r="AA38" s="3">
        <f>HEX2DEC(MID(Table1[[#This Row],[statusRaw]],1+HEX2DEC(LEFT(AA$1,2))*2, 2))</f>
        <v>50</v>
      </c>
      <c r="AB38" s="3">
        <f>HEX2DEC(MID(Table1[[#This Row],[statusRaw]],1+HEX2DEC(LEFT(AB$1,2))*2, 8))/10000</f>
        <v>217.4</v>
      </c>
      <c r="AC38" s="3">
        <f>HEX2DEC(MID(Table1[[#This Row],[statusRaw]],1+HEX2DEC(LEFT(AC$1,2))*2, 2))</f>
        <v>25</v>
      </c>
      <c r="AD38" s="3">
        <f>HEX2DEC(MID(Table1[[#This Row],[statusRaw]],1+HEX2DEC(LEFT(AD$1,2))*2, 2))</f>
        <v>0</v>
      </c>
      <c r="AE38" s="3">
        <f>HEX2DEC(MID(Table1[[#This Row],[statusRaw]],1+HEX2DEC(LEFT(AE$1,2))*2, 8))/10000</f>
        <v>1.9</v>
      </c>
      <c r="AF38" s="3">
        <f>IF(AND(Table1[[#This Row],[cgm]],NOT(Table1[[#This Row],[35 - SGV special bit (2)]])), _xlfn.BITAND(HEX2DEC(MID(Table1[[#This Row],[statusRaw]],1+HEX2DEC(LEFT(AF$1,2))*2, 4)),HEX2DEC("1FF")),"")</f>
        <v>215</v>
      </c>
      <c r="AG38" s="3" t="b">
        <f>_xlfn.BITAND(HEX2DEC(MID(Table1[[#This Row],[statusRaw]],1+HEX2DEC(LEFT(AG$1,2))*2, 4)),512)=512</f>
        <v>0</v>
      </c>
      <c r="AH38" s="3" t="str">
        <f>MID(Table1[[#This Row],[statusRaw]],1+HEX2DEC(LEFT(AF$1,2))*2, 8)</f>
        <v>00D78674</v>
      </c>
      <c r="AI38" s="3" t="str">
        <f>MID(Table1[[#This Row],[statusRaw]],1+HEX2DEC(LEFT(AH$1,2))*2, 8)</f>
        <v>867439E3</v>
      </c>
      <c r="AJ38" s="3" t="str">
        <f>HEX2BIN(MID(Table1[[#This Row],[statusRaw]],1+HEX2DEC(LEFT(AJ$1,2))*2, 2),8) &amp; " 0x" &amp;MID(Table1[[#This Row],[statusRaw]],1+HEX2DEC(LEFT(AJ$1,2))*2, 2)</f>
        <v>00000001 0x01</v>
      </c>
      <c r="AK38" s="1" t="str">
        <f>HEX2BIN(MID(Table1[[#This Row],[statusRaw]],1+HEX2DEC(LEFT(AK$1,2))*2, 2),8) &amp; " 0x" &amp;MID(Table1[[#This Row],[statusRaw]],1+HEX2DEC(LEFT(AK$1,2))*2, 2)</f>
        <v>01000000 0x40</v>
      </c>
      <c r="AL38" s="1" t="str">
        <f>VLOOKUP(Table1[[#This Row],[40 trend]],'Arrow status mapping'!$A$1:$B$8,2,FALSE)</f>
        <v>1 arrows down</v>
      </c>
      <c r="AM38" s="3" t="str">
        <f>HEX2BIN(MID(Table1[[#This Row],[statusRaw]],1+HEX2DEC(LEFT(AM$1,2))*2, 2),8) &amp; " 0x" &amp;MID(Table1[[#This Row],[statusRaw]],1+HEX2DEC(LEFT(AM$1,2))*2, 2)</f>
        <v>00010000 0x10</v>
      </c>
      <c r="AN38" s="3" t="str">
        <f>HEX2BIN(MID(Table1[[#This Row],[statusRaw]],1+HEX2DEC(LEFT(AN$1,2))*2, 2),8) &amp; " 0x" &amp;MID(Table1[[#This Row],[statusRaw]],1+HEX2DEC(LEFT(AN$1,2))*2, 2)</f>
        <v>00000000 0x00</v>
      </c>
      <c r="AO38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0x00FA 250</v>
      </c>
      <c r="AP38" s="1" t="str">
        <f>HEX2BIN(MID(Table1[[#This Row],[statusRaw]],1+HEX2DEC(LEFT(AP$1,2))*2, 2),8) &amp; " 0x" &amp;MID(Table1[[#This Row],[statusRaw]],1+HEX2DEC(LEFT(AP$1,2))*2, 2)</f>
        <v>00101010 0x2A</v>
      </c>
      <c r="AQ38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0xFF93 -109</v>
      </c>
      <c r="AR38" s="3">
        <f>TRUNC(_xlfn.NUMBERVALUE(RIGHT(Table1[[#This Row],[46 rate of change (2)]],LEN(Table1[[#This Row],[46 rate of change (2)]])-7))/100)</f>
        <v>-1</v>
      </c>
      <c r="AS38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down</v>
      </c>
      <c r="AT38" s="3" t="b">
        <f>Table1[[#This Row],[calc arrow]]=Table1[[#This Row],[trend]]</f>
        <v>1</v>
      </c>
      <c r="AU38" s="3" t="str">
        <f>HEX2BIN(MID(Table1[[#This Row],[statusRaw]],1+HEX2DEC(LEFT(AU$1,2))*2, 2),8) &amp; " 0x" &amp;MID(Table1[[#This Row],[statusRaw]],1+HEX2DEC(LEFT(AU$1,2))*2, 2)</f>
        <v>00000000 0x00</v>
      </c>
      <c r="AV38" s="3">
        <f>HEX2DEC(MID(Table1[[#This Row],[statusRaw]],1+HEX2DEC(LEFT(AV$1,2))*2, 4))</f>
        <v>0</v>
      </c>
      <c r="AW38" s="3" t="str">
        <f>HEX2BIN(MID(Table1[[#This Row],[statusRaw]],1+HEX2DEC(LEFT(AW$1,2))*2, 2),8) &amp; " 0x" &amp;MID(Table1[[#This Row],[statusRaw]],1+HEX2DEC(LEFT(AW$1,2))*2, 2)</f>
        <v>00000000 0x00</v>
      </c>
      <c r="AX38" s="3" t="str">
        <f>HEX2BIN(MID(Table1[[#This Row],[statusRaw]],1+HEX2DEC(LEFT(AX$1,2))*2, 2),8) &amp; " 0x" &amp;MID(Table1[[#This Row],[statusRaw]],1+HEX2DEC(LEFT(AX$1,2))*2, 2)</f>
        <v>00000000 0x00</v>
      </c>
      <c r="AY38" s="3" t="str">
        <f>MID(Table1[[#This Row],[statusRaw]],1+HEX2DEC(LEFT(AY$1,2))*2, 8)</f>
        <v>00000000</v>
      </c>
      <c r="AZ38" s="3" t="str">
        <f>MID(Table1[[#This Row],[statusRaw]],1+HEX2DEC(LEFT(AZ$1,2))*2, 8)</f>
        <v>00000000</v>
      </c>
      <c r="BA38" s="3" t="str">
        <f>HEX2BIN(MID(Table1[[#This Row],[statusRaw]],1+HEX2DEC(LEFT(BA$1,2))*2, 2),8) &amp; " 0x" &amp;MID(Table1[[#This Row],[statusRaw]],1+HEX2DEC(LEFT(BA$1,2))*2, 2)</f>
        <v>00000000 0x00</v>
      </c>
      <c r="BB38" s="3" t="str">
        <f>HEX2BIN(MID(Table1[[#This Row],[statusRaw]],1+HEX2DEC(LEFT(BB$1,2))*2, 2),8) &amp; " 0x" &amp;MID(Table1[[#This Row],[statusRaw]],1+HEX2DEC(LEFT(BB$1,2))*2, 2)</f>
        <v>00000000 0x00</v>
      </c>
      <c r="BC38" s="3" t="str">
        <f>HEX2BIN(MID(Table1[[#This Row],[statusRaw]],1+HEX2DEC(LEFT(BC$1,2))*2, 2),8) &amp; " 0x" &amp;MID(Table1[[#This Row],[statusRaw]],1+HEX2DEC(LEFT(BC$1,2))*2, 2)</f>
        <v>00000000 0x00</v>
      </c>
      <c r="BD38" s="3" t="str">
        <f>MID(Table1[[#This Row],[statusRaw]],1+HEX2DEC(LEFT(BD$1,2))*2, 8)</f>
        <v>000008C7</v>
      </c>
      <c r="BE38" s="3" t="str">
        <f>MID(Table1[[#This Row],[statusRaw]],1+HEX2DEC(LEFT(BE$1,2))*2, 8)</f>
        <v>000008C7</v>
      </c>
      <c r="BF38" s="9"/>
    </row>
    <row r="39" spans="1:58" x14ac:dyDescent="0.25">
      <c r="A39" s="1" t="s">
        <v>117</v>
      </c>
      <c r="B39" s="1" t="s">
        <v>118</v>
      </c>
      <c r="C39" s="1" t="s">
        <v>7</v>
      </c>
      <c r="D39" s="1" t="s">
        <v>119</v>
      </c>
      <c r="E39" s="1">
        <v>20</v>
      </c>
      <c r="F39" s="3" t="str">
        <f>HEX2BIN(MID(Table1[[#This Row],[statusRaw]],1+HEX2DEC(LEFT(F$1,2))*2, 2),8) &amp; " 0x" &amp;MID(Table1[[#This Row],[statusRaw]],1+HEX2DEC(LEFT(F$1,2))*2, 2)</f>
        <v>01010000 0x50</v>
      </c>
      <c r="G39" s="3" t="b">
        <f>MID(Table1[[#This Row],[03 - pump status (1)]],1,1)="1"</f>
        <v>0</v>
      </c>
      <c r="H39" s="3" t="b">
        <f>MID(Table1[[#This Row],[03 - pump status (1)]],2,1)="1"</f>
        <v>1</v>
      </c>
      <c r="I39" s="3" t="b">
        <f>MID(Table1[[#This Row],[03 - pump status (1)]],3,1)="1"</f>
        <v>0</v>
      </c>
      <c r="J39" s="3" t="b">
        <f>MID(Table1[[#This Row],[03 - pump status (1)]],4,1)="1"</f>
        <v>1</v>
      </c>
      <c r="K39" s="3" t="b">
        <f>MID(Table1[[#This Row],[03 - pump status (1)]],5,1)="1"</f>
        <v>0</v>
      </c>
      <c r="L39" s="3" t="b">
        <f>MID(Table1[[#This Row],[03 - pump status (1)]],6,1)="1"</f>
        <v>0</v>
      </c>
      <c r="M39" s="3" t="b">
        <f>MID(Table1[[#This Row],[03 - pump status (1)]],7,1)="1"</f>
        <v>0</v>
      </c>
      <c r="N39" s="3" t="b">
        <f>MID(Table1[[#This Row],[03 - pump status (1)]],8,1)="1"</f>
        <v>0</v>
      </c>
      <c r="O39" s="3" t="str">
        <f>MID(Table1[[#This Row],[statusRaw]],1+HEX2DEC(LEFT(O$1,2))*2, 8)</f>
        <v>00000000</v>
      </c>
      <c r="P39" s="3" t="str">
        <f>MID(Table1[[#This Row],[statusRaw]],1+HEX2DEC(LEFT(P$1,2))*2, 8)</f>
        <v>00000000</v>
      </c>
      <c r="Q39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39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39" s="3">
        <f>HEX2DEC(MID(Table1[[#This Row],[statusRaw]],1+HEX2DEC(LEFT(S$1,2))*2, 8))/10000</f>
        <v>1</v>
      </c>
      <c r="T39" s="3" t="str">
        <f>MID(Table1[[#This Row],[statusRaw]],1+HEX2DEC(LEFT(T$1,2))*2, 8)</f>
        <v>278A247E</v>
      </c>
      <c r="U39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0x2D00 11520</v>
      </c>
      <c r="V39" s="3" t="str">
        <f>HEX2BIN(MID(Table1[[#This Row],[statusRaw]],1+HEX2DEC(LEFT(V$1,2))*2, 2),8) &amp; " 0x" &amp;MID(Table1[[#This Row],[statusRaw]],1+HEX2DEC(LEFT(V$1,2))*2, 2)</f>
        <v>00000001 0x01</v>
      </c>
      <c r="W39" s="3">
        <f>HEX2DEC(MID(Table1[[#This Row],[statusRaw]],1+HEX2DEC(LEFT(W$1,2))*2, 8))/10000</f>
        <v>0.6</v>
      </c>
      <c r="X39" s="3">
        <f>HEX2DEC(MID(Table1[[#This Row],[statusRaw]],1+HEX2DEC(LEFT(X$1,2))*2, 8))/10000</f>
        <v>0</v>
      </c>
      <c r="Y39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39" s="3">
        <f>HEX2DEC(MID(Table1[[#This Row],[statusRaw]],1+HEX2DEC(LEFT(Z$1,2))*2, 8))/10000</f>
        <v>10.275</v>
      </c>
      <c r="AA39" s="3">
        <f>HEX2DEC(MID(Table1[[#This Row],[statusRaw]],1+HEX2DEC(LEFT(AA$1,2))*2, 2))</f>
        <v>50</v>
      </c>
      <c r="AB39" s="3">
        <f>HEX2DEC(MID(Table1[[#This Row],[statusRaw]],1+HEX2DEC(LEFT(AB$1,2))*2, 8))/10000</f>
        <v>217.45</v>
      </c>
      <c r="AC39" s="3">
        <f>HEX2DEC(MID(Table1[[#This Row],[statusRaw]],1+HEX2DEC(LEFT(AC$1,2))*2, 2))</f>
        <v>25</v>
      </c>
      <c r="AD39" s="3">
        <f>HEX2DEC(MID(Table1[[#This Row],[statusRaw]],1+HEX2DEC(LEFT(AD$1,2))*2, 2))</f>
        <v>0</v>
      </c>
      <c r="AE39" s="3">
        <f>HEX2DEC(MID(Table1[[#This Row],[statusRaw]],1+HEX2DEC(LEFT(AE$1,2))*2, 8))/10000</f>
        <v>2.1</v>
      </c>
      <c r="AF39" s="3">
        <f>IF(AND(Table1[[#This Row],[cgm]],NOT(Table1[[#This Row],[35 - SGV special bit (2)]])), _xlfn.BITAND(HEX2DEC(MID(Table1[[#This Row],[statusRaw]],1+HEX2DEC(LEFT(AF$1,2))*2, 4)),HEX2DEC("1FF")),"")</f>
        <v>224</v>
      </c>
      <c r="AG39" s="3" t="b">
        <f>_xlfn.BITAND(HEX2DEC(MID(Table1[[#This Row],[statusRaw]],1+HEX2DEC(LEFT(AG$1,2))*2, 4)),512)=512</f>
        <v>0</v>
      </c>
      <c r="AH39" s="3" t="str">
        <f>MID(Table1[[#This Row],[statusRaw]],1+HEX2DEC(LEFT(AF$1,2))*2, 8)</f>
        <v>00E08674</v>
      </c>
      <c r="AI39" s="3" t="str">
        <f>MID(Table1[[#This Row],[statusRaw]],1+HEX2DEC(LEFT(AH$1,2))*2, 8)</f>
        <v>867438B7</v>
      </c>
      <c r="AJ39" s="3" t="str">
        <f>HEX2BIN(MID(Table1[[#This Row],[statusRaw]],1+HEX2DEC(LEFT(AJ$1,2))*2, 2),8) &amp; " 0x" &amp;MID(Table1[[#This Row],[statusRaw]],1+HEX2DEC(LEFT(AJ$1,2))*2, 2)</f>
        <v>00000101 0x05</v>
      </c>
      <c r="AK39" s="1" t="str">
        <f>HEX2BIN(MID(Table1[[#This Row],[statusRaw]],1+HEX2DEC(LEFT(AK$1,2))*2, 2),8) &amp; " 0x" &amp;MID(Table1[[#This Row],[statusRaw]],1+HEX2DEC(LEFT(AK$1,2))*2, 2)</f>
        <v>01100000 0x60</v>
      </c>
      <c r="AL39" s="1" t="str">
        <f>VLOOKUP(Table1[[#This Row],[40 trend]],'Arrow status mapping'!$A$1:$B$8,2,FALSE)</f>
        <v>No arrows</v>
      </c>
      <c r="AM39" s="3" t="str">
        <f>HEX2BIN(MID(Table1[[#This Row],[statusRaw]],1+HEX2DEC(LEFT(AM$1,2))*2, 2),8) &amp; " 0x" &amp;MID(Table1[[#This Row],[statusRaw]],1+HEX2DEC(LEFT(AM$1,2))*2, 2)</f>
        <v>00010000 0x10</v>
      </c>
      <c r="AN39" s="3" t="str">
        <f>HEX2BIN(MID(Table1[[#This Row],[statusRaw]],1+HEX2DEC(LEFT(AN$1,2))*2, 2),8) &amp; " 0x" &amp;MID(Table1[[#This Row],[statusRaw]],1+HEX2DEC(LEFT(AN$1,2))*2, 2)</f>
        <v>00000000 0x00</v>
      </c>
      <c r="AO39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0x00FF 255</v>
      </c>
      <c r="AP39" s="1" t="str">
        <f>HEX2BIN(MID(Table1[[#This Row],[statusRaw]],1+HEX2DEC(LEFT(AP$1,2))*2, 2),8) &amp; " 0x" &amp;MID(Table1[[#This Row],[statusRaw]],1+HEX2DEC(LEFT(AP$1,2))*2, 2)</f>
        <v>00101010 0x2A</v>
      </c>
      <c r="AQ39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0xFFB6 -74</v>
      </c>
      <c r="AR39" s="3">
        <f>TRUNC(_xlfn.NUMBERVALUE(RIGHT(Table1[[#This Row],[46 rate of change (2)]],LEN(Table1[[#This Row],[46 rate of change (2)]])-7))/100)</f>
        <v>0</v>
      </c>
      <c r="AS39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39" s="3" t="b">
        <f>Table1[[#This Row],[calc arrow]]=Table1[[#This Row],[trend]]</f>
        <v>1</v>
      </c>
      <c r="AU39" s="3" t="str">
        <f>HEX2BIN(MID(Table1[[#This Row],[statusRaw]],1+HEX2DEC(LEFT(AU$1,2))*2, 2),8) &amp; " 0x" &amp;MID(Table1[[#This Row],[statusRaw]],1+HEX2DEC(LEFT(AU$1,2))*2, 2)</f>
        <v>00000000 0x00</v>
      </c>
      <c r="AV39" s="3">
        <f>HEX2DEC(MID(Table1[[#This Row],[statusRaw]],1+HEX2DEC(LEFT(AV$1,2))*2, 4))</f>
        <v>0</v>
      </c>
      <c r="AW39" s="3" t="str">
        <f>HEX2BIN(MID(Table1[[#This Row],[statusRaw]],1+HEX2DEC(LEFT(AW$1,2))*2, 2),8) &amp; " 0x" &amp;MID(Table1[[#This Row],[statusRaw]],1+HEX2DEC(LEFT(AW$1,2))*2, 2)</f>
        <v>00000000 0x00</v>
      </c>
      <c r="AX39" s="3" t="str">
        <f>HEX2BIN(MID(Table1[[#This Row],[statusRaw]],1+HEX2DEC(LEFT(AX$1,2))*2, 2),8) &amp; " 0x" &amp;MID(Table1[[#This Row],[statusRaw]],1+HEX2DEC(LEFT(AX$1,2))*2, 2)</f>
        <v>00000000 0x00</v>
      </c>
      <c r="AY39" s="3" t="str">
        <f>MID(Table1[[#This Row],[statusRaw]],1+HEX2DEC(LEFT(AY$1,2))*2, 8)</f>
        <v>00000000</v>
      </c>
      <c r="AZ39" s="3" t="str">
        <f>MID(Table1[[#This Row],[statusRaw]],1+HEX2DEC(LEFT(AZ$1,2))*2, 8)</f>
        <v>00000000</v>
      </c>
      <c r="BA39" s="3" t="str">
        <f>HEX2BIN(MID(Table1[[#This Row],[statusRaw]],1+HEX2DEC(LEFT(BA$1,2))*2, 2),8) &amp; " 0x" &amp;MID(Table1[[#This Row],[statusRaw]],1+HEX2DEC(LEFT(BA$1,2))*2, 2)</f>
        <v>00000000 0x00</v>
      </c>
      <c r="BB39" s="3" t="str">
        <f>HEX2BIN(MID(Table1[[#This Row],[statusRaw]],1+HEX2DEC(LEFT(BB$1,2))*2, 2),8) &amp; " 0x" &amp;MID(Table1[[#This Row],[statusRaw]],1+HEX2DEC(LEFT(BB$1,2))*2, 2)</f>
        <v>00000000 0x00</v>
      </c>
      <c r="BC39" s="3" t="str">
        <f>HEX2BIN(MID(Table1[[#This Row],[statusRaw]],1+HEX2DEC(LEFT(BC$1,2))*2, 2),8) &amp; " 0x" &amp;MID(Table1[[#This Row],[statusRaw]],1+HEX2DEC(LEFT(BC$1,2))*2, 2)</f>
        <v>00000000 0x00</v>
      </c>
      <c r="BD39" s="3" t="str">
        <f>MID(Table1[[#This Row],[statusRaw]],1+HEX2DEC(LEFT(BD$1,2))*2, 8)</f>
        <v>000008C7</v>
      </c>
      <c r="BE39" s="3" t="str">
        <f>MID(Table1[[#This Row],[statusRaw]],1+HEX2DEC(LEFT(BE$1,2))*2, 8)</f>
        <v>000008C7</v>
      </c>
      <c r="BF39" s="9"/>
    </row>
    <row r="40" spans="1:58" x14ac:dyDescent="0.25">
      <c r="A40" s="1" t="s">
        <v>120</v>
      </c>
      <c r="B40" s="1" t="s">
        <v>121</v>
      </c>
      <c r="C40" s="1" t="s">
        <v>7</v>
      </c>
      <c r="D40" s="1" t="s">
        <v>122</v>
      </c>
      <c r="E40" s="1">
        <v>20</v>
      </c>
      <c r="F40" s="3" t="str">
        <f>HEX2BIN(MID(Table1[[#This Row],[statusRaw]],1+HEX2DEC(LEFT(F$1,2))*2, 2),8) &amp; " 0x" &amp;MID(Table1[[#This Row],[statusRaw]],1+HEX2DEC(LEFT(F$1,2))*2, 2)</f>
        <v>01010000 0x50</v>
      </c>
      <c r="G40" s="3" t="b">
        <f>MID(Table1[[#This Row],[03 - pump status (1)]],1,1)="1"</f>
        <v>0</v>
      </c>
      <c r="H40" s="3" t="b">
        <f>MID(Table1[[#This Row],[03 - pump status (1)]],2,1)="1"</f>
        <v>1</v>
      </c>
      <c r="I40" s="3" t="b">
        <f>MID(Table1[[#This Row],[03 - pump status (1)]],3,1)="1"</f>
        <v>0</v>
      </c>
      <c r="J40" s="3" t="b">
        <f>MID(Table1[[#This Row],[03 - pump status (1)]],4,1)="1"</f>
        <v>1</v>
      </c>
      <c r="K40" s="3" t="b">
        <f>MID(Table1[[#This Row],[03 - pump status (1)]],5,1)="1"</f>
        <v>0</v>
      </c>
      <c r="L40" s="3" t="b">
        <f>MID(Table1[[#This Row],[03 - pump status (1)]],6,1)="1"</f>
        <v>0</v>
      </c>
      <c r="M40" s="3" t="b">
        <f>MID(Table1[[#This Row],[03 - pump status (1)]],7,1)="1"</f>
        <v>0</v>
      </c>
      <c r="N40" s="3" t="b">
        <f>MID(Table1[[#This Row],[03 - pump status (1)]],8,1)="1"</f>
        <v>0</v>
      </c>
      <c r="O40" s="3" t="str">
        <f>MID(Table1[[#This Row],[statusRaw]],1+HEX2DEC(LEFT(O$1,2))*2, 8)</f>
        <v>00000000</v>
      </c>
      <c r="P40" s="3" t="str">
        <f>MID(Table1[[#This Row],[statusRaw]],1+HEX2DEC(LEFT(P$1,2))*2, 8)</f>
        <v>00000000</v>
      </c>
      <c r="Q40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40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40" s="3">
        <f>HEX2DEC(MID(Table1[[#This Row],[statusRaw]],1+HEX2DEC(LEFT(S$1,2))*2, 8))/10000</f>
        <v>1</v>
      </c>
      <c r="T40" s="3" t="str">
        <f>MID(Table1[[#This Row],[statusRaw]],1+HEX2DEC(LEFT(T$1,2))*2, 8)</f>
        <v>278A247E</v>
      </c>
      <c r="U40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0x2D00 11520</v>
      </c>
      <c r="V40" s="3" t="str">
        <f>HEX2BIN(MID(Table1[[#This Row],[statusRaw]],1+HEX2DEC(LEFT(V$1,2))*2, 2),8) &amp; " 0x" &amp;MID(Table1[[#This Row],[statusRaw]],1+HEX2DEC(LEFT(V$1,2))*2, 2)</f>
        <v>00000001 0x01</v>
      </c>
      <c r="W40" s="3">
        <f>HEX2DEC(MID(Table1[[#This Row],[statusRaw]],1+HEX2DEC(LEFT(W$1,2))*2, 8))/10000</f>
        <v>0.6</v>
      </c>
      <c r="X40" s="3">
        <f>HEX2DEC(MID(Table1[[#This Row],[statusRaw]],1+HEX2DEC(LEFT(X$1,2))*2, 8))/10000</f>
        <v>0</v>
      </c>
      <c r="Y40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40" s="3">
        <f>HEX2DEC(MID(Table1[[#This Row],[statusRaw]],1+HEX2DEC(LEFT(Z$1,2))*2, 8))/10000</f>
        <v>10.175000000000001</v>
      </c>
      <c r="AA40" s="3">
        <f>HEX2DEC(MID(Table1[[#This Row],[statusRaw]],1+HEX2DEC(LEFT(AA$1,2))*2, 2))</f>
        <v>50</v>
      </c>
      <c r="AB40" s="3">
        <f>HEX2DEC(MID(Table1[[#This Row],[statusRaw]],1+HEX2DEC(LEFT(AB$1,2))*2, 8))/10000</f>
        <v>217.55</v>
      </c>
      <c r="AC40" s="3">
        <f>HEX2DEC(MID(Table1[[#This Row],[statusRaw]],1+HEX2DEC(LEFT(AC$1,2))*2, 2))</f>
        <v>25</v>
      </c>
      <c r="AD40" s="3">
        <f>HEX2DEC(MID(Table1[[#This Row],[statusRaw]],1+HEX2DEC(LEFT(AD$1,2))*2, 2))</f>
        <v>0</v>
      </c>
      <c r="AE40" s="3">
        <f>HEX2DEC(MID(Table1[[#This Row],[statusRaw]],1+HEX2DEC(LEFT(AE$1,2))*2, 8))/10000</f>
        <v>2.4</v>
      </c>
      <c r="AF40" s="3">
        <f>IF(AND(Table1[[#This Row],[cgm]],NOT(Table1[[#This Row],[35 - SGV special bit (2)]])), _xlfn.BITAND(HEX2DEC(MID(Table1[[#This Row],[statusRaw]],1+HEX2DEC(LEFT(AF$1,2))*2, 4)),HEX2DEC("1FF")),"")</f>
        <v>233</v>
      </c>
      <c r="AG40" s="3" t="b">
        <f>_xlfn.BITAND(HEX2DEC(MID(Table1[[#This Row],[statusRaw]],1+HEX2DEC(LEFT(AG$1,2))*2, 4)),512)=512</f>
        <v>0</v>
      </c>
      <c r="AH40" s="3" t="str">
        <f>MID(Table1[[#This Row],[statusRaw]],1+HEX2DEC(LEFT(AF$1,2))*2, 8)</f>
        <v>00E98674</v>
      </c>
      <c r="AI40" s="3" t="str">
        <f>MID(Table1[[#This Row],[statusRaw]],1+HEX2DEC(LEFT(AH$1,2))*2, 8)</f>
        <v>8674365F</v>
      </c>
      <c r="AJ40" s="3" t="str">
        <f>HEX2BIN(MID(Table1[[#This Row],[statusRaw]],1+HEX2DEC(LEFT(AJ$1,2))*2, 2),8) &amp; " 0x" &amp;MID(Table1[[#This Row],[statusRaw]],1+HEX2DEC(LEFT(AJ$1,2))*2, 2)</f>
        <v>00000101 0x05</v>
      </c>
      <c r="AK40" s="1" t="str">
        <f>HEX2BIN(MID(Table1[[#This Row],[statusRaw]],1+HEX2DEC(LEFT(AK$1,2))*2, 2),8) &amp; " 0x" &amp;MID(Table1[[#This Row],[statusRaw]],1+HEX2DEC(LEFT(AK$1,2))*2, 2)</f>
        <v>01100000 0x60</v>
      </c>
      <c r="AL40" s="1" t="str">
        <f>VLOOKUP(Table1[[#This Row],[40 trend]],'Arrow status mapping'!$A$1:$B$8,2,FALSE)</f>
        <v>No arrows</v>
      </c>
      <c r="AM40" s="3" t="str">
        <f>HEX2BIN(MID(Table1[[#This Row],[statusRaw]],1+HEX2DEC(LEFT(AM$1,2))*2, 2),8) &amp; " 0x" &amp;MID(Table1[[#This Row],[statusRaw]],1+HEX2DEC(LEFT(AM$1,2))*2, 2)</f>
        <v>00010000 0x10</v>
      </c>
      <c r="AN40" s="3" t="str">
        <f>HEX2BIN(MID(Table1[[#This Row],[statusRaw]],1+HEX2DEC(LEFT(AN$1,2))*2, 2),8) &amp; " 0x" &amp;MID(Table1[[#This Row],[statusRaw]],1+HEX2DEC(LEFT(AN$1,2))*2, 2)</f>
        <v>00000000 0x00</v>
      </c>
      <c r="AO40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0x0109 265</v>
      </c>
      <c r="AP40" s="1" t="str">
        <f>HEX2BIN(MID(Table1[[#This Row],[statusRaw]],1+HEX2DEC(LEFT(AP$1,2))*2, 2),8) &amp; " 0x" &amp;MID(Table1[[#This Row],[statusRaw]],1+HEX2DEC(LEFT(AP$1,2))*2, 2)</f>
        <v>00101010 0x2A</v>
      </c>
      <c r="AQ40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40" s="3">
        <f>TRUNC(_xlfn.NUMBERVALUE(RIGHT(Table1[[#This Row],[46 rate of change (2)]],LEN(Table1[[#This Row],[46 rate of change (2)]])-7))/100)</f>
        <v>0</v>
      </c>
      <c r="AS40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40" s="3" t="b">
        <f>Table1[[#This Row],[calc arrow]]=Table1[[#This Row],[trend]]</f>
        <v>1</v>
      </c>
      <c r="AU40" s="3" t="str">
        <f>HEX2BIN(MID(Table1[[#This Row],[statusRaw]],1+HEX2DEC(LEFT(AU$1,2))*2, 2),8) &amp; " 0x" &amp;MID(Table1[[#This Row],[statusRaw]],1+HEX2DEC(LEFT(AU$1,2))*2, 2)</f>
        <v>00000000 0x00</v>
      </c>
      <c r="AV40" s="3">
        <f>HEX2DEC(MID(Table1[[#This Row],[statusRaw]],1+HEX2DEC(LEFT(AV$1,2))*2, 4))</f>
        <v>0</v>
      </c>
      <c r="AW40" s="3" t="str">
        <f>HEX2BIN(MID(Table1[[#This Row],[statusRaw]],1+HEX2DEC(LEFT(AW$1,2))*2, 2),8) &amp; " 0x" &amp;MID(Table1[[#This Row],[statusRaw]],1+HEX2DEC(LEFT(AW$1,2))*2, 2)</f>
        <v>00000000 0x00</v>
      </c>
      <c r="AX40" s="3" t="str">
        <f>HEX2BIN(MID(Table1[[#This Row],[statusRaw]],1+HEX2DEC(LEFT(AX$1,2))*2, 2),8) &amp; " 0x" &amp;MID(Table1[[#This Row],[statusRaw]],1+HEX2DEC(LEFT(AX$1,2))*2, 2)</f>
        <v>00000000 0x00</v>
      </c>
      <c r="AY40" s="3" t="str">
        <f>MID(Table1[[#This Row],[statusRaw]],1+HEX2DEC(LEFT(AY$1,2))*2, 8)</f>
        <v>00000000</v>
      </c>
      <c r="AZ40" s="3" t="str">
        <f>MID(Table1[[#This Row],[statusRaw]],1+HEX2DEC(LEFT(AZ$1,2))*2, 8)</f>
        <v>00000000</v>
      </c>
      <c r="BA40" s="3" t="str">
        <f>HEX2BIN(MID(Table1[[#This Row],[statusRaw]],1+HEX2DEC(LEFT(BA$1,2))*2, 2),8) &amp; " 0x" &amp;MID(Table1[[#This Row],[statusRaw]],1+HEX2DEC(LEFT(BA$1,2))*2, 2)</f>
        <v>00000000 0x00</v>
      </c>
      <c r="BB40" s="3" t="str">
        <f>HEX2BIN(MID(Table1[[#This Row],[statusRaw]],1+HEX2DEC(LEFT(BB$1,2))*2, 2),8) &amp; " 0x" &amp;MID(Table1[[#This Row],[statusRaw]],1+HEX2DEC(LEFT(BB$1,2))*2, 2)</f>
        <v>00000000 0x00</v>
      </c>
      <c r="BC40" s="3" t="str">
        <f>HEX2BIN(MID(Table1[[#This Row],[statusRaw]],1+HEX2DEC(LEFT(BC$1,2))*2, 2),8) &amp; " 0x" &amp;MID(Table1[[#This Row],[statusRaw]],1+HEX2DEC(LEFT(BC$1,2))*2, 2)</f>
        <v>00000000 0x00</v>
      </c>
      <c r="BD40" s="3" t="str">
        <f>MID(Table1[[#This Row],[statusRaw]],1+HEX2DEC(LEFT(BD$1,2))*2, 8)</f>
        <v>000008C7</v>
      </c>
      <c r="BE40" s="3" t="str">
        <f>MID(Table1[[#This Row],[statusRaw]],1+HEX2DEC(LEFT(BE$1,2))*2, 8)</f>
        <v>000008C7</v>
      </c>
      <c r="BF40" s="9"/>
    </row>
    <row r="41" spans="1:58" x14ac:dyDescent="0.25">
      <c r="A41" s="1" t="s">
        <v>123</v>
      </c>
      <c r="B41" s="1" t="s">
        <v>124</v>
      </c>
      <c r="C41" s="1" t="s">
        <v>7</v>
      </c>
      <c r="D41" s="1" t="s">
        <v>125</v>
      </c>
      <c r="E41" s="1">
        <v>20</v>
      </c>
      <c r="F41" s="3" t="str">
        <f>HEX2BIN(MID(Table1[[#This Row],[statusRaw]],1+HEX2DEC(LEFT(F$1,2))*2, 2),8) &amp; " 0x" &amp;MID(Table1[[#This Row],[statusRaw]],1+HEX2DEC(LEFT(F$1,2))*2, 2)</f>
        <v>01010000 0x50</v>
      </c>
      <c r="G41" s="3" t="b">
        <f>MID(Table1[[#This Row],[03 - pump status (1)]],1,1)="1"</f>
        <v>0</v>
      </c>
      <c r="H41" s="3" t="b">
        <f>MID(Table1[[#This Row],[03 - pump status (1)]],2,1)="1"</f>
        <v>1</v>
      </c>
      <c r="I41" s="3" t="b">
        <f>MID(Table1[[#This Row],[03 - pump status (1)]],3,1)="1"</f>
        <v>0</v>
      </c>
      <c r="J41" s="3" t="b">
        <f>MID(Table1[[#This Row],[03 - pump status (1)]],4,1)="1"</f>
        <v>1</v>
      </c>
      <c r="K41" s="3" t="b">
        <f>MID(Table1[[#This Row],[03 - pump status (1)]],5,1)="1"</f>
        <v>0</v>
      </c>
      <c r="L41" s="3" t="b">
        <f>MID(Table1[[#This Row],[03 - pump status (1)]],6,1)="1"</f>
        <v>0</v>
      </c>
      <c r="M41" s="3" t="b">
        <f>MID(Table1[[#This Row],[03 - pump status (1)]],7,1)="1"</f>
        <v>0</v>
      </c>
      <c r="N41" s="3" t="b">
        <f>MID(Table1[[#This Row],[03 - pump status (1)]],8,1)="1"</f>
        <v>0</v>
      </c>
      <c r="O41" s="3" t="str">
        <f>MID(Table1[[#This Row],[statusRaw]],1+HEX2DEC(LEFT(O$1,2))*2, 8)</f>
        <v>00000000</v>
      </c>
      <c r="P41" s="3" t="str">
        <f>MID(Table1[[#This Row],[statusRaw]],1+HEX2DEC(LEFT(P$1,2))*2, 8)</f>
        <v>00000000</v>
      </c>
      <c r="Q41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41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41" s="3">
        <f>HEX2DEC(MID(Table1[[#This Row],[statusRaw]],1+HEX2DEC(LEFT(S$1,2))*2, 8))/10000</f>
        <v>1</v>
      </c>
      <c r="T41" s="3" t="str">
        <f>MID(Table1[[#This Row],[statusRaw]],1+HEX2DEC(LEFT(T$1,2))*2, 8)</f>
        <v>278A247E</v>
      </c>
      <c r="U41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0x2D00 11520</v>
      </c>
      <c r="V41" s="3" t="str">
        <f>HEX2BIN(MID(Table1[[#This Row],[statusRaw]],1+HEX2DEC(LEFT(V$1,2))*2, 2),8) &amp; " 0x" &amp;MID(Table1[[#This Row],[statusRaw]],1+HEX2DEC(LEFT(V$1,2))*2, 2)</f>
        <v>00000001 0x01</v>
      </c>
      <c r="W41" s="3">
        <f>HEX2DEC(MID(Table1[[#This Row],[statusRaw]],1+HEX2DEC(LEFT(W$1,2))*2, 8))/10000</f>
        <v>0.6</v>
      </c>
      <c r="X41" s="3">
        <f>HEX2DEC(MID(Table1[[#This Row],[statusRaw]],1+HEX2DEC(LEFT(X$1,2))*2, 8))/10000</f>
        <v>0</v>
      </c>
      <c r="Y41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41" s="3">
        <f>HEX2DEC(MID(Table1[[#This Row],[statusRaw]],1+HEX2DEC(LEFT(Z$1,2))*2, 8))/10000</f>
        <v>10.125</v>
      </c>
      <c r="AA41" s="3">
        <f>HEX2DEC(MID(Table1[[#This Row],[statusRaw]],1+HEX2DEC(LEFT(AA$1,2))*2, 2))</f>
        <v>50</v>
      </c>
      <c r="AB41" s="3">
        <f>HEX2DEC(MID(Table1[[#This Row],[statusRaw]],1+HEX2DEC(LEFT(AB$1,2))*2, 8))/10000</f>
        <v>217.6</v>
      </c>
      <c r="AC41" s="3">
        <f>HEX2DEC(MID(Table1[[#This Row],[statusRaw]],1+HEX2DEC(LEFT(AC$1,2))*2, 2))</f>
        <v>25</v>
      </c>
      <c r="AD41" s="3">
        <f>HEX2DEC(MID(Table1[[#This Row],[statusRaw]],1+HEX2DEC(LEFT(AD$1,2))*2, 2))</f>
        <v>0</v>
      </c>
      <c r="AE41" s="3">
        <f>HEX2DEC(MID(Table1[[#This Row],[statusRaw]],1+HEX2DEC(LEFT(AE$1,2))*2, 8))/10000</f>
        <v>2.6</v>
      </c>
      <c r="AF41" s="3">
        <f>IF(AND(Table1[[#This Row],[cgm]],NOT(Table1[[#This Row],[35 - SGV special bit (2)]])), _xlfn.BITAND(HEX2DEC(MID(Table1[[#This Row],[statusRaw]],1+HEX2DEC(LEFT(AF$1,2))*2, 4)),HEX2DEC("1FF")),"")</f>
        <v>233</v>
      </c>
      <c r="AG41" s="3" t="b">
        <f>_xlfn.BITAND(HEX2DEC(MID(Table1[[#This Row],[statusRaw]],1+HEX2DEC(LEFT(AG$1,2))*2, 4)),512)=512</f>
        <v>0</v>
      </c>
      <c r="AH41" s="3" t="str">
        <f>MID(Table1[[#This Row],[statusRaw]],1+HEX2DEC(LEFT(AF$1,2))*2, 8)</f>
        <v>00E98674</v>
      </c>
      <c r="AI41" s="3" t="str">
        <f>MID(Table1[[#This Row],[statusRaw]],1+HEX2DEC(LEFT(AH$1,2))*2, 8)</f>
        <v>8674365F</v>
      </c>
      <c r="AJ41" s="3" t="str">
        <f>HEX2BIN(MID(Table1[[#This Row],[statusRaw]],1+HEX2DEC(LEFT(AJ$1,2))*2, 2),8) &amp; " 0x" &amp;MID(Table1[[#This Row],[statusRaw]],1+HEX2DEC(LEFT(AJ$1,2))*2, 2)</f>
        <v>00000101 0x05</v>
      </c>
      <c r="AK41" s="1" t="str">
        <f>HEX2BIN(MID(Table1[[#This Row],[statusRaw]],1+HEX2DEC(LEFT(AK$1,2))*2, 2),8) &amp; " 0x" &amp;MID(Table1[[#This Row],[statusRaw]],1+HEX2DEC(LEFT(AK$1,2))*2, 2)</f>
        <v>01100000 0x60</v>
      </c>
      <c r="AL41" s="1" t="str">
        <f>VLOOKUP(Table1[[#This Row],[40 trend]],'Arrow status mapping'!$A$1:$B$8,2,FALSE)</f>
        <v>No arrows</v>
      </c>
      <c r="AM41" s="3" t="str">
        <f>HEX2BIN(MID(Table1[[#This Row],[statusRaw]],1+HEX2DEC(LEFT(AM$1,2))*2, 2),8) &amp; " 0x" &amp;MID(Table1[[#This Row],[statusRaw]],1+HEX2DEC(LEFT(AM$1,2))*2, 2)</f>
        <v>00010000 0x10</v>
      </c>
      <c r="AN41" s="3" t="str">
        <f>HEX2BIN(MID(Table1[[#This Row],[statusRaw]],1+HEX2DEC(LEFT(AN$1,2))*2, 2),8) &amp; " 0x" &amp;MID(Table1[[#This Row],[statusRaw]],1+HEX2DEC(LEFT(AN$1,2))*2, 2)</f>
        <v>00000000 0x00</v>
      </c>
      <c r="AO41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0x0109 265</v>
      </c>
      <c r="AP41" s="1" t="str">
        <f>HEX2BIN(MID(Table1[[#This Row],[statusRaw]],1+HEX2DEC(LEFT(AP$1,2))*2, 2),8) &amp; " 0x" &amp;MID(Table1[[#This Row],[statusRaw]],1+HEX2DEC(LEFT(AP$1,2))*2, 2)</f>
        <v>00101010 0x2A</v>
      </c>
      <c r="AQ41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41" s="3">
        <f>TRUNC(_xlfn.NUMBERVALUE(RIGHT(Table1[[#This Row],[46 rate of change (2)]],LEN(Table1[[#This Row],[46 rate of change (2)]])-7))/100)</f>
        <v>0</v>
      </c>
      <c r="AS41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41" s="3" t="b">
        <f>Table1[[#This Row],[calc arrow]]=Table1[[#This Row],[trend]]</f>
        <v>1</v>
      </c>
      <c r="AU41" s="3" t="str">
        <f>HEX2BIN(MID(Table1[[#This Row],[statusRaw]],1+HEX2DEC(LEFT(AU$1,2))*2, 2),8) &amp; " 0x" &amp;MID(Table1[[#This Row],[statusRaw]],1+HEX2DEC(LEFT(AU$1,2))*2, 2)</f>
        <v>00000000 0x00</v>
      </c>
      <c r="AV41" s="3">
        <f>HEX2DEC(MID(Table1[[#This Row],[statusRaw]],1+HEX2DEC(LEFT(AV$1,2))*2, 4))</f>
        <v>0</v>
      </c>
      <c r="AW41" s="3" t="str">
        <f>HEX2BIN(MID(Table1[[#This Row],[statusRaw]],1+HEX2DEC(LEFT(AW$1,2))*2, 2),8) &amp; " 0x" &amp;MID(Table1[[#This Row],[statusRaw]],1+HEX2DEC(LEFT(AW$1,2))*2, 2)</f>
        <v>00000000 0x00</v>
      </c>
      <c r="AX41" s="3" t="str">
        <f>HEX2BIN(MID(Table1[[#This Row],[statusRaw]],1+HEX2DEC(LEFT(AX$1,2))*2, 2),8) &amp; " 0x" &amp;MID(Table1[[#This Row],[statusRaw]],1+HEX2DEC(LEFT(AX$1,2))*2, 2)</f>
        <v>00000000 0x00</v>
      </c>
      <c r="AY41" s="3" t="str">
        <f>MID(Table1[[#This Row],[statusRaw]],1+HEX2DEC(LEFT(AY$1,2))*2, 8)</f>
        <v>00000000</v>
      </c>
      <c r="AZ41" s="3" t="str">
        <f>MID(Table1[[#This Row],[statusRaw]],1+HEX2DEC(LEFT(AZ$1,2))*2, 8)</f>
        <v>00000000</v>
      </c>
      <c r="BA41" s="3" t="str">
        <f>HEX2BIN(MID(Table1[[#This Row],[statusRaw]],1+HEX2DEC(LEFT(BA$1,2))*2, 2),8) &amp; " 0x" &amp;MID(Table1[[#This Row],[statusRaw]],1+HEX2DEC(LEFT(BA$1,2))*2, 2)</f>
        <v>00000000 0x00</v>
      </c>
      <c r="BB41" s="3" t="str">
        <f>HEX2BIN(MID(Table1[[#This Row],[statusRaw]],1+HEX2DEC(LEFT(BB$1,2))*2, 2),8) &amp; " 0x" &amp;MID(Table1[[#This Row],[statusRaw]],1+HEX2DEC(LEFT(BB$1,2))*2, 2)</f>
        <v>00000000 0x00</v>
      </c>
      <c r="BC41" s="3" t="str">
        <f>HEX2BIN(MID(Table1[[#This Row],[statusRaw]],1+HEX2DEC(LEFT(BC$1,2))*2, 2),8) &amp; " 0x" &amp;MID(Table1[[#This Row],[statusRaw]],1+HEX2DEC(LEFT(BC$1,2))*2, 2)</f>
        <v>00000000 0x00</v>
      </c>
      <c r="BD41" s="3" t="str">
        <f>MID(Table1[[#This Row],[statusRaw]],1+HEX2DEC(LEFT(BD$1,2))*2, 8)</f>
        <v>000008C7</v>
      </c>
      <c r="BE41" s="3" t="str">
        <f>MID(Table1[[#This Row],[statusRaw]],1+HEX2DEC(LEFT(BE$1,2))*2, 8)</f>
        <v>000008C7</v>
      </c>
      <c r="BF41" s="9"/>
    </row>
    <row r="42" spans="1:58" x14ac:dyDescent="0.25">
      <c r="A42" s="1" t="s">
        <v>126</v>
      </c>
      <c r="B42" s="1" t="s">
        <v>127</v>
      </c>
      <c r="C42" s="1" t="s">
        <v>7</v>
      </c>
      <c r="D42" s="1" t="s">
        <v>128</v>
      </c>
      <c r="E42" s="1">
        <v>20</v>
      </c>
      <c r="F42" s="3" t="str">
        <f>HEX2BIN(MID(Table1[[#This Row],[statusRaw]],1+HEX2DEC(LEFT(F$1,2))*2, 2),8) &amp; " 0x" &amp;MID(Table1[[#This Row],[statusRaw]],1+HEX2DEC(LEFT(F$1,2))*2, 2)</f>
        <v>00010000 0x10</v>
      </c>
      <c r="G42" s="3" t="b">
        <f>MID(Table1[[#This Row],[03 - pump status (1)]],1,1)="1"</f>
        <v>0</v>
      </c>
      <c r="H42" s="3" t="b">
        <f>MID(Table1[[#This Row],[03 - pump status (1)]],2,1)="1"</f>
        <v>0</v>
      </c>
      <c r="I42" s="3" t="b">
        <f>MID(Table1[[#This Row],[03 - pump status (1)]],3,1)="1"</f>
        <v>0</v>
      </c>
      <c r="J42" s="3" t="b">
        <f>MID(Table1[[#This Row],[03 - pump status (1)]],4,1)="1"</f>
        <v>1</v>
      </c>
      <c r="K42" s="3" t="b">
        <f>MID(Table1[[#This Row],[03 - pump status (1)]],5,1)="1"</f>
        <v>0</v>
      </c>
      <c r="L42" s="3" t="b">
        <f>MID(Table1[[#This Row],[03 - pump status (1)]],6,1)="1"</f>
        <v>0</v>
      </c>
      <c r="M42" s="3" t="b">
        <f>MID(Table1[[#This Row],[03 - pump status (1)]],7,1)="1"</f>
        <v>0</v>
      </c>
      <c r="N42" s="3" t="b">
        <f>MID(Table1[[#This Row],[03 - pump status (1)]],8,1)="1"</f>
        <v>0</v>
      </c>
      <c r="O42" s="3" t="str">
        <f>MID(Table1[[#This Row],[statusRaw]],1+HEX2DEC(LEFT(O$1,2))*2, 8)</f>
        <v>00000000</v>
      </c>
      <c r="P42" s="3" t="str">
        <f>MID(Table1[[#This Row],[statusRaw]],1+HEX2DEC(LEFT(P$1,2))*2, 8)</f>
        <v>00000000</v>
      </c>
      <c r="Q42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42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42" s="11">
        <f>HEX2DEC(MID(Table1[[#This Row],[statusRaw]],1+HEX2DEC(LEFT(S$1,2))*2, 8))/10000</f>
        <v>1</v>
      </c>
      <c r="T42" s="3" t="str">
        <f>MID(Table1[[#This Row],[statusRaw]],1+HEX2DEC(LEFT(T$1,2))*2, 8)</f>
        <v>278A247E</v>
      </c>
      <c r="U42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0x2D00 11520</v>
      </c>
      <c r="V42" s="3" t="str">
        <f>HEX2BIN(MID(Table1[[#This Row],[statusRaw]],1+HEX2DEC(LEFT(V$1,2))*2, 2),8) &amp; " 0x" &amp;MID(Table1[[#This Row],[statusRaw]],1+HEX2DEC(LEFT(V$1,2))*2, 2)</f>
        <v>00000001 0x01</v>
      </c>
      <c r="W42" s="3">
        <f>HEX2DEC(MID(Table1[[#This Row],[statusRaw]],1+HEX2DEC(LEFT(W$1,2))*2, 8))/10000</f>
        <v>0.6</v>
      </c>
      <c r="X42" s="3">
        <f>HEX2DEC(MID(Table1[[#This Row],[statusRaw]],1+HEX2DEC(LEFT(X$1,2))*2, 8))/10000</f>
        <v>0</v>
      </c>
      <c r="Y42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42" s="11">
        <f>HEX2DEC(MID(Table1[[#This Row],[statusRaw]],1+HEX2DEC(LEFT(Z$1,2))*2, 8))/10000</f>
        <v>10.074999999999999</v>
      </c>
      <c r="AA42" s="3">
        <f>HEX2DEC(MID(Table1[[#This Row],[statusRaw]],1+HEX2DEC(LEFT(AA$1,2))*2, 2))</f>
        <v>50</v>
      </c>
      <c r="AB42" s="11">
        <f>HEX2DEC(MID(Table1[[#This Row],[statusRaw]],1+HEX2DEC(LEFT(AB$1,2))*2, 8))/10000</f>
        <v>217.65</v>
      </c>
      <c r="AC42" s="3">
        <f>HEX2DEC(MID(Table1[[#This Row],[statusRaw]],1+HEX2DEC(LEFT(AC$1,2))*2, 2))</f>
        <v>25</v>
      </c>
      <c r="AD42" s="3">
        <f>HEX2DEC(MID(Table1[[#This Row],[statusRaw]],1+HEX2DEC(LEFT(AD$1,2))*2, 2))</f>
        <v>0</v>
      </c>
      <c r="AE42" s="11">
        <f>HEX2DEC(MID(Table1[[#This Row],[statusRaw]],1+HEX2DEC(LEFT(AE$1,2))*2, 8))/10000</f>
        <v>2.8</v>
      </c>
      <c r="AF42" s="3" t="str">
        <f>IF(AND(Table1[[#This Row],[cgm]],NOT(Table1[[#This Row],[35 - SGV special bit (2)]])), _xlfn.BITAND(HEX2DEC(MID(Table1[[#This Row],[statusRaw]],1+HEX2DEC(LEFT(AF$1,2))*2, 4)),HEX2DEC("1FF")),"")</f>
        <v/>
      </c>
      <c r="AG42" s="3" t="b">
        <f>_xlfn.BITAND(HEX2DEC(MID(Table1[[#This Row],[statusRaw]],1+HEX2DEC(LEFT(AG$1,2))*2, 4)),512)=512</f>
        <v>0</v>
      </c>
      <c r="AH42" s="3" t="str">
        <f>MID(Table1[[#This Row],[statusRaw]],1+HEX2DEC(LEFT(AF$1,2))*2, 8)</f>
        <v>00000000</v>
      </c>
      <c r="AI42" s="3" t="str">
        <f>MID(Table1[[#This Row],[statusRaw]],1+HEX2DEC(LEFT(AH$1,2))*2, 8)</f>
        <v>00000000</v>
      </c>
      <c r="AJ42" s="3" t="str">
        <f>HEX2BIN(MID(Table1[[#This Row],[statusRaw]],1+HEX2DEC(LEFT(AJ$1,2))*2, 2),8) &amp; " 0x" &amp;MID(Table1[[#This Row],[statusRaw]],1+HEX2DEC(LEFT(AJ$1,2))*2, 2)</f>
        <v>00000000 0x00</v>
      </c>
      <c r="AK42" s="1" t="str">
        <f>HEX2BIN(MID(Table1[[#This Row],[statusRaw]],1+HEX2DEC(LEFT(AK$1,2))*2, 2),8) &amp; " 0x" &amp;MID(Table1[[#This Row],[statusRaw]],1+HEX2DEC(LEFT(AK$1,2))*2, 2)</f>
        <v>00000000 0x00</v>
      </c>
      <c r="AL42" s="1" t="str">
        <f>VLOOKUP(Table1[[#This Row],[40 trend]],'Arrow status mapping'!$A$1:$B$8,2,FALSE)</f>
        <v>3 arrows down</v>
      </c>
      <c r="AM42" s="3" t="str">
        <f>HEX2BIN(MID(Table1[[#This Row],[statusRaw]],1+HEX2DEC(LEFT(AM$1,2))*2, 2),8) &amp; " 0x" &amp;MID(Table1[[#This Row],[statusRaw]],1+HEX2DEC(LEFT(AM$1,2))*2, 2)</f>
        <v>00000000 0x00</v>
      </c>
      <c r="AN42" s="3" t="str">
        <f>HEX2BIN(MID(Table1[[#This Row],[statusRaw]],1+HEX2DEC(LEFT(AN$1,2))*2, 2),8) &amp; " 0x" &amp;MID(Table1[[#This Row],[statusRaw]],1+HEX2DEC(LEFT(AN$1,2))*2, 2)</f>
        <v>00000000 0x00</v>
      </c>
      <c r="AO42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0x0000 0</v>
      </c>
      <c r="AP42" s="1" t="str">
        <f>HEX2BIN(MID(Table1[[#This Row],[statusRaw]],1+HEX2DEC(LEFT(AP$1,2))*2, 2),8) &amp; " 0x" &amp;MID(Table1[[#This Row],[statusRaw]],1+HEX2DEC(LEFT(AP$1,2))*2, 2)</f>
        <v>00000000 0x00</v>
      </c>
      <c r="AQ42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42" s="3">
        <f>TRUNC(_xlfn.NUMBERVALUE(RIGHT(Table1[[#This Row],[46 rate of change (2)]],LEN(Table1[[#This Row],[46 rate of change (2)]])-7))/100)</f>
        <v>0</v>
      </c>
      <c r="AS42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42" s="3" t="b">
        <f>Table1[[#This Row],[calc arrow]]=Table1[[#This Row],[trend]]</f>
        <v>0</v>
      </c>
      <c r="AU42" s="3" t="str">
        <f>HEX2BIN(MID(Table1[[#This Row],[statusRaw]],1+HEX2DEC(LEFT(AU$1,2))*2, 2),8) &amp; " 0x" &amp;MID(Table1[[#This Row],[statusRaw]],1+HEX2DEC(LEFT(AU$1,2))*2, 2)</f>
        <v>00000000 0x00</v>
      </c>
      <c r="AV42" s="3">
        <f>HEX2DEC(MID(Table1[[#This Row],[statusRaw]],1+HEX2DEC(LEFT(AV$1,2))*2, 4))</f>
        <v>0</v>
      </c>
      <c r="AW42" s="3" t="str">
        <f>HEX2BIN(MID(Table1[[#This Row],[statusRaw]],1+HEX2DEC(LEFT(AW$1,2))*2, 2),8) &amp; " 0x" &amp;MID(Table1[[#This Row],[statusRaw]],1+HEX2DEC(LEFT(AW$1,2))*2, 2)</f>
        <v>00000000 0x00</v>
      </c>
      <c r="AX42" s="3" t="str">
        <f>HEX2BIN(MID(Table1[[#This Row],[statusRaw]],1+HEX2DEC(LEFT(AX$1,2))*2, 2),8) &amp; " 0x" &amp;MID(Table1[[#This Row],[statusRaw]],1+HEX2DEC(LEFT(AX$1,2))*2, 2)</f>
        <v>00000000 0x00</v>
      </c>
      <c r="AY42" s="3" t="str">
        <f>MID(Table1[[#This Row],[statusRaw]],1+HEX2DEC(LEFT(AY$1,2))*2, 8)</f>
        <v>00000000</v>
      </c>
      <c r="AZ42" s="3" t="str">
        <f>MID(Table1[[#This Row],[statusRaw]],1+HEX2DEC(LEFT(AZ$1,2))*2, 8)</f>
        <v>00000000</v>
      </c>
      <c r="BA42" s="3" t="str">
        <f>HEX2BIN(MID(Table1[[#This Row],[statusRaw]],1+HEX2DEC(LEFT(BA$1,2))*2, 2),8) &amp; " 0x" &amp;MID(Table1[[#This Row],[statusRaw]],1+HEX2DEC(LEFT(BA$1,2))*2, 2)</f>
        <v>00000000 0x00</v>
      </c>
      <c r="BB42" s="3" t="str">
        <f>HEX2BIN(MID(Table1[[#This Row],[statusRaw]],1+HEX2DEC(LEFT(BB$1,2))*2, 2),8) &amp; " 0x" &amp;MID(Table1[[#This Row],[statusRaw]],1+HEX2DEC(LEFT(BB$1,2))*2, 2)</f>
        <v>00000000 0x00</v>
      </c>
      <c r="BC42" s="3" t="str">
        <f>HEX2BIN(MID(Table1[[#This Row],[statusRaw]],1+HEX2DEC(LEFT(BC$1,2))*2, 2),8) &amp; " 0x" &amp;MID(Table1[[#This Row],[statusRaw]],1+HEX2DEC(LEFT(BC$1,2))*2, 2)</f>
        <v>00000000 0x00</v>
      </c>
      <c r="BD42" s="3" t="str">
        <f>MID(Table1[[#This Row],[statusRaw]],1+HEX2DEC(LEFT(BD$1,2))*2, 8)</f>
        <v>000008C7</v>
      </c>
      <c r="BE42" s="5" t="str">
        <f>MID(Table1[[#This Row],[statusRaw]],1+HEX2DEC(LEFT(BE$1,2))*2, 8)</f>
        <v>000008C7</v>
      </c>
      <c r="BF42" s="9"/>
    </row>
    <row r="43" spans="1:58" x14ac:dyDescent="0.25">
      <c r="A43" s="1" t="s">
        <v>129</v>
      </c>
      <c r="B43" s="1" t="s">
        <v>130</v>
      </c>
      <c r="C43" s="1" t="s">
        <v>7</v>
      </c>
      <c r="D43" s="1" t="s">
        <v>131</v>
      </c>
      <c r="E43" s="1">
        <v>20</v>
      </c>
      <c r="F43" s="3" t="str">
        <f>HEX2BIN(MID(Table1[[#This Row],[statusRaw]],1+HEX2DEC(LEFT(F$1,2))*2, 2),8) &amp; " 0x" &amp;MID(Table1[[#This Row],[statusRaw]],1+HEX2DEC(LEFT(F$1,2))*2, 2)</f>
        <v>00010000 0x10</v>
      </c>
      <c r="G43" s="3" t="b">
        <f>MID(Table1[[#This Row],[03 - pump status (1)]],1,1)="1"</f>
        <v>0</v>
      </c>
      <c r="H43" s="3" t="b">
        <f>MID(Table1[[#This Row],[03 - pump status (1)]],2,1)="1"</f>
        <v>0</v>
      </c>
      <c r="I43" s="3" t="b">
        <f>MID(Table1[[#This Row],[03 - pump status (1)]],3,1)="1"</f>
        <v>0</v>
      </c>
      <c r="J43" s="3" t="b">
        <f>MID(Table1[[#This Row],[03 - pump status (1)]],4,1)="1"</f>
        <v>1</v>
      </c>
      <c r="K43" s="3" t="b">
        <f>MID(Table1[[#This Row],[03 - pump status (1)]],5,1)="1"</f>
        <v>0</v>
      </c>
      <c r="L43" s="3" t="b">
        <f>MID(Table1[[#This Row],[03 - pump status (1)]],6,1)="1"</f>
        <v>0</v>
      </c>
      <c r="M43" s="3" t="b">
        <f>MID(Table1[[#This Row],[03 - pump status (1)]],7,1)="1"</f>
        <v>0</v>
      </c>
      <c r="N43" s="3" t="b">
        <f>MID(Table1[[#This Row],[03 - pump status (1)]],8,1)="1"</f>
        <v>0</v>
      </c>
      <c r="O43" s="3" t="str">
        <f>MID(Table1[[#This Row],[statusRaw]],1+HEX2DEC(LEFT(O$1,2))*2, 8)</f>
        <v>00000000</v>
      </c>
      <c r="P43" s="3" t="str">
        <f>MID(Table1[[#This Row],[statusRaw]],1+HEX2DEC(LEFT(P$1,2))*2, 8)</f>
        <v>00000000</v>
      </c>
      <c r="Q43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43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43" s="11">
        <f>HEX2DEC(MID(Table1[[#This Row],[statusRaw]],1+HEX2DEC(LEFT(S$1,2))*2, 8))/10000</f>
        <v>1</v>
      </c>
      <c r="T43" s="3" t="str">
        <f>MID(Table1[[#This Row],[statusRaw]],1+HEX2DEC(LEFT(T$1,2))*2, 8)</f>
        <v>278A247E</v>
      </c>
      <c r="U43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0x2D00 11520</v>
      </c>
      <c r="V43" s="3" t="str">
        <f>HEX2BIN(MID(Table1[[#This Row],[statusRaw]],1+HEX2DEC(LEFT(V$1,2))*2, 2),8) &amp; " 0x" &amp;MID(Table1[[#This Row],[statusRaw]],1+HEX2DEC(LEFT(V$1,2))*2, 2)</f>
        <v>00000001 0x01</v>
      </c>
      <c r="W43" s="3">
        <f>HEX2DEC(MID(Table1[[#This Row],[statusRaw]],1+HEX2DEC(LEFT(W$1,2))*2, 8))/10000</f>
        <v>0.6</v>
      </c>
      <c r="X43" s="3">
        <f>HEX2DEC(MID(Table1[[#This Row],[statusRaw]],1+HEX2DEC(LEFT(X$1,2))*2, 8))/10000</f>
        <v>0</v>
      </c>
      <c r="Y43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43" s="11">
        <f>HEX2DEC(MID(Table1[[#This Row],[statusRaw]],1+HEX2DEC(LEFT(Z$1,2))*2, 8))/10000</f>
        <v>10.050000000000001</v>
      </c>
      <c r="AA43" s="3">
        <f>HEX2DEC(MID(Table1[[#This Row],[statusRaw]],1+HEX2DEC(LEFT(AA$1,2))*2, 2))</f>
        <v>50</v>
      </c>
      <c r="AB43" s="11">
        <f>HEX2DEC(MID(Table1[[#This Row],[statusRaw]],1+HEX2DEC(LEFT(AB$1,2))*2, 8))/10000</f>
        <v>217.875</v>
      </c>
      <c r="AC43" s="3">
        <f>HEX2DEC(MID(Table1[[#This Row],[statusRaw]],1+HEX2DEC(LEFT(AC$1,2))*2, 2))</f>
        <v>25</v>
      </c>
      <c r="AD43" s="3">
        <f>HEX2DEC(MID(Table1[[#This Row],[statusRaw]],1+HEX2DEC(LEFT(AD$1,2))*2, 2))</f>
        <v>0</v>
      </c>
      <c r="AE43" s="11">
        <f>HEX2DEC(MID(Table1[[#This Row],[statusRaw]],1+HEX2DEC(LEFT(AE$1,2))*2, 8))/10000</f>
        <v>3</v>
      </c>
      <c r="AF43" s="3" t="str">
        <f>IF(AND(Table1[[#This Row],[cgm]],NOT(Table1[[#This Row],[35 - SGV special bit (2)]])), _xlfn.BITAND(HEX2DEC(MID(Table1[[#This Row],[statusRaw]],1+HEX2DEC(LEFT(AF$1,2))*2, 4)),HEX2DEC("1FF")),"")</f>
        <v/>
      </c>
      <c r="AG43" s="3" t="b">
        <f>_xlfn.BITAND(HEX2DEC(MID(Table1[[#This Row],[statusRaw]],1+HEX2DEC(LEFT(AG$1,2))*2, 4)),512)=512</f>
        <v>0</v>
      </c>
      <c r="AH43" s="3" t="str">
        <f>MID(Table1[[#This Row],[statusRaw]],1+HEX2DEC(LEFT(AF$1,2))*2, 8)</f>
        <v>00000000</v>
      </c>
      <c r="AI43" s="3" t="str">
        <f>MID(Table1[[#This Row],[statusRaw]],1+HEX2DEC(LEFT(AH$1,2))*2, 8)</f>
        <v>00000000</v>
      </c>
      <c r="AJ43" s="3" t="str">
        <f>HEX2BIN(MID(Table1[[#This Row],[statusRaw]],1+HEX2DEC(LEFT(AJ$1,2))*2, 2),8) &amp; " 0x" &amp;MID(Table1[[#This Row],[statusRaw]],1+HEX2DEC(LEFT(AJ$1,2))*2, 2)</f>
        <v>00000000 0x00</v>
      </c>
      <c r="AK43" s="1" t="str">
        <f>HEX2BIN(MID(Table1[[#This Row],[statusRaw]],1+HEX2DEC(LEFT(AK$1,2))*2, 2),8) &amp; " 0x" &amp;MID(Table1[[#This Row],[statusRaw]],1+HEX2DEC(LEFT(AK$1,2))*2, 2)</f>
        <v>00000000 0x00</v>
      </c>
      <c r="AL43" s="1" t="str">
        <f>VLOOKUP(Table1[[#This Row],[40 trend]],'Arrow status mapping'!$A$1:$B$8,2,FALSE)</f>
        <v>3 arrows down</v>
      </c>
      <c r="AM43" s="3" t="str">
        <f>HEX2BIN(MID(Table1[[#This Row],[statusRaw]],1+HEX2DEC(LEFT(AM$1,2))*2, 2),8) &amp; " 0x" &amp;MID(Table1[[#This Row],[statusRaw]],1+HEX2DEC(LEFT(AM$1,2))*2, 2)</f>
        <v>00000000 0x00</v>
      </c>
      <c r="AN43" s="3" t="str">
        <f>HEX2BIN(MID(Table1[[#This Row],[statusRaw]],1+HEX2DEC(LEFT(AN$1,2))*2, 2),8) &amp; " 0x" &amp;MID(Table1[[#This Row],[statusRaw]],1+HEX2DEC(LEFT(AN$1,2))*2, 2)</f>
        <v>00000000 0x00</v>
      </c>
      <c r="AO43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0x0000 0</v>
      </c>
      <c r="AP43" s="1" t="str">
        <f>HEX2BIN(MID(Table1[[#This Row],[statusRaw]],1+HEX2DEC(LEFT(AP$1,2))*2, 2),8) &amp; " 0x" &amp;MID(Table1[[#This Row],[statusRaw]],1+HEX2DEC(LEFT(AP$1,2))*2, 2)</f>
        <v>00000000 0x00</v>
      </c>
      <c r="AQ43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43" s="3">
        <f>TRUNC(_xlfn.NUMBERVALUE(RIGHT(Table1[[#This Row],[46 rate of change (2)]],LEN(Table1[[#This Row],[46 rate of change (2)]])-7))/100)</f>
        <v>0</v>
      </c>
      <c r="AS43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43" s="3" t="b">
        <f>Table1[[#This Row],[calc arrow]]=Table1[[#This Row],[trend]]</f>
        <v>0</v>
      </c>
      <c r="AU43" s="3" t="str">
        <f>HEX2BIN(MID(Table1[[#This Row],[statusRaw]],1+HEX2DEC(LEFT(AU$1,2))*2, 2),8) &amp; " 0x" &amp;MID(Table1[[#This Row],[statusRaw]],1+HEX2DEC(LEFT(AU$1,2))*2, 2)</f>
        <v>00000000 0x00</v>
      </c>
      <c r="AV43" s="3">
        <f>HEX2DEC(MID(Table1[[#This Row],[statusRaw]],1+HEX2DEC(LEFT(AV$1,2))*2, 4))</f>
        <v>0</v>
      </c>
      <c r="AW43" s="3" t="str">
        <f>HEX2BIN(MID(Table1[[#This Row],[statusRaw]],1+HEX2DEC(LEFT(AW$1,2))*2, 2),8) &amp; " 0x" &amp;MID(Table1[[#This Row],[statusRaw]],1+HEX2DEC(LEFT(AW$1,2))*2, 2)</f>
        <v>00000000 0x00</v>
      </c>
      <c r="AX43" s="3" t="str">
        <f>HEX2BIN(MID(Table1[[#This Row],[statusRaw]],1+HEX2DEC(LEFT(AX$1,2))*2, 2),8) &amp; " 0x" &amp;MID(Table1[[#This Row],[statusRaw]],1+HEX2DEC(LEFT(AX$1,2))*2, 2)</f>
        <v>00000000 0x00</v>
      </c>
      <c r="AY43" s="3" t="str">
        <f>MID(Table1[[#This Row],[statusRaw]],1+HEX2DEC(LEFT(AY$1,2))*2, 8)</f>
        <v>00000000</v>
      </c>
      <c r="AZ43" s="3" t="str">
        <f>MID(Table1[[#This Row],[statusRaw]],1+HEX2DEC(LEFT(AZ$1,2))*2, 8)</f>
        <v>00000000</v>
      </c>
      <c r="BA43" s="3" t="str">
        <f>HEX2BIN(MID(Table1[[#This Row],[statusRaw]],1+HEX2DEC(LEFT(BA$1,2))*2, 2),8) &amp; " 0x" &amp;MID(Table1[[#This Row],[statusRaw]],1+HEX2DEC(LEFT(BA$1,2))*2, 2)</f>
        <v>00000000 0x00</v>
      </c>
      <c r="BB43" s="3" t="str">
        <f>HEX2BIN(MID(Table1[[#This Row],[statusRaw]],1+HEX2DEC(LEFT(BB$1,2))*2, 2),8) &amp; " 0x" &amp;MID(Table1[[#This Row],[statusRaw]],1+HEX2DEC(LEFT(BB$1,2))*2, 2)</f>
        <v>00000000 0x00</v>
      </c>
      <c r="BC43" s="3" t="str">
        <f>HEX2BIN(MID(Table1[[#This Row],[statusRaw]],1+HEX2DEC(LEFT(BC$1,2))*2, 2),8) &amp; " 0x" &amp;MID(Table1[[#This Row],[statusRaw]],1+HEX2DEC(LEFT(BC$1,2))*2, 2)</f>
        <v>00000000 0x00</v>
      </c>
      <c r="BD43" s="3" t="str">
        <f>MID(Table1[[#This Row],[statusRaw]],1+HEX2DEC(LEFT(BD$1,2))*2, 8)</f>
        <v>000008C6</v>
      </c>
      <c r="BE43" s="5" t="str">
        <f>MID(Table1[[#This Row],[statusRaw]],1+HEX2DEC(LEFT(BE$1,2))*2, 8)</f>
        <v>000008C6</v>
      </c>
      <c r="BF43" s="9"/>
    </row>
    <row r="44" spans="1:58" ht="30" x14ac:dyDescent="0.25">
      <c r="A44" s="1" t="s">
        <v>132</v>
      </c>
      <c r="B44" s="1" t="s">
        <v>133</v>
      </c>
      <c r="C44" s="1" t="s">
        <v>7</v>
      </c>
      <c r="D44" s="1" t="s">
        <v>134</v>
      </c>
      <c r="E44" s="1">
        <v>20</v>
      </c>
      <c r="F44" s="3" t="str">
        <f>HEX2BIN(MID(Table1[[#This Row],[statusRaw]],1+HEX2DEC(LEFT(F$1,2))*2, 2),8) &amp; " 0x" &amp;MID(Table1[[#This Row],[statusRaw]],1+HEX2DEC(LEFT(F$1,2))*2, 2)</f>
        <v>00010000 0x10</v>
      </c>
      <c r="G44" s="3" t="b">
        <f>MID(Table1[[#This Row],[03 - pump status (1)]],1,1)="1"</f>
        <v>0</v>
      </c>
      <c r="H44" s="3" t="b">
        <f>MID(Table1[[#This Row],[03 - pump status (1)]],2,1)="1"</f>
        <v>0</v>
      </c>
      <c r="I44" s="3" t="b">
        <f>MID(Table1[[#This Row],[03 - pump status (1)]],3,1)="1"</f>
        <v>0</v>
      </c>
      <c r="J44" s="3" t="b">
        <f>MID(Table1[[#This Row],[03 - pump status (1)]],4,1)="1"</f>
        <v>1</v>
      </c>
      <c r="K44" s="3" t="b">
        <f>MID(Table1[[#This Row],[03 - pump status (1)]],5,1)="1"</f>
        <v>0</v>
      </c>
      <c r="L44" s="3" t="b">
        <f>MID(Table1[[#This Row],[03 - pump status (1)]],6,1)="1"</f>
        <v>0</v>
      </c>
      <c r="M44" s="3" t="b">
        <f>MID(Table1[[#This Row],[03 - pump status (1)]],7,1)="1"</f>
        <v>0</v>
      </c>
      <c r="N44" s="3" t="b">
        <f>MID(Table1[[#This Row],[03 - pump status (1)]],8,1)="1"</f>
        <v>0</v>
      </c>
      <c r="O44" s="3" t="str">
        <f>MID(Table1[[#This Row],[statusRaw]],1+HEX2DEC(LEFT(O$1,2))*2, 8)</f>
        <v>00000000</v>
      </c>
      <c r="P44" s="3" t="str">
        <f>MID(Table1[[#This Row],[statusRaw]],1+HEX2DEC(LEFT(P$1,2))*2, 8)</f>
        <v>00000000</v>
      </c>
      <c r="Q44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44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44" s="5">
        <f>HEX2DEC(MID(Table1[[#This Row],[statusRaw]],1+HEX2DEC(LEFT(S$1,2))*2, 8))/10000</f>
        <v>1</v>
      </c>
      <c r="T44" s="3" t="str">
        <f>MID(Table1[[#This Row],[statusRaw]],1+HEX2DEC(LEFT(T$1,2))*2, 8)</f>
        <v>278A247E</v>
      </c>
      <c r="U44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0x2D00 11520</v>
      </c>
      <c r="V44" s="3" t="str">
        <f>HEX2BIN(MID(Table1[[#This Row],[statusRaw]],1+HEX2DEC(LEFT(V$1,2))*2, 2),8) &amp; " 0x" &amp;MID(Table1[[#This Row],[statusRaw]],1+HEX2DEC(LEFT(V$1,2))*2, 2)</f>
        <v>00000001 0x01</v>
      </c>
      <c r="W44" s="3">
        <f>HEX2DEC(MID(Table1[[#This Row],[statusRaw]],1+HEX2DEC(LEFT(W$1,2))*2, 8))/10000</f>
        <v>0.6</v>
      </c>
      <c r="X44" s="3">
        <f>HEX2DEC(MID(Table1[[#This Row],[statusRaw]],1+HEX2DEC(LEFT(X$1,2))*2, 8))/10000</f>
        <v>0</v>
      </c>
      <c r="Y44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44" s="11">
        <f>HEX2DEC(MID(Table1[[#This Row],[statusRaw]],1+HEX2DEC(LEFT(Z$1,2))*2, 8))/10000</f>
        <v>10</v>
      </c>
      <c r="AA44" s="3">
        <f>HEX2DEC(MID(Table1[[#This Row],[statusRaw]],1+HEX2DEC(LEFT(AA$1,2))*2, 2))</f>
        <v>50</v>
      </c>
      <c r="AB44" s="5">
        <f>HEX2DEC(MID(Table1[[#This Row],[statusRaw]],1+HEX2DEC(LEFT(AB$1,2))*2, 8))/10000</f>
        <v>217.92500000000001</v>
      </c>
      <c r="AC44" s="3">
        <f>HEX2DEC(MID(Table1[[#This Row],[statusRaw]],1+HEX2DEC(LEFT(AC$1,2))*2, 2))</f>
        <v>25</v>
      </c>
      <c r="AD44" s="3">
        <f>HEX2DEC(MID(Table1[[#This Row],[statusRaw]],1+HEX2DEC(LEFT(AD$1,2))*2, 2))</f>
        <v>0</v>
      </c>
      <c r="AE44" s="11">
        <f>HEX2DEC(MID(Table1[[#This Row],[statusRaw]],1+HEX2DEC(LEFT(AE$1,2))*2, 8))/10000</f>
        <v>3.1</v>
      </c>
      <c r="AF44" s="3" t="str">
        <f>IF(AND(Table1[[#This Row],[cgm]],NOT(Table1[[#This Row],[35 - SGV special bit (2)]])), _xlfn.BITAND(HEX2DEC(MID(Table1[[#This Row],[statusRaw]],1+HEX2DEC(LEFT(AF$1,2))*2, 4)),HEX2DEC("1FF")),"")</f>
        <v/>
      </c>
      <c r="AG44" s="3" t="b">
        <f>_xlfn.BITAND(HEX2DEC(MID(Table1[[#This Row],[statusRaw]],1+HEX2DEC(LEFT(AG$1,2))*2, 4)),512)=512</f>
        <v>0</v>
      </c>
      <c r="AH44" s="3" t="str">
        <f>MID(Table1[[#This Row],[statusRaw]],1+HEX2DEC(LEFT(AF$1,2))*2, 8)</f>
        <v>00000000</v>
      </c>
      <c r="AI44" s="3" t="str">
        <f>MID(Table1[[#This Row],[statusRaw]],1+HEX2DEC(LEFT(AH$1,2))*2, 8)</f>
        <v>00000000</v>
      </c>
      <c r="AJ44" s="3" t="str">
        <f>HEX2BIN(MID(Table1[[#This Row],[statusRaw]],1+HEX2DEC(LEFT(AJ$1,2))*2, 2),8) &amp; " 0x" &amp;MID(Table1[[#This Row],[statusRaw]],1+HEX2DEC(LEFT(AJ$1,2))*2, 2)</f>
        <v>00000000 0x00</v>
      </c>
      <c r="AK44" s="1" t="str">
        <f>HEX2BIN(MID(Table1[[#This Row],[statusRaw]],1+HEX2DEC(LEFT(AK$1,2))*2, 2),8) &amp; " 0x" &amp;MID(Table1[[#This Row],[statusRaw]],1+HEX2DEC(LEFT(AK$1,2))*2, 2)</f>
        <v>00000000 0x00</v>
      </c>
      <c r="AL44" s="1" t="str">
        <f>VLOOKUP(Table1[[#This Row],[40 trend]],'Arrow status mapping'!$A$1:$B$8,2,FALSE)</f>
        <v>3 arrows down</v>
      </c>
      <c r="AM44" s="3" t="str">
        <f>HEX2BIN(MID(Table1[[#This Row],[statusRaw]],1+HEX2DEC(LEFT(AM$1,2))*2, 2),8) &amp; " 0x" &amp;MID(Table1[[#This Row],[statusRaw]],1+HEX2DEC(LEFT(AM$1,2))*2, 2)</f>
        <v>00000000 0x00</v>
      </c>
      <c r="AN44" s="3" t="str">
        <f>HEX2BIN(MID(Table1[[#This Row],[statusRaw]],1+HEX2DEC(LEFT(AN$1,2))*2, 2),8) &amp; " 0x" &amp;MID(Table1[[#This Row],[statusRaw]],1+HEX2DEC(LEFT(AN$1,2))*2, 2)</f>
        <v>00000000 0x00</v>
      </c>
      <c r="AO44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0x0000 0</v>
      </c>
      <c r="AP44" s="1" t="str">
        <f>HEX2BIN(MID(Table1[[#This Row],[statusRaw]],1+HEX2DEC(LEFT(AP$1,2))*2, 2),8) &amp; " 0x" &amp;MID(Table1[[#This Row],[statusRaw]],1+HEX2DEC(LEFT(AP$1,2))*2, 2)</f>
        <v>00000000 0x00</v>
      </c>
      <c r="AQ44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44" s="3">
        <f>TRUNC(_xlfn.NUMBERVALUE(RIGHT(Table1[[#This Row],[46 rate of change (2)]],LEN(Table1[[#This Row],[46 rate of change (2)]])-7))/100)</f>
        <v>0</v>
      </c>
      <c r="AS44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44" s="3" t="b">
        <f>Table1[[#This Row],[calc arrow]]=Table1[[#This Row],[trend]]</f>
        <v>0</v>
      </c>
      <c r="AU44" s="3" t="str">
        <f>HEX2BIN(MID(Table1[[#This Row],[statusRaw]],1+HEX2DEC(LEFT(AU$1,2))*2, 2),8) &amp; " 0x" &amp;MID(Table1[[#This Row],[statusRaw]],1+HEX2DEC(LEFT(AU$1,2))*2, 2)</f>
        <v>00000000 0x00</v>
      </c>
      <c r="AV44" s="3">
        <f>HEX2DEC(MID(Table1[[#This Row],[statusRaw]],1+HEX2DEC(LEFT(AV$1,2))*2, 4))</f>
        <v>0</v>
      </c>
      <c r="AW44" s="3" t="str">
        <f>HEX2BIN(MID(Table1[[#This Row],[statusRaw]],1+HEX2DEC(LEFT(AW$1,2))*2, 2),8) &amp; " 0x" &amp;MID(Table1[[#This Row],[statusRaw]],1+HEX2DEC(LEFT(AW$1,2))*2, 2)</f>
        <v>00000000 0x00</v>
      </c>
      <c r="AX44" s="3" t="str">
        <f>HEX2BIN(MID(Table1[[#This Row],[statusRaw]],1+HEX2DEC(LEFT(AX$1,2))*2, 2),8) &amp; " 0x" &amp;MID(Table1[[#This Row],[statusRaw]],1+HEX2DEC(LEFT(AX$1,2))*2, 2)</f>
        <v>00000000 0x00</v>
      </c>
      <c r="AY44" s="3" t="str">
        <f>MID(Table1[[#This Row],[statusRaw]],1+HEX2DEC(LEFT(AY$1,2))*2, 8)</f>
        <v>00000000</v>
      </c>
      <c r="AZ44" s="3" t="str">
        <f>MID(Table1[[#This Row],[statusRaw]],1+HEX2DEC(LEFT(AZ$1,2))*2, 8)</f>
        <v>00000000</v>
      </c>
      <c r="BA44" s="3" t="str">
        <f>HEX2BIN(MID(Table1[[#This Row],[statusRaw]],1+HEX2DEC(LEFT(BA$1,2))*2, 2),8) &amp; " 0x" &amp;MID(Table1[[#This Row],[statusRaw]],1+HEX2DEC(LEFT(BA$1,2))*2, 2)</f>
        <v>00000000 0x00</v>
      </c>
      <c r="BB44" s="3" t="str">
        <f>HEX2BIN(MID(Table1[[#This Row],[statusRaw]],1+HEX2DEC(LEFT(BB$1,2))*2, 2),8) &amp; " 0x" &amp;MID(Table1[[#This Row],[statusRaw]],1+HEX2DEC(LEFT(BB$1,2))*2, 2)</f>
        <v>00000000 0x00</v>
      </c>
      <c r="BC44" s="3" t="str">
        <f>HEX2BIN(MID(Table1[[#This Row],[statusRaw]],1+HEX2DEC(LEFT(BC$1,2))*2, 2),8) &amp; " 0x" &amp;MID(Table1[[#This Row],[statusRaw]],1+HEX2DEC(LEFT(BC$1,2))*2, 2)</f>
        <v>00000000 0x00</v>
      </c>
      <c r="BD44" s="3" t="str">
        <f>MID(Table1[[#This Row],[statusRaw]],1+HEX2DEC(LEFT(BD$1,2))*2, 8)</f>
        <v>000008C6</v>
      </c>
      <c r="BE44" s="5" t="str">
        <f>MID(Table1[[#This Row],[statusRaw]],1+HEX2DEC(LEFT(BE$1,2))*2, 8)</f>
        <v>000008C6</v>
      </c>
      <c r="BF44" s="9" t="s">
        <v>374</v>
      </c>
    </row>
    <row r="45" spans="1:58" x14ac:dyDescent="0.25">
      <c r="A45" s="1" t="s">
        <v>135</v>
      </c>
      <c r="B45" s="1" t="s">
        <v>136</v>
      </c>
      <c r="C45" s="1" t="s">
        <v>7</v>
      </c>
      <c r="D45" s="1" t="s">
        <v>137</v>
      </c>
      <c r="E45" s="1">
        <v>20</v>
      </c>
      <c r="F45" s="3" t="str">
        <f>HEX2BIN(MID(Table1[[#This Row],[statusRaw]],1+HEX2DEC(LEFT(F$1,2))*2, 2),8) &amp; " 0x" &amp;MID(Table1[[#This Row],[statusRaw]],1+HEX2DEC(LEFT(F$1,2))*2, 2)</f>
        <v>01010000 0x50</v>
      </c>
      <c r="G45" s="3" t="b">
        <f>MID(Table1[[#This Row],[03 - pump status (1)]],1,1)="1"</f>
        <v>0</v>
      </c>
      <c r="H45" s="3" t="b">
        <f>MID(Table1[[#This Row],[03 - pump status (1)]],2,1)="1"</f>
        <v>1</v>
      </c>
      <c r="I45" s="3" t="b">
        <f>MID(Table1[[#This Row],[03 - pump status (1)]],3,1)="1"</f>
        <v>0</v>
      </c>
      <c r="J45" s="3" t="b">
        <f>MID(Table1[[#This Row],[03 - pump status (1)]],4,1)="1"</f>
        <v>1</v>
      </c>
      <c r="K45" s="3" t="b">
        <f>MID(Table1[[#This Row],[03 - pump status (1)]],5,1)="1"</f>
        <v>0</v>
      </c>
      <c r="L45" s="3" t="b">
        <f>MID(Table1[[#This Row],[03 - pump status (1)]],6,1)="1"</f>
        <v>0</v>
      </c>
      <c r="M45" s="3" t="b">
        <f>MID(Table1[[#This Row],[03 - pump status (1)]],7,1)="1"</f>
        <v>0</v>
      </c>
      <c r="N45" s="3" t="b">
        <f>MID(Table1[[#This Row],[03 - pump status (1)]],8,1)="1"</f>
        <v>0</v>
      </c>
      <c r="O45" s="3" t="str">
        <f>MID(Table1[[#This Row],[statusRaw]],1+HEX2DEC(LEFT(O$1,2))*2, 8)</f>
        <v>00000000</v>
      </c>
      <c r="P45" s="3" t="str">
        <f>MID(Table1[[#This Row],[statusRaw]],1+HEX2DEC(LEFT(P$1,2))*2, 8)</f>
        <v>00000000</v>
      </c>
      <c r="Q45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45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45" s="5">
        <f>HEX2DEC(MID(Table1[[#This Row],[statusRaw]],1+HEX2DEC(LEFT(S$1,2))*2, 8))/10000</f>
        <v>1</v>
      </c>
      <c r="T45" s="3" t="str">
        <f>MID(Table1[[#This Row],[statusRaw]],1+HEX2DEC(LEFT(T$1,2))*2, 8)</f>
        <v>278A247E</v>
      </c>
      <c r="U45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0x2D00 11520</v>
      </c>
      <c r="V45" s="3" t="str">
        <f>HEX2BIN(MID(Table1[[#This Row],[statusRaw]],1+HEX2DEC(LEFT(V$1,2))*2, 2),8) &amp; " 0x" &amp;MID(Table1[[#This Row],[statusRaw]],1+HEX2DEC(LEFT(V$1,2))*2, 2)</f>
        <v>00000001 0x01</v>
      </c>
      <c r="W45" s="3">
        <f>HEX2DEC(MID(Table1[[#This Row],[statusRaw]],1+HEX2DEC(LEFT(W$1,2))*2, 8))/10000</f>
        <v>0.6</v>
      </c>
      <c r="X45" s="3">
        <f>HEX2DEC(MID(Table1[[#This Row],[statusRaw]],1+HEX2DEC(LEFT(X$1,2))*2, 8))/10000</f>
        <v>0</v>
      </c>
      <c r="Y45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45" s="11">
        <f>HEX2DEC(MID(Table1[[#This Row],[statusRaw]],1+HEX2DEC(LEFT(Z$1,2))*2, 8))/10000</f>
        <v>9.9</v>
      </c>
      <c r="AA45" s="3">
        <f>HEX2DEC(MID(Table1[[#This Row],[statusRaw]],1+HEX2DEC(LEFT(AA$1,2))*2, 2))</f>
        <v>50</v>
      </c>
      <c r="AB45" s="5">
        <f>HEX2DEC(MID(Table1[[#This Row],[statusRaw]],1+HEX2DEC(LEFT(AB$1,2))*2, 8))/10000</f>
        <v>72.775000000000006</v>
      </c>
      <c r="AC45" s="3">
        <f>HEX2DEC(MID(Table1[[#This Row],[statusRaw]],1+HEX2DEC(LEFT(AC$1,2))*2, 2))</f>
        <v>25</v>
      </c>
      <c r="AD45" s="3">
        <f>HEX2DEC(MID(Table1[[#This Row],[statusRaw]],1+HEX2DEC(LEFT(AD$1,2))*2, 2))</f>
        <v>0</v>
      </c>
      <c r="AE45" s="11">
        <f>HEX2DEC(MID(Table1[[#This Row],[statusRaw]],1+HEX2DEC(LEFT(AE$1,2))*2, 8))/10000</f>
        <v>3.7</v>
      </c>
      <c r="AF45" s="3">
        <f>IF(AND(Table1[[#This Row],[cgm]],NOT(Table1[[#This Row],[35 - SGV special bit (2)]])), _xlfn.BITAND(HEX2DEC(MID(Table1[[#This Row],[statusRaw]],1+HEX2DEC(LEFT(AF$1,2))*2, 4)),HEX2DEC("1FF")),"")</f>
        <v>246</v>
      </c>
      <c r="AG45" s="3" t="b">
        <f>_xlfn.BITAND(HEX2DEC(MID(Table1[[#This Row],[statusRaw]],1+HEX2DEC(LEFT(AG$1,2))*2, 4)),512)=512</f>
        <v>0</v>
      </c>
      <c r="AH45" s="3" t="str">
        <f>MID(Table1[[#This Row],[statusRaw]],1+HEX2DEC(LEFT(AF$1,2))*2, 8)</f>
        <v>00F68674</v>
      </c>
      <c r="AI45" s="3" t="str">
        <f>MID(Table1[[#This Row],[statusRaw]],1+HEX2DEC(LEFT(AH$1,2))*2, 8)</f>
        <v>86742E2A</v>
      </c>
      <c r="AJ45" s="3" t="str">
        <f>HEX2BIN(MID(Table1[[#This Row],[statusRaw]],1+HEX2DEC(LEFT(AJ$1,2))*2, 2),8) &amp; " 0x" &amp;MID(Table1[[#This Row],[statusRaw]],1+HEX2DEC(LEFT(AJ$1,2))*2, 2)</f>
        <v>00000101 0x05</v>
      </c>
      <c r="AK45" s="1" t="str">
        <f>HEX2BIN(MID(Table1[[#This Row],[statusRaw]],1+HEX2DEC(LEFT(AK$1,2))*2, 2),8) &amp; " 0x" &amp;MID(Table1[[#This Row],[statusRaw]],1+HEX2DEC(LEFT(AK$1,2))*2, 2)</f>
        <v>01100000 0x60</v>
      </c>
      <c r="AL45" s="1" t="str">
        <f>VLOOKUP(Table1[[#This Row],[40 trend]],'Arrow status mapping'!$A$1:$B$8,2,FALSE)</f>
        <v>No arrows</v>
      </c>
      <c r="AM45" s="3" t="str">
        <f>HEX2BIN(MID(Table1[[#This Row],[statusRaw]],1+HEX2DEC(LEFT(AM$1,2))*2, 2),8) &amp; " 0x" &amp;MID(Table1[[#This Row],[statusRaw]],1+HEX2DEC(LEFT(AM$1,2))*2, 2)</f>
        <v>00010000 0x10</v>
      </c>
      <c r="AN45" s="3" t="str">
        <f>HEX2BIN(MID(Table1[[#This Row],[statusRaw]],1+HEX2DEC(LEFT(AN$1,2))*2, 2),8) &amp; " 0x" &amp;MID(Table1[[#This Row],[statusRaw]],1+HEX2DEC(LEFT(AN$1,2))*2, 2)</f>
        <v>00000000 0x00</v>
      </c>
      <c r="AO45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0x012C 300</v>
      </c>
      <c r="AP45" s="1" t="str">
        <f>HEX2BIN(MID(Table1[[#This Row],[statusRaw]],1+HEX2DEC(LEFT(AP$1,2))*2, 2),8) &amp; " 0x" &amp;MID(Table1[[#This Row],[statusRaw]],1+HEX2DEC(LEFT(AP$1,2))*2, 2)</f>
        <v>00101010 0x2A</v>
      </c>
      <c r="AQ45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0x001C 28</v>
      </c>
      <c r="AR45" s="3">
        <f>TRUNC(_xlfn.NUMBERVALUE(RIGHT(Table1[[#This Row],[46 rate of change (2)]],LEN(Table1[[#This Row],[46 rate of change (2)]])-7))/100)</f>
        <v>0</v>
      </c>
      <c r="AS45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45" s="3" t="b">
        <f>Table1[[#This Row],[calc arrow]]=Table1[[#This Row],[trend]]</f>
        <v>1</v>
      </c>
      <c r="AU45" s="3" t="str">
        <f>HEX2BIN(MID(Table1[[#This Row],[statusRaw]],1+HEX2DEC(LEFT(AU$1,2))*2, 2),8) &amp; " 0x" &amp;MID(Table1[[#This Row],[statusRaw]],1+HEX2DEC(LEFT(AU$1,2))*2, 2)</f>
        <v>00000000 0x00</v>
      </c>
      <c r="AV45" s="3">
        <f>HEX2DEC(MID(Table1[[#This Row],[statusRaw]],1+HEX2DEC(LEFT(AV$1,2))*2, 4))</f>
        <v>0</v>
      </c>
      <c r="AW45" s="3" t="str">
        <f>HEX2BIN(MID(Table1[[#This Row],[statusRaw]],1+HEX2DEC(LEFT(AW$1,2))*2, 2),8) &amp; " 0x" &amp;MID(Table1[[#This Row],[statusRaw]],1+HEX2DEC(LEFT(AW$1,2))*2, 2)</f>
        <v>00000000 0x00</v>
      </c>
      <c r="AX45" s="3" t="str">
        <f>HEX2BIN(MID(Table1[[#This Row],[statusRaw]],1+HEX2DEC(LEFT(AX$1,2))*2, 2),8) &amp; " 0x" &amp;MID(Table1[[#This Row],[statusRaw]],1+HEX2DEC(LEFT(AX$1,2))*2, 2)</f>
        <v>00000000 0x00</v>
      </c>
      <c r="AY45" s="3" t="str">
        <f>MID(Table1[[#This Row],[statusRaw]],1+HEX2DEC(LEFT(AY$1,2))*2, 8)</f>
        <v>00000000</v>
      </c>
      <c r="AZ45" s="3" t="str">
        <f>MID(Table1[[#This Row],[statusRaw]],1+HEX2DEC(LEFT(AZ$1,2))*2, 8)</f>
        <v>00000000</v>
      </c>
      <c r="BA45" s="3" t="str">
        <f>HEX2BIN(MID(Table1[[#This Row],[statusRaw]],1+HEX2DEC(LEFT(BA$1,2))*2, 2),8) &amp; " 0x" &amp;MID(Table1[[#This Row],[statusRaw]],1+HEX2DEC(LEFT(BA$1,2))*2, 2)</f>
        <v>00000000 0x00</v>
      </c>
      <c r="BB45" s="3" t="str">
        <f>HEX2BIN(MID(Table1[[#This Row],[statusRaw]],1+HEX2DEC(LEFT(BB$1,2))*2, 2),8) &amp; " 0x" &amp;MID(Table1[[#This Row],[statusRaw]],1+HEX2DEC(LEFT(BB$1,2))*2, 2)</f>
        <v>00000000 0x00</v>
      </c>
      <c r="BC45" s="3" t="str">
        <f>HEX2BIN(MID(Table1[[#This Row],[statusRaw]],1+HEX2DEC(LEFT(BC$1,2))*2, 2),8) &amp; " 0x" &amp;MID(Table1[[#This Row],[statusRaw]],1+HEX2DEC(LEFT(BC$1,2))*2, 2)</f>
        <v>00000000 0x00</v>
      </c>
      <c r="BD45" s="3" t="str">
        <f>MID(Table1[[#This Row],[statusRaw]],1+HEX2DEC(LEFT(BD$1,2))*2, 8)</f>
        <v>000008C5</v>
      </c>
      <c r="BE45" s="5" t="str">
        <f>MID(Table1[[#This Row],[statusRaw]],1+HEX2DEC(LEFT(BE$1,2))*2, 8)</f>
        <v>000008C5</v>
      </c>
      <c r="BF45" s="9"/>
    </row>
    <row r="46" spans="1:58" x14ac:dyDescent="0.25">
      <c r="A46" s="1" t="s">
        <v>138</v>
      </c>
      <c r="B46" s="1" t="s">
        <v>139</v>
      </c>
      <c r="C46" s="1" t="s">
        <v>7</v>
      </c>
      <c r="D46" s="1" t="s">
        <v>140</v>
      </c>
      <c r="E46" s="1">
        <v>19</v>
      </c>
      <c r="F46" s="3" t="str">
        <f>HEX2BIN(MID(Table1[[#This Row],[statusRaw]],1+HEX2DEC(LEFT(F$1,2))*2, 2),8) &amp; " 0x" &amp;MID(Table1[[#This Row],[statusRaw]],1+HEX2DEC(LEFT(F$1,2))*2, 2)</f>
        <v>01010010 0x52</v>
      </c>
      <c r="G46" s="3" t="b">
        <f>MID(Table1[[#This Row],[03 - pump status (1)]],1,1)="1"</f>
        <v>0</v>
      </c>
      <c r="H46" s="3" t="b">
        <f>MID(Table1[[#This Row],[03 - pump status (1)]],2,1)="1"</f>
        <v>1</v>
      </c>
      <c r="I46" s="3" t="b">
        <f>MID(Table1[[#This Row],[03 - pump status (1)]],3,1)="1"</f>
        <v>0</v>
      </c>
      <c r="J46" s="3" t="b">
        <f>MID(Table1[[#This Row],[03 - pump status (1)]],4,1)="1"</f>
        <v>1</v>
      </c>
      <c r="K46" s="3" t="b">
        <f>MID(Table1[[#This Row],[03 - pump status (1)]],5,1)="1"</f>
        <v>0</v>
      </c>
      <c r="L46" s="3" t="b">
        <f>MID(Table1[[#This Row],[03 - pump status (1)]],6,1)="1"</f>
        <v>0</v>
      </c>
      <c r="M46" s="3" t="b">
        <f>MID(Table1[[#This Row],[03 - pump status (1)]],7,1)="1"</f>
        <v>1</v>
      </c>
      <c r="N46" s="3" t="b">
        <f>MID(Table1[[#This Row],[03 - pump status (1)]],8,1)="1"</f>
        <v>0</v>
      </c>
      <c r="O46" s="3" t="str">
        <f>MID(Table1[[#This Row],[statusRaw]],1+HEX2DEC(LEFT(O$1,2))*2, 8)</f>
        <v>00000DAC</v>
      </c>
      <c r="P46" s="3" t="str">
        <f>MID(Table1[[#This Row],[statusRaw]],1+HEX2DEC(LEFT(P$1,2))*2, 8)</f>
        <v>00000000</v>
      </c>
      <c r="Q46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46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0x2D00 11520</v>
      </c>
      <c r="S46" s="3">
        <f>HEX2DEC(MID(Table1[[#This Row],[statusRaw]],1+HEX2DEC(LEFT(S$1,2))*2, 8))/10000</f>
        <v>1.7</v>
      </c>
      <c r="T46" s="3" t="str">
        <f>MID(Table1[[#This Row],[statusRaw]],1+HEX2DEC(LEFT(T$1,2))*2, 8)</f>
        <v>278A18A1</v>
      </c>
      <c r="U46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0x2C00 11264</v>
      </c>
      <c r="V46" s="3" t="str">
        <f>HEX2BIN(MID(Table1[[#This Row],[statusRaw]],1+HEX2DEC(LEFT(V$1,2))*2, 2),8) &amp; " 0x" &amp;MID(Table1[[#This Row],[statusRaw]],1+HEX2DEC(LEFT(V$1,2))*2, 2)</f>
        <v>00000001 0x01</v>
      </c>
      <c r="W46" s="3">
        <f>HEX2DEC(MID(Table1[[#This Row],[statusRaw]],1+HEX2DEC(LEFT(W$1,2))*2, 8))/10000</f>
        <v>0.7</v>
      </c>
      <c r="X46" s="3">
        <f>HEX2DEC(MID(Table1[[#This Row],[statusRaw]],1+HEX2DEC(LEFT(X$1,2))*2, 8))/10000</f>
        <v>0</v>
      </c>
      <c r="Y46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46" s="11">
        <f>HEX2DEC(MID(Table1[[#This Row],[statusRaw]],1+HEX2DEC(LEFT(Z$1,2))*2, 8))/10000</f>
        <v>9.85</v>
      </c>
      <c r="AA46" s="3">
        <f>HEX2DEC(MID(Table1[[#This Row],[statusRaw]],1+HEX2DEC(LEFT(AA$1,2))*2, 2))</f>
        <v>50</v>
      </c>
      <c r="AB46" s="3">
        <f>HEX2DEC(MID(Table1[[#This Row],[statusRaw]],1+HEX2DEC(LEFT(AB$1,2))*2, 8))/10000</f>
        <v>73.474999999999994</v>
      </c>
      <c r="AC46" s="3">
        <f>HEX2DEC(MID(Table1[[#This Row],[statusRaw]],1+HEX2DEC(LEFT(AC$1,2))*2, 2))</f>
        <v>25</v>
      </c>
      <c r="AD46" s="3">
        <f>HEX2DEC(MID(Table1[[#This Row],[statusRaw]],1+HEX2DEC(LEFT(AD$1,2))*2, 2))</f>
        <v>0</v>
      </c>
      <c r="AE46" s="3">
        <f>HEX2DEC(MID(Table1[[#This Row],[statusRaw]],1+HEX2DEC(LEFT(AE$1,2))*2, 8))/10000</f>
        <v>3.2</v>
      </c>
      <c r="AF46" s="3">
        <f>IF(AND(Table1[[#This Row],[cgm]],NOT(Table1[[#This Row],[35 - SGV special bit (2)]])), _xlfn.BITAND(HEX2DEC(MID(Table1[[#This Row],[statusRaw]],1+HEX2DEC(LEFT(AF$1,2))*2, 4)),HEX2DEC("1FF")),"")</f>
        <v>242</v>
      </c>
      <c r="AG46" s="3" t="b">
        <f>_xlfn.BITAND(HEX2DEC(MID(Table1[[#This Row],[statusRaw]],1+HEX2DEC(LEFT(AG$1,2))*2, 4)),512)=512</f>
        <v>0</v>
      </c>
      <c r="AH46" s="3" t="str">
        <f>MID(Table1[[#This Row],[statusRaw]],1+HEX2DEC(LEFT(AF$1,2))*2, 8)</f>
        <v>00F28674</v>
      </c>
      <c r="AI46" s="3" t="str">
        <f>MID(Table1[[#This Row],[statusRaw]],1+HEX2DEC(LEFT(AH$1,2))*2, 8)</f>
        <v>86742CFE</v>
      </c>
      <c r="AJ46" s="3" t="str">
        <f>HEX2BIN(MID(Table1[[#This Row],[statusRaw]],1+HEX2DEC(LEFT(AJ$1,2))*2, 2),8) &amp; " 0x" &amp;MID(Table1[[#This Row],[statusRaw]],1+HEX2DEC(LEFT(AJ$1,2))*2, 2)</f>
        <v>00000101 0x05</v>
      </c>
      <c r="AK46" s="1" t="str">
        <f>HEX2BIN(MID(Table1[[#This Row],[statusRaw]],1+HEX2DEC(LEFT(AK$1,2))*2, 2),8) &amp; " 0x" &amp;MID(Table1[[#This Row],[statusRaw]],1+HEX2DEC(LEFT(AK$1,2))*2, 2)</f>
        <v>01100000 0x60</v>
      </c>
      <c r="AL46" s="1" t="str">
        <f>VLOOKUP(Table1[[#This Row],[40 trend]],'Arrow status mapping'!$A$1:$B$8,2,FALSE)</f>
        <v>No arrows</v>
      </c>
      <c r="AM46" s="3" t="str">
        <f>HEX2BIN(MID(Table1[[#This Row],[statusRaw]],1+HEX2DEC(LEFT(AM$1,2))*2, 2),8) &amp; " 0x" &amp;MID(Table1[[#This Row],[statusRaw]],1+HEX2DEC(LEFT(AM$1,2))*2, 2)</f>
        <v>00010000 0x10</v>
      </c>
      <c r="AN46" s="3" t="str">
        <f>HEX2BIN(MID(Table1[[#This Row],[statusRaw]],1+HEX2DEC(LEFT(AN$1,2))*2, 2),8) &amp; " 0x" &amp;MID(Table1[[#This Row],[statusRaw]],1+HEX2DEC(LEFT(AN$1,2))*2, 2)</f>
        <v>00000000 0x00</v>
      </c>
      <c r="AO46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0x0131 305</v>
      </c>
      <c r="AP46" s="1" t="str">
        <f>HEX2BIN(MID(Table1[[#This Row],[statusRaw]],1+HEX2DEC(LEFT(AP$1,2))*2, 2),8) &amp; " 0x" &amp;MID(Table1[[#This Row],[statusRaw]],1+HEX2DEC(LEFT(AP$1,2))*2, 2)</f>
        <v>00101010 0x2A</v>
      </c>
      <c r="AQ46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0x0005 5</v>
      </c>
      <c r="AR46" s="3">
        <f>TRUNC(_xlfn.NUMBERVALUE(RIGHT(Table1[[#This Row],[46 rate of change (2)]],LEN(Table1[[#This Row],[46 rate of change (2)]])-7))/100)</f>
        <v>0</v>
      </c>
      <c r="AS46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46" s="3" t="b">
        <f>Table1[[#This Row],[calc arrow]]=Table1[[#This Row],[trend]]</f>
        <v>1</v>
      </c>
      <c r="AU46" s="3" t="str">
        <f>HEX2BIN(MID(Table1[[#This Row],[statusRaw]],1+HEX2DEC(LEFT(AU$1,2))*2, 2),8) &amp; " 0x" &amp;MID(Table1[[#This Row],[statusRaw]],1+HEX2DEC(LEFT(AU$1,2))*2, 2)</f>
        <v>00000000 0x00</v>
      </c>
      <c r="AV46" s="3">
        <f>HEX2DEC(MID(Table1[[#This Row],[statusRaw]],1+HEX2DEC(LEFT(AV$1,2))*2, 4))</f>
        <v>0</v>
      </c>
      <c r="AW46" s="3" t="str">
        <f>HEX2BIN(MID(Table1[[#This Row],[statusRaw]],1+HEX2DEC(LEFT(AW$1,2))*2, 2),8) &amp; " 0x" &amp;MID(Table1[[#This Row],[statusRaw]],1+HEX2DEC(LEFT(AW$1,2))*2, 2)</f>
        <v>00000000 0x00</v>
      </c>
      <c r="AX46" s="3" t="str">
        <f>HEX2BIN(MID(Table1[[#This Row],[statusRaw]],1+HEX2DEC(LEFT(AX$1,2))*2, 2),8) &amp; " 0x" &amp;MID(Table1[[#This Row],[statusRaw]],1+HEX2DEC(LEFT(AX$1,2))*2, 2)</f>
        <v>00000000 0x00</v>
      </c>
      <c r="AY46" s="3" t="str">
        <f>MID(Table1[[#This Row],[statusRaw]],1+HEX2DEC(LEFT(AY$1,2))*2, 8)</f>
        <v>00000000</v>
      </c>
      <c r="AZ46" s="3" t="str">
        <f>MID(Table1[[#This Row],[statusRaw]],1+HEX2DEC(LEFT(AZ$1,2))*2, 8)</f>
        <v>00000000</v>
      </c>
      <c r="BA46" s="3" t="str">
        <f>HEX2BIN(MID(Table1[[#This Row],[statusRaw]],1+HEX2DEC(LEFT(BA$1,2))*2, 2),8) &amp; " 0x" &amp;MID(Table1[[#This Row],[statusRaw]],1+HEX2DEC(LEFT(BA$1,2))*2, 2)</f>
        <v>00000000 0x00</v>
      </c>
      <c r="BB46" s="3" t="str">
        <f>HEX2BIN(MID(Table1[[#This Row],[statusRaw]],1+HEX2DEC(LEFT(BB$1,2))*2, 2),8) &amp; " 0x" &amp;MID(Table1[[#This Row],[statusRaw]],1+HEX2DEC(LEFT(BB$1,2))*2, 2)</f>
        <v>00000000 0x00</v>
      </c>
      <c r="BC46" s="3" t="str">
        <f>HEX2BIN(MID(Table1[[#This Row],[statusRaw]],1+HEX2DEC(LEFT(BC$1,2))*2, 2),8) &amp; " 0x" &amp;MID(Table1[[#This Row],[statusRaw]],1+HEX2DEC(LEFT(BC$1,2))*2, 2)</f>
        <v>00000000 0x00</v>
      </c>
      <c r="BD46" s="3" t="str">
        <f>MID(Table1[[#This Row],[statusRaw]],1+HEX2DEC(LEFT(BD$1,2))*2, 8)</f>
        <v>000008C5</v>
      </c>
      <c r="BE46" s="3" t="str">
        <f>MID(Table1[[#This Row],[statusRaw]],1+HEX2DEC(LEFT(BE$1,2))*2, 8)</f>
        <v>000008C5</v>
      </c>
      <c r="BF46" s="9"/>
    </row>
    <row r="47" spans="1:58" x14ac:dyDescent="0.25">
      <c r="A47" s="1" t="s">
        <v>141</v>
      </c>
      <c r="B47" s="1" t="s">
        <v>142</v>
      </c>
      <c r="C47" s="1" t="s">
        <v>7</v>
      </c>
      <c r="D47" s="1" t="s">
        <v>143</v>
      </c>
      <c r="E47" s="1">
        <v>19</v>
      </c>
      <c r="F47" s="3" t="str">
        <f>HEX2BIN(MID(Table1[[#This Row],[statusRaw]],1+HEX2DEC(LEFT(F$1,2))*2, 2),8) &amp; " 0x" &amp;MID(Table1[[#This Row],[statusRaw]],1+HEX2DEC(LEFT(F$1,2))*2, 2)</f>
        <v>01010000 0x50</v>
      </c>
      <c r="G47" s="3" t="b">
        <f>MID(Table1[[#This Row],[03 - pump status (1)]],1,1)="1"</f>
        <v>0</v>
      </c>
      <c r="H47" s="3" t="b">
        <f>MID(Table1[[#This Row],[03 - pump status (1)]],2,1)="1"</f>
        <v>1</v>
      </c>
      <c r="I47" s="3" t="b">
        <f>MID(Table1[[#This Row],[03 - pump status (1)]],3,1)="1"</f>
        <v>0</v>
      </c>
      <c r="J47" s="3" t="b">
        <f>MID(Table1[[#This Row],[03 - pump status (1)]],4,1)="1"</f>
        <v>1</v>
      </c>
      <c r="K47" s="3" t="b">
        <f>MID(Table1[[#This Row],[03 - pump status (1)]],5,1)="1"</f>
        <v>0</v>
      </c>
      <c r="L47" s="3" t="b">
        <f>MID(Table1[[#This Row],[03 - pump status (1)]],6,1)="1"</f>
        <v>0</v>
      </c>
      <c r="M47" s="3" t="b">
        <f>MID(Table1[[#This Row],[03 - pump status (1)]],7,1)="1"</f>
        <v>0</v>
      </c>
      <c r="N47" s="3" t="b">
        <f>MID(Table1[[#This Row],[03 - pump status (1)]],8,1)="1"</f>
        <v>0</v>
      </c>
      <c r="O47" s="3" t="str">
        <f>MID(Table1[[#This Row],[statusRaw]],1+HEX2DEC(LEFT(O$1,2))*2, 8)</f>
        <v>00000000</v>
      </c>
      <c r="P47" s="3" t="str">
        <f>MID(Table1[[#This Row],[statusRaw]],1+HEX2DEC(LEFT(P$1,2))*2, 8)</f>
        <v>00000000</v>
      </c>
      <c r="Q47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47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47" s="3">
        <f>HEX2DEC(MID(Table1[[#This Row],[statusRaw]],1+HEX2DEC(LEFT(S$1,2))*2, 8))/10000</f>
        <v>1.7</v>
      </c>
      <c r="T47" s="3" t="str">
        <f>MID(Table1[[#This Row],[statusRaw]],1+HEX2DEC(LEFT(T$1,2))*2, 8)</f>
        <v>278A18A1</v>
      </c>
      <c r="U47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0x2C00 11264</v>
      </c>
      <c r="V47" s="3" t="str">
        <f>HEX2BIN(MID(Table1[[#This Row],[statusRaw]],1+HEX2DEC(LEFT(V$1,2))*2, 2),8) &amp; " 0x" &amp;MID(Table1[[#This Row],[statusRaw]],1+HEX2DEC(LEFT(V$1,2))*2, 2)</f>
        <v>00000001 0x01</v>
      </c>
      <c r="W47" s="3">
        <f>HEX2DEC(MID(Table1[[#This Row],[statusRaw]],1+HEX2DEC(LEFT(W$1,2))*2, 8))/10000</f>
        <v>0.7</v>
      </c>
      <c r="X47" s="3">
        <f>HEX2DEC(MID(Table1[[#This Row],[statusRaw]],1+HEX2DEC(LEFT(X$1,2))*2, 8))/10000</f>
        <v>0</v>
      </c>
      <c r="Y47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47" s="11">
        <f>HEX2DEC(MID(Table1[[#This Row],[statusRaw]],1+HEX2DEC(LEFT(Z$1,2))*2, 8))/10000</f>
        <v>9.6750000000000007</v>
      </c>
      <c r="AA47" s="3">
        <f>HEX2DEC(MID(Table1[[#This Row],[statusRaw]],1+HEX2DEC(LEFT(AA$1,2))*2, 2))</f>
        <v>50</v>
      </c>
      <c r="AB47" s="3">
        <f>HEX2DEC(MID(Table1[[#This Row],[statusRaw]],1+HEX2DEC(LEFT(AB$1,2))*2, 8))/10000</f>
        <v>74</v>
      </c>
      <c r="AC47" s="3">
        <f>HEX2DEC(MID(Table1[[#This Row],[statusRaw]],1+HEX2DEC(LEFT(AC$1,2))*2, 2))</f>
        <v>25</v>
      </c>
      <c r="AD47" s="3">
        <f>HEX2DEC(MID(Table1[[#This Row],[statusRaw]],1+HEX2DEC(LEFT(AD$1,2))*2, 2))</f>
        <v>0</v>
      </c>
      <c r="AE47" s="3">
        <f>HEX2DEC(MID(Table1[[#This Row],[statusRaw]],1+HEX2DEC(LEFT(AE$1,2))*2, 8))/10000</f>
        <v>3.2</v>
      </c>
      <c r="AF47" s="3">
        <f>IF(AND(Table1[[#This Row],[cgm]],NOT(Table1[[#This Row],[35 - SGV special bit (2)]])), _xlfn.BITAND(HEX2DEC(MID(Table1[[#This Row],[statusRaw]],1+HEX2DEC(LEFT(AF$1,2))*2, 4)),HEX2DEC("1FF")),"")</f>
        <v>244</v>
      </c>
      <c r="AG47" s="3" t="b">
        <f>_xlfn.BITAND(HEX2DEC(MID(Table1[[#This Row],[statusRaw]],1+HEX2DEC(LEFT(AG$1,2))*2, 4)),512)=512</f>
        <v>0</v>
      </c>
      <c r="AH47" s="3" t="str">
        <f>MID(Table1[[#This Row],[statusRaw]],1+HEX2DEC(LEFT(AF$1,2))*2, 8)</f>
        <v>00F48674</v>
      </c>
      <c r="AI47" s="3" t="str">
        <f>MID(Table1[[#This Row],[statusRaw]],1+HEX2DEC(LEFT(AH$1,2))*2, 8)</f>
        <v>8674297A</v>
      </c>
      <c r="AJ47" s="3" t="str">
        <f>HEX2BIN(MID(Table1[[#This Row],[statusRaw]],1+HEX2DEC(LEFT(AJ$1,2))*2, 2),8) &amp; " 0x" &amp;MID(Table1[[#This Row],[statusRaw]],1+HEX2DEC(LEFT(AJ$1,2))*2, 2)</f>
        <v>00000101 0x05</v>
      </c>
      <c r="AK47" s="1" t="str">
        <f>HEX2BIN(MID(Table1[[#This Row],[statusRaw]],1+HEX2DEC(LEFT(AK$1,2))*2, 2),8) &amp; " 0x" &amp;MID(Table1[[#This Row],[statusRaw]],1+HEX2DEC(LEFT(AK$1,2))*2, 2)</f>
        <v>01100000 0x60</v>
      </c>
      <c r="AL47" s="1" t="str">
        <f>VLOOKUP(Table1[[#This Row],[40 trend]],'Arrow status mapping'!$A$1:$B$8,2,FALSE)</f>
        <v>No arrows</v>
      </c>
      <c r="AM47" s="3" t="str">
        <f>HEX2BIN(MID(Table1[[#This Row],[statusRaw]],1+HEX2DEC(LEFT(AM$1,2))*2, 2),8) &amp; " 0x" &amp;MID(Table1[[#This Row],[statusRaw]],1+HEX2DEC(LEFT(AM$1,2))*2, 2)</f>
        <v>00010000 0x10</v>
      </c>
      <c r="AN47" s="3" t="str">
        <f>HEX2BIN(MID(Table1[[#This Row],[statusRaw]],1+HEX2DEC(LEFT(AN$1,2))*2, 2),8) &amp; " 0x" &amp;MID(Table1[[#This Row],[statusRaw]],1+HEX2DEC(LEFT(AN$1,2))*2, 2)</f>
        <v>00000000 0x00</v>
      </c>
      <c r="AO47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0x0140 320</v>
      </c>
      <c r="AP47" s="1" t="str">
        <f>HEX2BIN(MID(Table1[[#This Row],[statusRaw]],1+HEX2DEC(LEFT(AP$1,2))*2, 2),8) &amp; " 0x" &amp;MID(Table1[[#This Row],[statusRaw]],1+HEX2DEC(LEFT(AP$1,2))*2, 2)</f>
        <v>00101010 0x2A</v>
      </c>
      <c r="AQ47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0xFFC4 -60</v>
      </c>
      <c r="AR47" s="3">
        <f>TRUNC(_xlfn.NUMBERVALUE(RIGHT(Table1[[#This Row],[46 rate of change (2)]],LEN(Table1[[#This Row],[46 rate of change (2)]])-7))/100)</f>
        <v>0</v>
      </c>
      <c r="AS47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47" s="3" t="b">
        <f>Table1[[#This Row],[calc arrow]]=Table1[[#This Row],[trend]]</f>
        <v>1</v>
      </c>
      <c r="AU47" s="3" t="str">
        <f>HEX2BIN(MID(Table1[[#This Row],[statusRaw]],1+HEX2DEC(LEFT(AU$1,2))*2, 2),8) &amp; " 0x" &amp;MID(Table1[[#This Row],[statusRaw]],1+HEX2DEC(LEFT(AU$1,2))*2, 2)</f>
        <v>00000000 0x00</v>
      </c>
      <c r="AV47" s="3">
        <f>HEX2DEC(MID(Table1[[#This Row],[statusRaw]],1+HEX2DEC(LEFT(AV$1,2))*2, 4))</f>
        <v>0</v>
      </c>
      <c r="AW47" s="3" t="str">
        <f>HEX2BIN(MID(Table1[[#This Row],[statusRaw]],1+HEX2DEC(LEFT(AW$1,2))*2, 2),8) &amp; " 0x" &amp;MID(Table1[[#This Row],[statusRaw]],1+HEX2DEC(LEFT(AW$1,2))*2, 2)</f>
        <v>00000000 0x00</v>
      </c>
      <c r="AX47" s="3" t="str">
        <f>HEX2BIN(MID(Table1[[#This Row],[statusRaw]],1+HEX2DEC(LEFT(AX$1,2))*2, 2),8) &amp; " 0x" &amp;MID(Table1[[#This Row],[statusRaw]],1+HEX2DEC(LEFT(AX$1,2))*2, 2)</f>
        <v>00000000 0x00</v>
      </c>
      <c r="AY47" s="3" t="str">
        <f>MID(Table1[[#This Row],[statusRaw]],1+HEX2DEC(LEFT(AY$1,2))*2, 8)</f>
        <v>00000000</v>
      </c>
      <c r="AZ47" s="3" t="str">
        <f>MID(Table1[[#This Row],[statusRaw]],1+HEX2DEC(LEFT(AZ$1,2))*2, 8)</f>
        <v>00000000</v>
      </c>
      <c r="BA47" s="3" t="str">
        <f>HEX2BIN(MID(Table1[[#This Row],[statusRaw]],1+HEX2DEC(LEFT(BA$1,2))*2, 2),8) &amp; " 0x" &amp;MID(Table1[[#This Row],[statusRaw]],1+HEX2DEC(LEFT(BA$1,2))*2, 2)</f>
        <v>00000000 0x00</v>
      </c>
      <c r="BB47" s="3" t="str">
        <f>HEX2BIN(MID(Table1[[#This Row],[statusRaw]],1+HEX2DEC(LEFT(BB$1,2))*2, 2),8) &amp; " 0x" &amp;MID(Table1[[#This Row],[statusRaw]],1+HEX2DEC(LEFT(BB$1,2))*2, 2)</f>
        <v>00000000 0x00</v>
      </c>
      <c r="BC47" s="3" t="str">
        <f>HEX2BIN(MID(Table1[[#This Row],[statusRaw]],1+HEX2DEC(LEFT(BC$1,2))*2, 2),8) &amp; " 0x" &amp;MID(Table1[[#This Row],[statusRaw]],1+HEX2DEC(LEFT(BC$1,2))*2, 2)</f>
        <v>00000000 0x00</v>
      </c>
      <c r="BD47" s="3" t="str">
        <f>MID(Table1[[#This Row],[statusRaw]],1+HEX2DEC(LEFT(BD$1,2))*2, 8)</f>
        <v>000008C5</v>
      </c>
      <c r="BE47" s="3" t="str">
        <f>MID(Table1[[#This Row],[statusRaw]],1+HEX2DEC(LEFT(BE$1,2))*2, 8)</f>
        <v>000008C5</v>
      </c>
      <c r="BF47" s="9"/>
    </row>
    <row r="48" spans="1:58" x14ac:dyDescent="0.25">
      <c r="A48" s="1" t="s">
        <v>144</v>
      </c>
      <c r="B48" s="1" t="s">
        <v>145</v>
      </c>
      <c r="C48" s="1" t="s">
        <v>7</v>
      </c>
      <c r="D48" s="1" t="s">
        <v>146</v>
      </c>
      <c r="E48" s="1">
        <v>19</v>
      </c>
      <c r="F48" s="3" t="str">
        <f>HEX2BIN(MID(Table1[[#This Row],[statusRaw]],1+HEX2DEC(LEFT(F$1,2))*2, 2),8) &amp; " 0x" &amp;MID(Table1[[#This Row],[statusRaw]],1+HEX2DEC(LEFT(F$1,2))*2, 2)</f>
        <v>01010000 0x50</v>
      </c>
      <c r="G48" s="3" t="b">
        <f>MID(Table1[[#This Row],[03 - pump status (1)]],1,1)="1"</f>
        <v>0</v>
      </c>
      <c r="H48" s="3" t="b">
        <f>MID(Table1[[#This Row],[03 - pump status (1)]],2,1)="1"</f>
        <v>1</v>
      </c>
      <c r="I48" s="3" t="b">
        <f>MID(Table1[[#This Row],[03 - pump status (1)]],3,1)="1"</f>
        <v>0</v>
      </c>
      <c r="J48" s="3" t="b">
        <f>MID(Table1[[#This Row],[03 - pump status (1)]],4,1)="1"</f>
        <v>1</v>
      </c>
      <c r="K48" s="3" t="b">
        <f>MID(Table1[[#This Row],[03 - pump status (1)]],5,1)="1"</f>
        <v>0</v>
      </c>
      <c r="L48" s="3" t="b">
        <f>MID(Table1[[#This Row],[03 - pump status (1)]],6,1)="1"</f>
        <v>0</v>
      </c>
      <c r="M48" s="3" t="b">
        <f>MID(Table1[[#This Row],[03 - pump status (1)]],7,1)="1"</f>
        <v>0</v>
      </c>
      <c r="N48" s="3" t="b">
        <f>MID(Table1[[#This Row],[03 - pump status (1)]],8,1)="1"</f>
        <v>0</v>
      </c>
      <c r="O48" s="3" t="str">
        <f>MID(Table1[[#This Row],[statusRaw]],1+HEX2DEC(LEFT(O$1,2))*2, 8)</f>
        <v>00000000</v>
      </c>
      <c r="P48" s="3" t="str">
        <f>MID(Table1[[#This Row],[statusRaw]],1+HEX2DEC(LEFT(P$1,2))*2, 8)</f>
        <v>00000000</v>
      </c>
      <c r="Q48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48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48" s="3">
        <f>HEX2DEC(MID(Table1[[#This Row],[statusRaw]],1+HEX2DEC(LEFT(S$1,2))*2, 8))/10000</f>
        <v>1.7</v>
      </c>
      <c r="T48" s="3" t="str">
        <f>MID(Table1[[#This Row],[statusRaw]],1+HEX2DEC(LEFT(T$1,2))*2, 8)</f>
        <v>278A18A1</v>
      </c>
      <c r="U48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0x2C00 11264</v>
      </c>
      <c r="V48" s="3" t="str">
        <f>HEX2BIN(MID(Table1[[#This Row],[statusRaw]],1+HEX2DEC(LEFT(V$1,2))*2, 2),8) &amp; " 0x" &amp;MID(Table1[[#This Row],[statusRaw]],1+HEX2DEC(LEFT(V$1,2))*2, 2)</f>
        <v>00000001 0x01</v>
      </c>
      <c r="W48" s="3">
        <f>HEX2DEC(MID(Table1[[#This Row],[statusRaw]],1+HEX2DEC(LEFT(W$1,2))*2, 8))/10000</f>
        <v>0.7</v>
      </c>
      <c r="X48" s="3">
        <f>HEX2DEC(MID(Table1[[#This Row],[statusRaw]],1+HEX2DEC(LEFT(X$1,2))*2, 8))/10000</f>
        <v>0</v>
      </c>
      <c r="Y48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48" s="3">
        <f>HEX2DEC(MID(Table1[[#This Row],[statusRaw]],1+HEX2DEC(LEFT(Z$1,2))*2, 8))/10000</f>
        <v>9.625</v>
      </c>
      <c r="AA48" s="3">
        <f>HEX2DEC(MID(Table1[[#This Row],[statusRaw]],1+HEX2DEC(LEFT(AA$1,2))*2, 2))</f>
        <v>50</v>
      </c>
      <c r="AB48" s="3">
        <f>HEX2DEC(MID(Table1[[#This Row],[statusRaw]],1+HEX2DEC(LEFT(AB$1,2))*2, 8))/10000</f>
        <v>74.05</v>
      </c>
      <c r="AC48" s="3">
        <f>HEX2DEC(MID(Table1[[#This Row],[statusRaw]],1+HEX2DEC(LEFT(AC$1,2))*2, 2))</f>
        <v>25</v>
      </c>
      <c r="AD48" s="3">
        <f>HEX2DEC(MID(Table1[[#This Row],[statusRaw]],1+HEX2DEC(LEFT(AD$1,2))*2, 2))</f>
        <v>0</v>
      </c>
      <c r="AE48" s="3">
        <f>HEX2DEC(MID(Table1[[#This Row],[statusRaw]],1+HEX2DEC(LEFT(AE$1,2))*2, 8))/10000</f>
        <v>3.4</v>
      </c>
      <c r="AF48" s="3">
        <f>IF(AND(Table1[[#This Row],[cgm]],NOT(Table1[[#This Row],[35 - SGV special bit (2)]])), _xlfn.BITAND(HEX2DEC(MID(Table1[[#This Row],[statusRaw]],1+HEX2DEC(LEFT(AF$1,2))*2, 4)),HEX2DEC("1FF")),"")</f>
        <v>258</v>
      </c>
      <c r="AG48" s="3" t="b">
        <f>_xlfn.BITAND(HEX2DEC(MID(Table1[[#This Row],[statusRaw]],1+HEX2DEC(LEFT(AG$1,2))*2, 4)),512)=512</f>
        <v>0</v>
      </c>
      <c r="AH48" s="3" t="str">
        <f>MID(Table1[[#This Row],[statusRaw]],1+HEX2DEC(LEFT(AF$1,2))*2, 8)</f>
        <v>01028674</v>
      </c>
      <c r="AI48" s="3" t="str">
        <f>MID(Table1[[#This Row],[statusRaw]],1+HEX2DEC(LEFT(AH$1,2))*2, 8)</f>
        <v>8674284E</v>
      </c>
      <c r="AJ48" s="3" t="str">
        <f>HEX2BIN(MID(Table1[[#This Row],[statusRaw]],1+HEX2DEC(LEFT(AJ$1,2))*2, 2),8) &amp; " 0x" &amp;MID(Table1[[#This Row],[statusRaw]],1+HEX2DEC(LEFT(AJ$1,2))*2, 2)</f>
        <v>00000101 0x05</v>
      </c>
      <c r="AK48" s="1" t="str">
        <f>HEX2BIN(MID(Table1[[#This Row],[statusRaw]],1+HEX2DEC(LEFT(AK$1,2))*2, 2),8) &amp; " 0x" &amp;MID(Table1[[#This Row],[statusRaw]],1+HEX2DEC(LEFT(AK$1,2))*2, 2)</f>
        <v>01100000 0x60</v>
      </c>
      <c r="AL48" s="1" t="str">
        <f>VLOOKUP(Table1[[#This Row],[40 trend]],'Arrow status mapping'!$A$1:$B$8,2,FALSE)</f>
        <v>No arrows</v>
      </c>
      <c r="AM48" s="3" t="str">
        <f>HEX2BIN(MID(Table1[[#This Row],[statusRaw]],1+HEX2DEC(LEFT(AM$1,2))*2, 2),8) &amp; " 0x" &amp;MID(Table1[[#This Row],[statusRaw]],1+HEX2DEC(LEFT(AM$1,2))*2, 2)</f>
        <v>00010000 0x10</v>
      </c>
      <c r="AN48" s="3" t="str">
        <f>HEX2BIN(MID(Table1[[#This Row],[statusRaw]],1+HEX2DEC(LEFT(AN$1,2))*2, 2),8) &amp; " 0x" &amp;MID(Table1[[#This Row],[statusRaw]],1+HEX2DEC(LEFT(AN$1,2))*2, 2)</f>
        <v>00000000 0x00</v>
      </c>
      <c r="AO48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0x0145 325</v>
      </c>
      <c r="AP48" s="1" t="str">
        <f>HEX2BIN(MID(Table1[[#This Row],[statusRaw]],1+HEX2DEC(LEFT(AP$1,2))*2, 2),8) &amp; " 0x" &amp;MID(Table1[[#This Row],[statusRaw]],1+HEX2DEC(LEFT(AP$1,2))*2, 2)</f>
        <v>00101010 0x2A</v>
      </c>
      <c r="AQ48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48" s="3">
        <f>TRUNC(_xlfn.NUMBERVALUE(RIGHT(Table1[[#This Row],[46 rate of change (2)]],LEN(Table1[[#This Row],[46 rate of change (2)]])-7))/100)</f>
        <v>0</v>
      </c>
      <c r="AS48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48" s="3" t="b">
        <f>Table1[[#This Row],[calc arrow]]=Table1[[#This Row],[trend]]</f>
        <v>1</v>
      </c>
      <c r="AU48" s="3" t="str">
        <f>HEX2BIN(MID(Table1[[#This Row],[statusRaw]],1+HEX2DEC(LEFT(AU$1,2))*2, 2),8) &amp; " 0x" &amp;MID(Table1[[#This Row],[statusRaw]],1+HEX2DEC(LEFT(AU$1,2))*2, 2)</f>
        <v>00000000 0x00</v>
      </c>
      <c r="AV48" s="3">
        <f>HEX2DEC(MID(Table1[[#This Row],[statusRaw]],1+HEX2DEC(LEFT(AV$1,2))*2, 4))</f>
        <v>0</v>
      </c>
      <c r="AW48" s="3" t="str">
        <f>HEX2BIN(MID(Table1[[#This Row],[statusRaw]],1+HEX2DEC(LEFT(AW$1,2))*2, 2),8) &amp; " 0x" &amp;MID(Table1[[#This Row],[statusRaw]],1+HEX2DEC(LEFT(AW$1,2))*2, 2)</f>
        <v>00000000 0x00</v>
      </c>
      <c r="AX48" s="3" t="str">
        <f>HEX2BIN(MID(Table1[[#This Row],[statusRaw]],1+HEX2DEC(LEFT(AX$1,2))*2, 2),8) &amp; " 0x" &amp;MID(Table1[[#This Row],[statusRaw]],1+HEX2DEC(LEFT(AX$1,2))*2, 2)</f>
        <v>00000000 0x00</v>
      </c>
      <c r="AY48" s="3" t="str">
        <f>MID(Table1[[#This Row],[statusRaw]],1+HEX2DEC(LEFT(AY$1,2))*2, 8)</f>
        <v>00000000</v>
      </c>
      <c r="AZ48" s="3" t="str">
        <f>MID(Table1[[#This Row],[statusRaw]],1+HEX2DEC(LEFT(AZ$1,2))*2, 8)</f>
        <v>00000000</v>
      </c>
      <c r="BA48" s="3" t="str">
        <f>HEX2BIN(MID(Table1[[#This Row],[statusRaw]],1+HEX2DEC(LEFT(BA$1,2))*2, 2),8) &amp; " 0x" &amp;MID(Table1[[#This Row],[statusRaw]],1+HEX2DEC(LEFT(BA$1,2))*2, 2)</f>
        <v>00000000 0x00</v>
      </c>
      <c r="BB48" s="3" t="str">
        <f>HEX2BIN(MID(Table1[[#This Row],[statusRaw]],1+HEX2DEC(LEFT(BB$1,2))*2, 2),8) &amp; " 0x" &amp;MID(Table1[[#This Row],[statusRaw]],1+HEX2DEC(LEFT(BB$1,2))*2, 2)</f>
        <v>00000000 0x00</v>
      </c>
      <c r="BC48" s="3" t="str">
        <f>HEX2BIN(MID(Table1[[#This Row],[statusRaw]],1+HEX2DEC(LEFT(BC$1,2))*2, 2),8) &amp; " 0x" &amp;MID(Table1[[#This Row],[statusRaw]],1+HEX2DEC(LEFT(BC$1,2))*2, 2)</f>
        <v>00000000 0x00</v>
      </c>
      <c r="BD48" s="3" t="str">
        <f>MID(Table1[[#This Row],[statusRaw]],1+HEX2DEC(LEFT(BD$1,2))*2, 8)</f>
        <v>000008C5</v>
      </c>
      <c r="BE48" s="3" t="str">
        <f>MID(Table1[[#This Row],[statusRaw]],1+HEX2DEC(LEFT(BE$1,2))*2, 8)</f>
        <v>000008C5</v>
      </c>
      <c r="BF48" s="9"/>
    </row>
    <row r="49" spans="1:58" x14ac:dyDescent="0.25">
      <c r="A49" s="1" t="s">
        <v>147</v>
      </c>
      <c r="B49" s="1" t="s">
        <v>148</v>
      </c>
      <c r="C49" s="1" t="s">
        <v>7</v>
      </c>
      <c r="D49" s="1" t="s">
        <v>149</v>
      </c>
      <c r="E49" s="1">
        <v>19</v>
      </c>
      <c r="F49" s="3" t="str">
        <f>HEX2BIN(MID(Table1[[#This Row],[statusRaw]],1+HEX2DEC(LEFT(F$1,2))*2, 2),8) &amp; " 0x" &amp;MID(Table1[[#This Row],[statusRaw]],1+HEX2DEC(LEFT(F$1,2))*2, 2)</f>
        <v>01010000 0x50</v>
      </c>
      <c r="G49" s="3" t="b">
        <f>MID(Table1[[#This Row],[03 - pump status (1)]],1,1)="1"</f>
        <v>0</v>
      </c>
      <c r="H49" s="3" t="b">
        <f>MID(Table1[[#This Row],[03 - pump status (1)]],2,1)="1"</f>
        <v>1</v>
      </c>
      <c r="I49" s="3" t="b">
        <f>MID(Table1[[#This Row],[03 - pump status (1)]],3,1)="1"</f>
        <v>0</v>
      </c>
      <c r="J49" s="3" t="b">
        <f>MID(Table1[[#This Row],[03 - pump status (1)]],4,1)="1"</f>
        <v>1</v>
      </c>
      <c r="K49" s="3" t="b">
        <f>MID(Table1[[#This Row],[03 - pump status (1)]],5,1)="1"</f>
        <v>0</v>
      </c>
      <c r="L49" s="3" t="b">
        <f>MID(Table1[[#This Row],[03 - pump status (1)]],6,1)="1"</f>
        <v>0</v>
      </c>
      <c r="M49" s="3" t="b">
        <f>MID(Table1[[#This Row],[03 - pump status (1)]],7,1)="1"</f>
        <v>0</v>
      </c>
      <c r="N49" s="3" t="b">
        <f>MID(Table1[[#This Row],[03 - pump status (1)]],8,1)="1"</f>
        <v>0</v>
      </c>
      <c r="O49" s="3" t="str">
        <f>MID(Table1[[#This Row],[statusRaw]],1+HEX2DEC(LEFT(O$1,2))*2, 8)</f>
        <v>00000000</v>
      </c>
      <c r="P49" s="3" t="str">
        <f>MID(Table1[[#This Row],[statusRaw]],1+HEX2DEC(LEFT(P$1,2))*2, 8)</f>
        <v>00000000</v>
      </c>
      <c r="Q49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49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49" s="3">
        <f>HEX2DEC(MID(Table1[[#This Row],[statusRaw]],1+HEX2DEC(LEFT(S$1,2))*2, 8))/10000</f>
        <v>1.7</v>
      </c>
      <c r="T49" s="3" t="str">
        <f>MID(Table1[[#This Row],[statusRaw]],1+HEX2DEC(LEFT(T$1,2))*2, 8)</f>
        <v>278A18A1</v>
      </c>
      <c r="U49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0x2C00 11264</v>
      </c>
      <c r="V49" s="3" t="str">
        <f>HEX2BIN(MID(Table1[[#This Row],[statusRaw]],1+HEX2DEC(LEFT(V$1,2))*2, 2),8) &amp; " 0x" &amp;MID(Table1[[#This Row],[statusRaw]],1+HEX2DEC(LEFT(V$1,2))*2, 2)</f>
        <v>00000001 0x01</v>
      </c>
      <c r="W49" s="3">
        <f>HEX2DEC(MID(Table1[[#This Row],[statusRaw]],1+HEX2DEC(LEFT(W$1,2))*2, 8))/10000</f>
        <v>0.7</v>
      </c>
      <c r="X49" s="3">
        <f>HEX2DEC(MID(Table1[[#This Row],[statusRaw]],1+HEX2DEC(LEFT(X$1,2))*2, 8))/10000</f>
        <v>0</v>
      </c>
      <c r="Y49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49" s="3">
        <f>HEX2DEC(MID(Table1[[#This Row],[statusRaw]],1+HEX2DEC(LEFT(Z$1,2))*2, 8))/10000</f>
        <v>9.4</v>
      </c>
      <c r="AA49" s="3">
        <f>HEX2DEC(MID(Table1[[#This Row],[statusRaw]],1+HEX2DEC(LEFT(AA$1,2))*2, 2))</f>
        <v>50</v>
      </c>
      <c r="AB49" s="3">
        <f>HEX2DEC(MID(Table1[[#This Row],[statusRaw]],1+HEX2DEC(LEFT(AB$1,2))*2, 8))/10000</f>
        <v>74.275000000000006</v>
      </c>
      <c r="AC49" s="3">
        <f>HEX2DEC(MID(Table1[[#This Row],[statusRaw]],1+HEX2DEC(LEFT(AC$1,2))*2, 2))</f>
        <v>25</v>
      </c>
      <c r="AD49" s="3">
        <f>HEX2DEC(MID(Table1[[#This Row],[statusRaw]],1+HEX2DEC(LEFT(AD$1,2))*2, 2))</f>
        <v>0</v>
      </c>
      <c r="AE49" s="3">
        <f>HEX2DEC(MID(Table1[[#This Row],[statusRaw]],1+HEX2DEC(LEFT(AE$1,2))*2, 8))/10000</f>
        <v>3.7</v>
      </c>
      <c r="AF49" s="3">
        <f>IF(AND(Table1[[#This Row],[cgm]],NOT(Table1[[#This Row],[35 - SGV special bit (2)]])), _xlfn.BITAND(HEX2DEC(MID(Table1[[#This Row],[statusRaw]],1+HEX2DEC(LEFT(AF$1,2))*2, 4)),HEX2DEC("1FF")),"")</f>
        <v>253</v>
      </c>
      <c r="AG49" s="3" t="b">
        <f>_xlfn.BITAND(HEX2DEC(MID(Table1[[#This Row],[statusRaw]],1+HEX2DEC(LEFT(AG$1,2))*2, 4)),512)=512</f>
        <v>0</v>
      </c>
      <c r="AH49" s="3" t="str">
        <f>MID(Table1[[#This Row],[statusRaw]],1+HEX2DEC(LEFT(AF$1,2))*2, 8)</f>
        <v>00FD8674</v>
      </c>
      <c r="AI49" s="3" t="str">
        <f>MID(Table1[[#This Row],[statusRaw]],1+HEX2DEC(LEFT(AH$1,2))*2, 8)</f>
        <v>8674239E</v>
      </c>
      <c r="AJ49" s="3" t="str">
        <f>HEX2BIN(MID(Table1[[#This Row],[statusRaw]],1+HEX2DEC(LEFT(AJ$1,2))*2, 2),8) &amp; " 0x" &amp;MID(Table1[[#This Row],[statusRaw]],1+HEX2DEC(LEFT(AJ$1,2))*2, 2)</f>
        <v>00000101 0x05</v>
      </c>
      <c r="AK49" s="1" t="str">
        <f>HEX2BIN(MID(Table1[[#This Row],[statusRaw]],1+HEX2DEC(LEFT(AK$1,2))*2, 2),8) &amp; " 0x" &amp;MID(Table1[[#This Row],[statusRaw]],1+HEX2DEC(LEFT(AK$1,2))*2, 2)</f>
        <v>01100000 0x60</v>
      </c>
      <c r="AL49" s="1" t="str">
        <f>VLOOKUP(Table1[[#This Row],[40 trend]],'Arrow status mapping'!$A$1:$B$8,2,FALSE)</f>
        <v>No arrows</v>
      </c>
      <c r="AM49" s="3" t="str">
        <f>HEX2BIN(MID(Table1[[#This Row],[statusRaw]],1+HEX2DEC(LEFT(AM$1,2))*2, 2),8) &amp; " 0x" &amp;MID(Table1[[#This Row],[statusRaw]],1+HEX2DEC(LEFT(AM$1,2))*2, 2)</f>
        <v>00010100 0x14</v>
      </c>
      <c r="AN49" s="3" t="str">
        <f>HEX2BIN(MID(Table1[[#This Row],[statusRaw]],1+HEX2DEC(LEFT(AN$1,2))*2, 2),8) &amp; " 0x" &amp;MID(Table1[[#This Row],[statusRaw]],1+HEX2DEC(LEFT(AN$1,2))*2, 2)</f>
        <v>00000000 0x00</v>
      </c>
      <c r="AO49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0x0159 345</v>
      </c>
      <c r="AP49" s="1" t="str">
        <f>HEX2BIN(MID(Table1[[#This Row],[statusRaw]],1+HEX2DEC(LEFT(AP$1,2))*2, 2),8) &amp; " 0x" &amp;MID(Table1[[#This Row],[statusRaw]],1+HEX2DEC(LEFT(AP$1,2))*2, 2)</f>
        <v>00101010 0x2A</v>
      </c>
      <c r="AQ49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0x0004 4</v>
      </c>
      <c r="AR49" s="3">
        <f>TRUNC(_xlfn.NUMBERVALUE(RIGHT(Table1[[#This Row],[46 rate of change (2)]],LEN(Table1[[#This Row],[46 rate of change (2)]])-7))/100)</f>
        <v>0</v>
      </c>
      <c r="AS49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49" s="3" t="b">
        <f>Table1[[#This Row],[calc arrow]]=Table1[[#This Row],[trend]]</f>
        <v>1</v>
      </c>
      <c r="AU49" s="3" t="str">
        <f>HEX2BIN(MID(Table1[[#This Row],[statusRaw]],1+HEX2DEC(LEFT(AU$1,2))*2, 2),8) &amp; " 0x" &amp;MID(Table1[[#This Row],[statusRaw]],1+HEX2DEC(LEFT(AU$1,2))*2, 2)</f>
        <v>00000000 0x00</v>
      </c>
      <c r="AV49" s="3">
        <f>HEX2DEC(MID(Table1[[#This Row],[statusRaw]],1+HEX2DEC(LEFT(AV$1,2))*2, 4))</f>
        <v>0</v>
      </c>
      <c r="AW49" s="3" t="str">
        <f>HEX2BIN(MID(Table1[[#This Row],[statusRaw]],1+HEX2DEC(LEFT(AW$1,2))*2, 2),8) &amp; " 0x" &amp;MID(Table1[[#This Row],[statusRaw]],1+HEX2DEC(LEFT(AW$1,2))*2, 2)</f>
        <v>00000000 0x00</v>
      </c>
      <c r="AX49" s="3" t="str">
        <f>HEX2BIN(MID(Table1[[#This Row],[statusRaw]],1+HEX2DEC(LEFT(AX$1,2))*2, 2),8) &amp; " 0x" &amp;MID(Table1[[#This Row],[statusRaw]],1+HEX2DEC(LEFT(AX$1,2))*2, 2)</f>
        <v>00000000 0x00</v>
      </c>
      <c r="AY49" s="3" t="str">
        <f>MID(Table1[[#This Row],[statusRaw]],1+HEX2DEC(LEFT(AY$1,2))*2, 8)</f>
        <v>00000000</v>
      </c>
      <c r="AZ49" s="3" t="str">
        <f>MID(Table1[[#This Row],[statusRaw]],1+HEX2DEC(LEFT(AZ$1,2))*2, 8)</f>
        <v>00000000</v>
      </c>
      <c r="BA49" s="3" t="str">
        <f>HEX2BIN(MID(Table1[[#This Row],[statusRaw]],1+HEX2DEC(LEFT(BA$1,2))*2, 2),8) &amp; " 0x" &amp;MID(Table1[[#This Row],[statusRaw]],1+HEX2DEC(LEFT(BA$1,2))*2, 2)</f>
        <v>00000000 0x00</v>
      </c>
      <c r="BB49" s="3" t="str">
        <f>HEX2BIN(MID(Table1[[#This Row],[statusRaw]],1+HEX2DEC(LEFT(BB$1,2))*2, 2),8) &amp; " 0x" &amp;MID(Table1[[#This Row],[statusRaw]],1+HEX2DEC(LEFT(BB$1,2))*2, 2)</f>
        <v>00000000 0x00</v>
      </c>
      <c r="BC49" s="3" t="str">
        <f>HEX2BIN(MID(Table1[[#This Row],[statusRaw]],1+HEX2DEC(LEFT(BC$1,2))*2, 2),8) &amp; " 0x" &amp;MID(Table1[[#This Row],[statusRaw]],1+HEX2DEC(LEFT(BC$1,2))*2, 2)</f>
        <v>00000000 0x00</v>
      </c>
      <c r="BD49" s="3" t="str">
        <f>MID(Table1[[#This Row],[statusRaw]],1+HEX2DEC(LEFT(BD$1,2))*2, 8)</f>
        <v>000008C5</v>
      </c>
      <c r="BE49" s="3" t="str">
        <f>MID(Table1[[#This Row],[statusRaw]],1+HEX2DEC(LEFT(BE$1,2))*2, 8)</f>
        <v>000008C5</v>
      </c>
      <c r="BF49" s="9"/>
    </row>
    <row r="50" spans="1:58" x14ac:dyDescent="0.25">
      <c r="A50" s="1" t="s">
        <v>150</v>
      </c>
      <c r="B50" s="1" t="s">
        <v>151</v>
      </c>
      <c r="C50" s="1" t="s">
        <v>7</v>
      </c>
      <c r="D50" s="1" t="s">
        <v>152</v>
      </c>
      <c r="E50" s="1">
        <v>18</v>
      </c>
      <c r="F50" s="3" t="str">
        <f>HEX2BIN(MID(Table1[[#This Row],[statusRaw]],1+HEX2DEC(LEFT(F$1,2))*2, 2),8) &amp; " 0x" &amp;MID(Table1[[#This Row],[statusRaw]],1+HEX2DEC(LEFT(F$1,2))*2, 2)</f>
        <v>01010000 0x50</v>
      </c>
      <c r="G50" s="3" t="b">
        <f>MID(Table1[[#This Row],[03 - pump status (1)]],1,1)="1"</f>
        <v>0</v>
      </c>
      <c r="H50" s="3" t="b">
        <f>MID(Table1[[#This Row],[03 - pump status (1)]],2,1)="1"</f>
        <v>1</v>
      </c>
      <c r="I50" s="3" t="b">
        <f>MID(Table1[[#This Row],[03 - pump status (1)]],3,1)="1"</f>
        <v>0</v>
      </c>
      <c r="J50" s="3" t="b">
        <f>MID(Table1[[#This Row],[03 - pump status (1)]],4,1)="1"</f>
        <v>1</v>
      </c>
      <c r="K50" s="3" t="b">
        <f>MID(Table1[[#This Row],[03 - pump status (1)]],5,1)="1"</f>
        <v>0</v>
      </c>
      <c r="L50" s="3" t="b">
        <f>MID(Table1[[#This Row],[03 - pump status (1)]],6,1)="1"</f>
        <v>0</v>
      </c>
      <c r="M50" s="3" t="b">
        <f>MID(Table1[[#This Row],[03 - pump status (1)]],7,1)="1"</f>
        <v>0</v>
      </c>
      <c r="N50" s="3" t="b">
        <f>MID(Table1[[#This Row],[03 - pump status (1)]],8,1)="1"</f>
        <v>0</v>
      </c>
      <c r="O50" s="3" t="str">
        <f>MID(Table1[[#This Row],[statusRaw]],1+HEX2DEC(LEFT(O$1,2))*2, 8)</f>
        <v>00000000</v>
      </c>
      <c r="P50" s="3" t="str">
        <f>MID(Table1[[#This Row],[statusRaw]],1+HEX2DEC(LEFT(P$1,2))*2, 8)</f>
        <v>00000000</v>
      </c>
      <c r="Q50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50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50" s="3">
        <f>HEX2DEC(MID(Table1[[#This Row],[statusRaw]],1+HEX2DEC(LEFT(S$1,2))*2, 8))/10000</f>
        <v>1</v>
      </c>
      <c r="T50" s="3" t="str">
        <f>MID(Table1[[#This Row],[statusRaw]],1+HEX2DEC(LEFT(T$1,2))*2, 8)</f>
        <v>278A1600</v>
      </c>
      <c r="U50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0x2A00 10752</v>
      </c>
      <c r="V50" s="3" t="str">
        <f>HEX2BIN(MID(Table1[[#This Row],[statusRaw]],1+HEX2DEC(LEFT(V$1,2))*2, 2),8) &amp; " 0x" &amp;MID(Table1[[#This Row],[statusRaw]],1+HEX2DEC(LEFT(V$1,2))*2, 2)</f>
        <v>00000001 0x01</v>
      </c>
      <c r="W50" s="3">
        <f>HEX2DEC(MID(Table1[[#This Row],[statusRaw]],1+HEX2DEC(LEFT(W$1,2))*2, 8))/10000</f>
        <v>0.72499999999999998</v>
      </c>
      <c r="X50" s="3">
        <f>HEX2DEC(MID(Table1[[#This Row],[statusRaw]],1+HEX2DEC(LEFT(X$1,2))*2, 8))/10000</f>
        <v>0</v>
      </c>
      <c r="Y50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50" s="3">
        <f>HEX2DEC(MID(Table1[[#This Row],[statusRaw]],1+HEX2DEC(LEFT(Z$1,2))*2, 8))/10000</f>
        <v>9.15</v>
      </c>
      <c r="AA50" s="3">
        <f>HEX2DEC(MID(Table1[[#This Row],[statusRaw]],1+HEX2DEC(LEFT(AA$1,2))*2, 2))</f>
        <v>50</v>
      </c>
      <c r="AB50" s="3">
        <f>HEX2DEC(MID(Table1[[#This Row],[statusRaw]],1+HEX2DEC(LEFT(AB$1,2))*2, 8))/10000</f>
        <v>77.325000000000003</v>
      </c>
      <c r="AC50" s="3">
        <f>HEX2DEC(MID(Table1[[#This Row],[statusRaw]],1+HEX2DEC(LEFT(AC$1,2))*2, 2))</f>
        <v>25</v>
      </c>
      <c r="AD50" s="3">
        <f>HEX2DEC(MID(Table1[[#This Row],[statusRaw]],1+HEX2DEC(LEFT(AD$1,2))*2, 2))</f>
        <v>0</v>
      </c>
      <c r="AE50" s="3">
        <f>HEX2DEC(MID(Table1[[#This Row],[statusRaw]],1+HEX2DEC(LEFT(AE$1,2))*2, 8))/10000</f>
        <v>1</v>
      </c>
      <c r="AF50" s="3">
        <f>IF(AND(Table1[[#This Row],[cgm]],NOT(Table1[[#This Row],[35 - SGV special bit (2)]])), _xlfn.BITAND(HEX2DEC(MID(Table1[[#This Row],[statusRaw]],1+HEX2DEC(LEFT(AF$1,2))*2, 4)),HEX2DEC("1FF")),"")</f>
        <v>250</v>
      </c>
      <c r="AG50" s="3" t="b">
        <f>_xlfn.BITAND(HEX2DEC(MID(Table1[[#This Row],[statusRaw]],1+HEX2DEC(LEFT(AG$1,2))*2, 4)),512)=512</f>
        <v>0</v>
      </c>
      <c r="AH50" s="3" t="str">
        <f>MID(Table1[[#This Row],[statusRaw]],1+HEX2DEC(LEFT(AF$1,2))*2, 8)</f>
        <v>00FA8674</v>
      </c>
      <c r="AI50" s="3" t="str">
        <f>MID(Table1[[#This Row],[statusRaw]],1+HEX2DEC(LEFT(AH$1,2))*2, 8)</f>
        <v>86741EEE</v>
      </c>
      <c r="AJ50" s="3" t="str">
        <f>HEX2BIN(MID(Table1[[#This Row],[statusRaw]],1+HEX2DEC(LEFT(AJ$1,2))*2, 2),8) &amp; " 0x" &amp;MID(Table1[[#This Row],[statusRaw]],1+HEX2DEC(LEFT(AJ$1,2))*2, 2)</f>
        <v>00000101 0x05</v>
      </c>
      <c r="AK50" s="1" t="str">
        <f>HEX2BIN(MID(Table1[[#This Row],[statusRaw]],1+HEX2DEC(LEFT(AK$1,2))*2, 2),8) &amp; " 0x" &amp;MID(Table1[[#This Row],[statusRaw]],1+HEX2DEC(LEFT(AK$1,2))*2, 2)</f>
        <v>01100000 0x60</v>
      </c>
      <c r="AL50" s="1" t="str">
        <f>VLOOKUP(Table1[[#This Row],[40 trend]],'Arrow status mapping'!$A$1:$B$8,2,FALSE)</f>
        <v>No arrows</v>
      </c>
      <c r="AM50" s="3" t="str">
        <f>HEX2BIN(MID(Table1[[#This Row],[statusRaw]],1+HEX2DEC(LEFT(AM$1,2))*2, 2),8) &amp; " 0x" &amp;MID(Table1[[#This Row],[statusRaw]],1+HEX2DEC(LEFT(AM$1,2))*2, 2)</f>
        <v>00010100 0x14</v>
      </c>
      <c r="AN50" s="3" t="str">
        <f>HEX2BIN(MID(Table1[[#This Row],[statusRaw]],1+HEX2DEC(LEFT(AN$1,2))*2, 2),8) &amp; " 0x" &amp;MID(Table1[[#This Row],[statusRaw]],1+HEX2DEC(LEFT(AN$1,2))*2, 2)</f>
        <v>00000000 0x00</v>
      </c>
      <c r="AO50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0x016D 365</v>
      </c>
      <c r="AP50" s="1" t="str">
        <f>HEX2BIN(MID(Table1[[#This Row],[statusRaw]],1+HEX2DEC(LEFT(AP$1,2))*2, 2),8) &amp; " 0x" &amp;MID(Table1[[#This Row],[statusRaw]],1+HEX2DEC(LEFT(AP$1,2))*2, 2)</f>
        <v>00101010 0x2A</v>
      </c>
      <c r="AQ50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0x0025 37</v>
      </c>
      <c r="AR50" s="3">
        <f>TRUNC(_xlfn.NUMBERVALUE(RIGHT(Table1[[#This Row],[46 rate of change (2)]],LEN(Table1[[#This Row],[46 rate of change (2)]])-7))/100)</f>
        <v>0</v>
      </c>
      <c r="AS50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50" s="3" t="b">
        <f>Table1[[#This Row],[calc arrow]]=Table1[[#This Row],[trend]]</f>
        <v>1</v>
      </c>
      <c r="AU50" s="3" t="str">
        <f>HEX2BIN(MID(Table1[[#This Row],[statusRaw]],1+HEX2DEC(LEFT(AU$1,2))*2, 2),8) &amp; " 0x" &amp;MID(Table1[[#This Row],[statusRaw]],1+HEX2DEC(LEFT(AU$1,2))*2, 2)</f>
        <v>00000000 0x00</v>
      </c>
      <c r="AV50" s="3">
        <f>HEX2DEC(MID(Table1[[#This Row],[statusRaw]],1+HEX2DEC(LEFT(AV$1,2))*2, 4))</f>
        <v>0</v>
      </c>
      <c r="AW50" s="3" t="str">
        <f>HEX2BIN(MID(Table1[[#This Row],[statusRaw]],1+HEX2DEC(LEFT(AW$1,2))*2, 2),8) &amp; " 0x" &amp;MID(Table1[[#This Row],[statusRaw]],1+HEX2DEC(LEFT(AW$1,2))*2, 2)</f>
        <v>00000000 0x00</v>
      </c>
      <c r="AX50" s="3" t="str">
        <f>HEX2BIN(MID(Table1[[#This Row],[statusRaw]],1+HEX2DEC(LEFT(AX$1,2))*2, 2),8) &amp; " 0x" &amp;MID(Table1[[#This Row],[statusRaw]],1+HEX2DEC(LEFT(AX$1,2))*2, 2)</f>
        <v>00000000 0x00</v>
      </c>
      <c r="AY50" s="3" t="str">
        <f>MID(Table1[[#This Row],[statusRaw]],1+HEX2DEC(LEFT(AY$1,2))*2, 8)</f>
        <v>00000000</v>
      </c>
      <c r="AZ50" s="3" t="str">
        <f>MID(Table1[[#This Row],[statusRaw]],1+HEX2DEC(LEFT(AZ$1,2))*2, 8)</f>
        <v>00000000</v>
      </c>
      <c r="BA50" s="3" t="str">
        <f>HEX2BIN(MID(Table1[[#This Row],[statusRaw]],1+HEX2DEC(LEFT(BA$1,2))*2, 2),8) &amp; " 0x" &amp;MID(Table1[[#This Row],[statusRaw]],1+HEX2DEC(LEFT(BA$1,2))*2, 2)</f>
        <v>00000000 0x00</v>
      </c>
      <c r="BB50" s="3" t="str">
        <f>HEX2BIN(MID(Table1[[#This Row],[statusRaw]],1+HEX2DEC(LEFT(BB$1,2))*2, 2),8) &amp; " 0x" &amp;MID(Table1[[#This Row],[statusRaw]],1+HEX2DEC(LEFT(BB$1,2))*2, 2)</f>
        <v>00000000 0x00</v>
      </c>
      <c r="BC50" s="3" t="str">
        <f>HEX2BIN(MID(Table1[[#This Row],[statusRaw]],1+HEX2DEC(LEFT(BC$1,2))*2, 2),8) &amp; " 0x" &amp;MID(Table1[[#This Row],[statusRaw]],1+HEX2DEC(LEFT(BC$1,2))*2, 2)</f>
        <v>00000000 0x00</v>
      </c>
      <c r="BD50" s="3" t="str">
        <f>MID(Table1[[#This Row],[statusRaw]],1+HEX2DEC(LEFT(BD$1,2))*2, 8)</f>
        <v>000008C5</v>
      </c>
      <c r="BE50" s="3" t="str">
        <f>MID(Table1[[#This Row],[statusRaw]],1+HEX2DEC(LEFT(BE$1,2))*2, 8)</f>
        <v>000008C5</v>
      </c>
      <c r="BF50" s="9"/>
    </row>
    <row r="51" spans="1:58" x14ac:dyDescent="0.25">
      <c r="A51" s="1" t="s">
        <v>153</v>
      </c>
      <c r="B51" s="1" t="s">
        <v>154</v>
      </c>
      <c r="C51" s="1" t="s">
        <v>7</v>
      </c>
      <c r="D51" s="1" t="s">
        <v>155</v>
      </c>
      <c r="E51" s="1">
        <v>18</v>
      </c>
      <c r="F51" s="3" t="str">
        <f>HEX2BIN(MID(Table1[[#This Row],[statusRaw]],1+HEX2DEC(LEFT(F$1,2))*2, 2),8) &amp; " 0x" &amp;MID(Table1[[#This Row],[statusRaw]],1+HEX2DEC(LEFT(F$1,2))*2, 2)</f>
        <v>01010000 0x50</v>
      </c>
      <c r="G51" s="3" t="b">
        <f>MID(Table1[[#This Row],[03 - pump status (1)]],1,1)="1"</f>
        <v>0</v>
      </c>
      <c r="H51" s="3" t="b">
        <f>MID(Table1[[#This Row],[03 - pump status (1)]],2,1)="1"</f>
        <v>1</v>
      </c>
      <c r="I51" s="3" t="b">
        <f>MID(Table1[[#This Row],[03 - pump status (1)]],3,1)="1"</f>
        <v>0</v>
      </c>
      <c r="J51" s="3" t="b">
        <f>MID(Table1[[#This Row],[03 - pump status (1)]],4,1)="1"</f>
        <v>1</v>
      </c>
      <c r="K51" s="3" t="b">
        <f>MID(Table1[[#This Row],[03 - pump status (1)]],5,1)="1"</f>
        <v>0</v>
      </c>
      <c r="L51" s="3" t="b">
        <f>MID(Table1[[#This Row],[03 - pump status (1)]],6,1)="1"</f>
        <v>0</v>
      </c>
      <c r="M51" s="3" t="b">
        <f>MID(Table1[[#This Row],[03 - pump status (1)]],7,1)="1"</f>
        <v>0</v>
      </c>
      <c r="N51" s="3" t="b">
        <f>MID(Table1[[#This Row],[03 - pump status (1)]],8,1)="1"</f>
        <v>0</v>
      </c>
      <c r="O51" s="3" t="str">
        <f>MID(Table1[[#This Row],[statusRaw]],1+HEX2DEC(LEFT(O$1,2))*2, 8)</f>
        <v>00000000</v>
      </c>
      <c r="P51" s="3" t="str">
        <f>MID(Table1[[#This Row],[statusRaw]],1+HEX2DEC(LEFT(P$1,2))*2, 8)</f>
        <v>00000000</v>
      </c>
      <c r="Q51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51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51" s="3">
        <f>HEX2DEC(MID(Table1[[#This Row],[statusRaw]],1+HEX2DEC(LEFT(S$1,2))*2, 8))/10000</f>
        <v>1</v>
      </c>
      <c r="T51" s="3" t="str">
        <f>MID(Table1[[#This Row],[statusRaw]],1+HEX2DEC(LEFT(T$1,2))*2, 8)</f>
        <v>2789ECB3</v>
      </c>
      <c r="U51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51" s="3" t="str">
        <f>HEX2BIN(MID(Table1[[#This Row],[statusRaw]],1+HEX2DEC(LEFT(V$1,2))*2, 2),8) &amp; " 0x" &amp;MID(Table1[[#This Row],[statusRaw]],1+HEX2DEC(LEFT(V$1,2))*2, 2)</f>
        <v>00000001 0x01</v>
      </c>
      <c r="W51" s="3">
        <f>HEX2DEC(MID(Table1[[#This Row],[statusRaw]],1+HEX2DEC(LEFT(W$1,2))*2, 8))/10000</f>
        <v>0.72499999999999998</v>
      </c>
      <c r="X51" s="3">
        <f>HEX2DEC(MID(Table1[[#This Row],[statusRaw]],1+HEX2DEC(LEFT(X$1,2))*2, 8))/10000</f>
        <v>0</v>
      </c>
      <c r="Y51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51" s="3">
        <f>HEX2DEC(MID(Table1[[#This Row],[statusRaw]],1+HEX2DEC(LEFT(Z$1,2))*2, 8))/10000</f>
        <v>9.1</v>
      </c>
      <c r="AA51" s="3">
        <f>HEX2DEC(MID(Table1[[#This Row],[statusRaw]],1+HEX2DEC(LEFT(AA$1,2))*2, 2))</f>
        <v>50</v>
      </c>
      <c r="AB51" s="3">
        <f>HEX2DEC(MID(Table1[[#This Row],[statusRaw]],1+HEX2DEC(LEFT(AB$1,2))*2, 8))/10000</f>
        <v>78.375</v>
      </c>
      <c r="AC51" s="3">
        <f>HEX2DEC(MID(Table1[[#This Row],[statusRaw]],1+HEX2DEC(LEFT(AC$1,2))*2, 2))</f>
        <v>25</v>
      </c>
      <c r="AD51" s="3">
        <f>HEX2DEC(MID(Table1[[#This Row],[statusRaw]],1+HEX2DEC(LEFT(AD$1,2))*2, 2))</f>
        <v>0</v>
      </c>
      <c r="AE51" s="3">
        <f>HEX2DEC(MID(Table1[[#This Row],[statusRaw]],1+HEX2DEC(LEFT(AE$1,2))*2, 8))/10000</f>
        <v>0.1</v>
      </c>
      <c r="AF51" s="3">
        <f>IF(AND(Table1[[#This Row],[cgm]],NOT(Table1[[#This Row],[35 - SGV special bit (2)]])), _xlfn.BITAND(HEX2DEC(MID(Table1[[#This Row],[statusRaw]],1+HEX2DEC(LEFT(AF$1,2))*2, 4)),HEX2DEC("1FF")),"")</f>
        <v>247</v>
      </c>
      <c r="AG51" s="3" t="b">
        <f>_xlfn.BITAND(HEX2DEC(MID(Table1[[#This Row],[statusRaw]],1+HEX2DEC(LEFT(AG$1,2))*2, 4)),512)=512</f>
        <v>0</v>
      </c>
      <c r="AH51" s="3" t="str">
        <f>MID(Table1[[#This Row],[statusRaw]],1+HEX2DEC(LEFT(AF$1,2))*2, 8)</f>
        <v>00F78674</v>
      </c>
      <c r="AI51" s="3" t="str">
        <f>MID(Table1[[#This Row],[statusRaw]],1+HEX2DEC(LEFT(AH$1,2))*2, 8)</f>
        <v>86741DC2</v>
      </c>
      <c r="AJ51" s="3" t="str">
        <f>HEX2BIN(MID(Table1[[#This Row],[statusRaw]],1+HEX2DEC(LEFT(AJ$1,2))*2, 2),8) &amp; " 0x" &amp;MID(Table1[[#This Row],[statusRaw]],1+HEX2DEC(LEFT(AJ$1,2))*2, 2)</f>
        <v>00000101 0x05</v>
      </c>
      <c r="AK51" s="1" t="str">
        <f>HEX2BIN(MID(Table1[[#This Row],[statusRaw]],1+HEX2DEC(LEFT(AK$1,2))*2, 2),8) &amp; " 0x" &amp;MID(Table1[[#This Row],[statusRaw]],1+HEX2DEC(LEFT(AK$1,2))*2, 2)</f>
        <v>01100000 0x60</v>
      </c>
      <c r="AL51" s="1" t="str">
        <f>VLOOKUP(Table1[[#This Row],[40 trend]],'Arrow status mapping'!$A$1:$B$8,2,FALSE)</f>
        <v>No arrows</v>
      </c>
      <c r="AM51" s="3" t="str">
        <f>HEX2BIN(MID(Table1[[#This Row],[statusRaw]],1+HEX2DEC(LEFT(AM$1,2))*2, 2),8) &amp; " 0x" &amp;MID(Table1[[#This Row],[statusRaw]],1+HEX2DEC(LEFT(AM$1,2))*2, 2)</f>
        <v>00010100 0x14</v>
      </c>
      <c r="AN51" s="3" t="str">
        <f>HEX2BIN(MID(Table1[[#This Row],[statusRaw]],1+HEX2DEC(LEFT(AN$1,2))*2, 2),8) &amp; " 0x" &amp;MID(Table1[[#This Row],[statusRaw]],1+HEX2DEC(LEFT(AN$1,2))*2, 2)</f>
        <v>00000000 0x00</v>
      </c>
      <c r="AO51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0x0172 370</v>
      </c>
      <c r="AP51" s="1" t="str">
        <f>HEX2BIN(MID(Table1[[#This Row],[statusRaw]],1+HEX2DEC(LEFT(AP$1,2))*2, 2),8) &amp; " 0x" &amp;MID(Table1[[#This Row],[statusRaw]],1+HEX2DEC(LEFT(AP$1,2))*2, 2)</f>
        <v>00101010 0x2A</v>
      </c>
      <c r="AQ51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0x0025 37</v>
      </c>
      <c r="AR51" s="3">
        <f>TRUNC(_xlfn.NUMBERVALUE(RIGHT(Table1[[#This Row],[46 rate of change (2)]],LEN(Table1[[#This Row],[46 rate of change (2)]])-7))/100)</f>
        <v>0</v>
      </c>
      <c r="AS51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51" s="3" t="b">
        <f>Table1[[#This Row],[calc arrow]]=Table1[[#This Row],[trend]]</f>
        <v>1</v>
      </c>
      <c r="AU51" s="3" t="str">
        <f>HEX2BIN(MID(Table1[[#This Row],[statusRaw]],1+HEX2DEC(LEFT(AU$1,2))*2, 2),8) &amp; " 0x" &amp;MID(Table1[[#This Row],[statusRaw]],1+HEX2DEC(LEFT(AU$1,2))*2, 2)</f>
        <v>00000000 0x00</v>
      </c>
      <c r="AV51" s="3">
        <f>HEX2DEC(MID(Table1[[#This Row],[statusRaw]],1+HEX2DEC(LEFT(AV$1,2))*2, 4))</f>
        <v>0</v>
      </c>
      <c r="AW51" s="3" t="str">
        <f>HEX2BIN(MID(Table1[[#This Row],[statusRaw]],1+HEX2DEC(LEFT(AW$1,2))*2, 2),8) &amp; " 0x" &amp;MID(Table1[[#This Row],[statusRaw]],1+HEX2DEC(LEFT(AW$1,2))*2, 2)</f>
        <v>00000000 0x00</v>
      </c>
      <c r="AX51" s="3" t="str">
        <f>HEX2BIN(MID(Table1[[#This Row],[statusRaw]],1+HEX2DEC(LEFT(AX$1,2))*2, 2),8) &amp; " 0x" &amp;MID(Table1[[#This Row],[statusRaw]],1+HEX2DEC(LEFT(AX$1,2))*2, 2)</f>
        <v>00000000 0x00</v>
      </c>
      <c r="AY51" s="3" t="str">
        <f>MID(Table1[[#This Row],[statusRaw]],1+HEX2DEC(LEFT(AY$1,2))*2, 8)</f>
        <v>00000000</v>
      </c>
      <c r="AZ51" s="3" t="str">
        <f>MID(Table1[[#This Row],[statusRaw]],1+HEX2DEC(LEFT(AZ$1,2))*2, 8)</f>
        <v>00000000</v>
      </c>
      <c r="BA51" s="3" t="str">
        <f>HEX2BIN(MID(Table1[[#This Row],[statusRaw]],1+HEX2DEC(LEFT(BA$1,2))*2, 2),8) &amp; " 0x" &amp;MID(Table1[[#This Row],[statusRaw]],1+HEX2DEC(LEFT(BA$1,2))*2, 2)</f>
        <v>00000000 0x00</v>
      </c>
      <c r="BB51" s="3" t="str">
        <f>HEX2BIN(MID(Table1[[#This Row],[statusRaw]],1+HEX2DEC(LEFT(BB$1,2))*2, 2),8) &amp; " 0x" &amp;MID(Table1[[#This Row],[statusRaw]],1+HEX2DEC(LEFT(BB$1,2))*2, 2)</f>
        <v>00000000 0x00</v>
      </c>
      <c r="BC51" s="3" t="str">
        <f>HEX2BIN(MID(Table1[[#This Row],[statusRaw]],1+HEX2DEC(LEFT(BC$1,2))*2, 2),8) &amp; " 0x" &amp;MID(Table1[[#This Row],[statusRaw]],1+HEX2DEC(LEFT(BC$1,2))*2, 2)</f>
        <v>00000000 0x00</v>
      </c>
      <c r="BD51" s="3" t="str">
        <f>MID(Table1[[#This Row],[statusRaw]],1+HEX2DEC(LEFT(BD$1,2))*2, 8)</f>
        <v>000008C5</v>
      </c>
      <c r="BE51" s="3" t="str">
        <f>MID(Table1[[#This Row],[statusRaw]],1+HEX2DEC(LEFT(BE$1,2))*2, 8)</f>
        <v>000008C5</v>
      </c>
      <c r="BF51" s="9"/>
    </row>
    <row r="52" spans="1:58" x14ac:dyDescent="0.25">
      <c r="A52" s="1" t="s">
        <v>156</v>
      </c>
      <c r="B52" s="1" t="s">
        <v>157</v>
      </c>
      <c r="C52" s="1" t="s">
        <v>7</v>
      </c>
      <c r="D52" s="1" t="s">
        <v>158</v>
      </c>
      <c r="E52" s="1">
        <v>18</v>
      </c>
      <c r="F52" s="3" t="str">
        <f>HEX2BIN(MID(Table1[[#This Row],[statusRaw]],1+HEX2DEC(LEFT(F$1,2))*2, 2),8) &amp; " 0x" &amp;MID(Table1[[#This Row],[statusRaw]],1+HEX2DEC(LEFT(F$1,2))*2, 2)</f>
        <v>01010000 0x50</v>
      </c>
      <c r="G52" s="3" t="b">
        <f>MID(Table1[[#This Row],[03 - pump status (1)]],1,1)="1"</f>
        <v>0</v>
      </c>
      <c r="H52" s="3" t="b">
        <f>MID(Table1[[#This Row],[03 - pump status (1)]],2,1)="1"</f>
        <v>1</v>
      </c>
      <c r="I52" s="3" t="b">
        <f>MID(Table1[[#This Row],[03 - pump status (1)]],3,1)="1"</f>
        <v>0</v>
      </c>
      <c r="J52" s="3" t="b">
        <f>MID(Table1[[#This Row],[03 - pump status (1)]],4,1)="1"</f>
        <v>1</v>
      </c>
      <c r="K52" s="3" t="b">
        <f>MID(Table1[[#This Row],[03 - pump status (1)]],5,1)="1"</f>
        <v>0</v>
      </c>
      <c r="L52" s="3" t="b">
        <f>MID(Table1[[#This Row],[03 - pump status (1)]],6,1)="1"</f>
        <v>0</v>
      </c>
      <c r="M52" s="3" t="b">
        <f>MID(Table1[[#This Row],[03 - pump status (1)]],7,1)="1"</f>
        <v>0</v>
      </c>
      <c r="N52" s="3" t="b">
        <f>MID(Table1[[#This Row],[03 - pump status (1)]],8,1)="1"</f>
        <v>0</v>
      </c>
      <c r="O52" s="3" t="str">
        <f>MID(Table1[[#This Row],[statusRaw]],1+HEX2DEC(LEFT(O$1,2))*2, 8)</f>
        <v>00000000</v>
      </c>
      <c r="P52" s="3" t="str">
        <f>MID(Table1[[#This Row],[statusRaw]],1+HEX2DEC(LEFT(P$1,2))*2, 8)</f>
        <v>00000000</v>
      </c>
      <c r="Q52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52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52" s="3">
        <f>HEX2DEC(MID(Table1[[#This Row],[statusRaw]],1+HEX2DEC(LEFT(S$1,2))*2, 8))/10000</f>
        <v>1</v>
      </c>
      <c r="T52" s="3" t="str">
        <f>MID(Table1[[#This Row],[statusRaw]],1+HEX2DEC(LEFT(T$1,2))*2, 8)</f>
        <v>2789ECB3</v>
      </c>
      <c r="U52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52" s="3" t="str">
        <f>HEX2BIN(MID(Table1[[#This Row],[statusRaw]],1+HEX2DEC(LEFT(V$1,2))*2, 2),8) &amp; " 0x" &amp;MID(Table1[[#This Row],[statusRaw]],1+HEX2DEC(LEFT(V$1,2))*2, 2)</f>
        <v>00000001 0x01</v>
      </c>
      <c r="W52" s="3">
        <f>HEX2DEC(MID(Table1[[#This Row],[statusRaw]],1+HEX2DEC(LEFT(W$1,2))*2, 8))/10000</f>
        <v>0.72499999999999998</v>
      </c>
      <c r="X52" s="3">
        <f>HEX2DEC(MID(Table1[[#This Row],[statusRaw]],1+HEX2DEC(LEFT(X$1,2))*2, 8))/10000</f>
        <v>0</v>
      </c>
      <c r="Y52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52" s="3">
        <f>HEX2DEC(MID(Table1[[#This Row],[statusRaw]],1+HEX2DEC(LEFT(Z$1,2))*2, 8))/10000</f>
        <v>8.9749999999999996</v>
      </c>
      <c r="AA52" s="3">
        <f>HEX2DEC(MID(Table1[[#This Row],[statusRaw]],1+HEX2DEC(LEFT(AA$1,2))*2, 2))</f>
        <v>50</v>
      </c>
      <c r="AB52" s="3">
        <f>HEX2DEC(MID(Table1[[#This Row],[statusRaw]],1+HEX2DEC(LEFT(AB$1,2))*2, 8))/10000</f>
        <v>78.5</v>
      </c>
      <c r="AC52" s="3">
        <f>HEX2DEC(MID(Table1[[#This Row],[statusRaw]],1+HEX2DEC(LEFT(AC$1,2))*2, 2))</f>
        <v>25</v>
      </c>
      <c r="AD52" s="3">
        <f>HEX2DEC(MID(Table1[[#This Row],[statusRaw]],1+HEX2DEC(LEFT(AD$1,2))*2, 2))</f>
        <v>0</v>
      </c>
      <c r="AE52" s="3">
        <f>HEX2DEC(MID(Table1[[#This Row],[statusRaw]],1+HEX2DEC(LEFT(AE$1,2))*2, 8))/10000</f>
        <v>0.1</v>
      </c>
      <c r="AF52" s="3">
        <f>IF(AND(Table1[[#This Row],[cgm]],NOT(Table1[[#This Row],[35 - SGV special bit (2)]])), _xlfn.BITAND(HEX2DEC(MID(Table1[[#This Row],[statusRaw]],1+HEX2DEC(LEFT(AF$1,2))*2, 4)),HEX2DEC("1FF")),"")</f>
        <v>240</v>
      </c>
      <c r="AG52" s="3" t="b">
        <f>_xlfn.BITAND(HEX2DEC(MID(Table1[[#This Row],[statusRaw]],1+HEX2DEC(LEFT(AG$1,2))*2, 4)),512)=512</f>
        <v>0</v>
      </c>
      <c r="AH52" s="3" t="str">
        <f>MID(Table1[[#This Row],[statusRaw]],1+HEX2DEC(LEFT(AF$1,2))*2, 8)</f>
        <v>00F08674</v>
      </c>
      <c r="AI52" s="3" t="str">
        <f>MID(Table1[[#This Row],[statusRaw]],1+HEX2DEC(LEFT(AH$1,2))*2, 8)</f>
        <v>86741B6A</v>
      </c>
      <c r="AJ52" s="3" t="str">
        <f>HEX2BIN(MID(Table1[[#This Row],[statusRaw]],1+HEX2DEC(LEFT(AJ$1,2))*2, 2),8) &amp; " 0x" &amp;MID(Table1[[#This Row],[statusRaw]],1+HEX2DEC(LEFT(AJ$1,2))*2, 2)</f>
        <v>00000101 0x05</v>
      </c>
      <c r="AK52" s="1" t="str">
        <f>HEX2BIN(MID(Table1[[#This Row],[statusRaw]],1+HEX2DEC(LEFT(AK$1,2))*2, 2),8) &amp; " 0x" &amp;MID(Table1[[#This Row],[statusRaw]],1+HEX2DEC(LEFT(AK$1,2))*2, 2)</f>
        <v>10000000 0x80</v>
      </c>
      <c r="AL52" s="1" t="str">
        <f>VLOOKUP(Table1[[#This Row],[40 trend]],'Arrow status mapping'!$A$1:$B$8,2,FALSE)</f>
        <v>1 arrows up</v>
      </c>
      <c r="AM52" s="3" t="str">
        <f>HEX2BIN(MID(Table1[[#This Row],[statusRaw]],1+HEX2DEC(LEFT(AM$1,2))*2, 2),8) &amp; " 0x" &amp;MID(Table1[[#This Row],[statusRaw]],1+HEX2DEC(LEFT(AM$1,2))*2, 2)</f>
        <v>00010100 0x14</v>
      </c>
      <c r="AN52" s="3" t="str">
        <f>HEX2BIN(MID(Table1[[#This Row],[statusRaw]],1+HEX2DEC(LEFT(AN$1,2))*2, 2),8) &amp; " 0x" &amp;MID(Table1[[#This Row],[statusRaw]],1+HEX2DEC(LEFT(AN$1,2))*2, 2)</f>
        <v>00000000 0x00</v>
      </c>
      <c r="AO52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0x017C 380</v>
      </c>
      <c r="AP52" s="1" t="str">
        <f>HEX2BIN(MID(Table1[[#This Row],[statusRaw]],1+HEX2DEC(LEFT(AP$1,2))*2, 2),8) &amp; " 0x" &amp;MID(Table1[[#This Row],[statusRaw]],1+HEX2DEC(LEFT(AP$1,2))*2, 2)</f>
        <v>00101010 0x2A</v>
      </c>
      <c r="AQ52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0x008C 140</v>
      </c>
      <c r="AR52" s="3">
        <f>TRUNC(_xlfn.NUMBERVALUE(RIGHT(Table1[[#This Row],[46 rate of change (2)]],LEN(Table1[[#This Row],[46 rate of change (2)]])-7))/100)</f>
        <v>1</v>
      </c>
      <c r="AS52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up</v>
      </c>
      <c r="AT52" s="3" t="b">
        <f>Table1[[#This Row],[calc arrow]]=Table1[[#This Row],[trend]]</f>
        <v>1</v>
      </c>
      <c r="AU52" s="3" t="str">
        <f>HEX2BIN(MID(Table1[[#This Row],[statusRaw]],1+HEX2DEC(LEFT(AU$1,2))*2, 2),8) &amp; " 0x" &amp;MID(Table1[[#This Row],[statusRaw]],1+HEX2DEC(LEFT(AU$1,2))*2, 2)</f>
        <v>00000000 0x00</v>
      </c>
      <c r="AV52" s="3">
        <f>HEX2DEC(MID(Table1[[#This Row],[statusRaw]],1+HEX2DEC(LEFT(AV$1,2))*2, 4))</f>
        <v>0</v>
      </c>
      <c r="AW52" s="3" t="str">
        <f>HEX2BIN(MID(Table1[[#This Row],[statusRaw]],1+HEX2DEC(LEFT(AW$1,2))*2, 2),8) &amp; " 0x" &amp;MID(Table1[[#This Row],[statusRaw]],1+HEX2DEC(LEFT(AW$1,2))*2, 2)</f>
        <v>00000000 0x00</v>
      </c>
      <c r="AX52" s="3" t="str">
        <f>HEX2BIN(MID(Table1[[#This Row],[statusRaw]],1+HEX2DEC(LEFT(AX$1,2))*2, 2),8) &amp; " 0x" &amp;MID(Table1[[#This Row],[statusRaw]],1+HEX2DEC(LEFT(AX$1,2))*2, 2)</f>
        <v>00000000 0x00</v>
      </c>
      <c r="AY52" s="3" t="str">
        <f>MID(Table1[[#This Row],[statusRaw]],1+HEX2DEC(LEFT(AY$1,2))*2, 8)</f>
        <v>00000000</v>
      </c>
      <c r="AZ52" s="3" t="str">
        <f>MID(Table1[[#This Row],[statusRaw]],1+HEX2DEC(LEFT(AZ$1,2))*2, 8)</f>
        <v>00000000</v>
      </c>
      <c r="BA52" s="3" t="str">
        <f>HEX2BIN(MID(Table1[[#This Row],[statusRaw]],1+HEX2DEC(LEFT(BA$1,2))*2, 2),8) &amp; " 0x" &amp;MID(Table1[[#This Row],[statusRaw]],1+HEX2DEC(LEFT(BA$1,2))*2, 2)</f>
        <v>00000000 0x00</v>
      </c>
      <c r="BB52" s="3" t="str">
        <f>HEX2BIN(MID(Table1[[#This Row],[statusRaw]],1+HEX2DEC(LEFT(BB$1,2))*2, 2),8) &amp; " 0x" &amp;MID(Table1[[#This Row],[statusRaw]],1+HEX2DEC(LEFT(BB$1,2))*2, 2)</f>
        <v>00000000 0x00</v>
      </c>
      <c r="BC52" s="3" t="str">
        <f>HEX2BIN(MID(Table1[[#This Row],[statusRaw]],1+HEX2DEC(LEFT(BC$1,2))*2, 2),8) &amp; " 0x" &amp;MID(Table1[[#This Row],[statusRaw]],1+HEX2DEC(LEFT(BC$1,2))*2, 2)</f>
        <v>00000000 0x00</v>
      </c>
      <c r="BD52" s="3" t="str">
        <f>MID(Table1[[#This Row],[statusRaw]],1+HEX2DEC(LEFT(BD$1,2))*2, 8)</f>
        <v>000008C5</v>
      </c>
      <c r="BE52" s="3" t="str">
        <f>MID(Table1[[#This Row],[statusRaw]],1+HEX2DEC(LEFT(BE$1,2))*2, 8)</f>
        <v>000008C5</v>
      </c>
      <c r="BF52" s="9"/>
    </row>
    <row r="53" spans="1:58" x14ac:dyDescent="0.25">
      <c r="A53" s="1" t="s">
        <v>159</v>
      </c>
      <c r="B53" s="1" t="s">
        <v>160</v>
      </c>
      <c r="C53" s="1" t="s">
        <v>7</v>
      </c>
      <c r="D53" s="1" t="s">
        <v>161</v>
      </c>
      <c r="E53" s="1">
        <v>18</v>
      </c>
      <c r="F53" s="3" t="str">
        <f>HEX2BIN(MID(Table1[[#This Row],[statusRaw]],1+HEX2DEC(LEFT(F$1,2))*2, 2),8) &amp; " 0x" &amp;MID(Table1[[#This Row],[statusRaw]],1+HEX2DEC(LEFT(F$1,2))*2, 2)</f>
        <v>01010000 0x50</v>
      </c>
      <c r="G53" s="3" t="b">
        <f>MID(Table1[[#This Row],[03 - pump status (1)]],1,1)="1"</f>
        <v>0</v>
      </c>
      <c r="H53" s="3" t="b">
        <f>MID(Table1[[#This Row],[03 - pump status (1)]],2,1)="1"</f>
        <v>1</v>
      </c>
      <c r="I53" s="3" t="b">
        <f>MID(Table1[[#This Row],[03 - pump status (1)]],3,1)="1"</f>
        <v>0</v>
      </c>
      <c r="J53" s="3" t="b">
        <f>MID(Table1[[#This Row],[03 - pump status (1)]],4,1)="1"</f>
        <v>1</v>
      </c>
      <c r="K53" s="3" t="b">
        <f>MID(Table1[[#This Row],[03 - pump status (1)]],5,1)="1"</f>
        <v>0</v>
      </c>
      <c r="L53" s="3" t="b">
        <f>MID(Table1[[#This Row],[03 - pump status (1)]],6,1)="1"</f>
        <v>0</v>
      </c>
      <c r="M53" s="3" t="b">
        <f>MID(Table1[[#This Row],[03 - pump status (1)]],7,1)="1"</f>
        <v>0</v>
      </c>
      <c r="N53" s="3" t="b">
        <f>MID(Table1[[#This Row],[03 - pump status (1)]],8,1)="1"</f>
        <v>0</v>
      </c>
      <c r="O53" s="3" t="str">
        <f>MID(Table1[[#This Row],[statusRaw]],1+HEX2DEC(LEFT(O$1,2))*2, 8)</f>
        <v>00000000</v>
      </c>
      <c r="P53" s="3" t="str">
        <f>MID(Table1[[#This Row],[statusRaw]],1+HEX2DEC(LEFT(P$1,2))*2, 8)</f>
        <v>00000000</v>
      </c>
      <c r="Q53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53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53" s="3">
        <f>HEX2DEC(MID(Table1[[#This Row],[statusRaw]],1+HEX2DEC(LEFT(S$1,2))*2, 8))/10000</f>
        <v>1</v>
      </c>
      <c r="T53" s="3" t="str">
        <f>MID(Table1[[#This Row],[statusRaw]],1+HEX2DEC(LEFT(T$1,2))*2, 8)</f>
        <v>2789ECB3</v>
      </c>
      <c r="U53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53" s="3" t="str">
        <f>HEX2BIN(MID(Table1[[#This Row],[statusRaw]],1+HEX2DEC(LEFT(V$1,2))*2, 2),8) &amp; " 0x" &amp;MID(Table1[[#This Row],[statusRaw]],1+HEX2DEC(LEFT(V$1,2))*2, 2)</f>
        <v>00000001 0x01</v>
      </c>
      <c r="W53" s="3">
        <f>HEX2DEC(MID(Table1[[#This Row],[statusRaw]],1+HEX2DEC(LEFT(W$1,2))*2, 8))/10000</f>
        <v>0.72499999999999998</v>
      </c>
      <c r="X53" s="3">
        <f>HEX2DEC(MID(Table1[[#This Row],[statusRaw]],1+HEX2DEC(LEFT(X$1,2))*2, 8))/10000</f>
        <v>0</v>
      </c>
      <c r="Y53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53" s="3">
        <f>HEX2DEC(MID(Table1[[#This Row],[statusRaw]],1+HEX2DEC(LEFT(Z$1,2))*2, 8))/10000</f>
        <v>8.9250000000000007</v>
      </c>
      <c r="AA53" s="3">
        <f>HEX2DEC(MID(Table1[[#This Row],[statusRaw]],1+HEX2DEC(LEFT(AA$1,2))*2, 2))</f>
        <v>50</v>
      </c>
      <c r="AB53" s="3">
        <f>HEX2DEC(MID(Table1[[#This Row],[statusRaw]],1+HEX2DEC(LEFT(AB$1,2))*2, 8))/10000</f>
        <v>78.55</v>
      </c>
      <c r="AC53" s="3">
        <f>HEX2DEC(MID(Table1[[#This Row],[statusRaw]],1+HEX2DEC(LEFT(AC$1,2))*2, 2))</f>
        <v>25</v>
      </c>
      <c r="AD53" s="3">
        <f>HEX2DEC(MID(Table1[[#This Row],[statusRaw]],1+HEX2DEC(LEFT(AD$1,2))*2, 2))</f>
        <v>0</v>
      </c>
      <c r="AE53" s="3">
        <f>HEX2DEC(MID(Table1[[#This Row],[statusRaw]],1+HEX2DEC(LEFT(AE$1,2))*2, 8))/10000</f>
        <v>0.1</v>
      </c>
      <c r="AF53" s="3">
        <f>IF(AND(Table1[[#This Row],[cgm]],NOT(Table1[[#This Row],[35 - SGV special bit (2)]])), _xlfn.BITAND(HEX2DEC(MID(Table1[[#This Row],[statusRaw]],1+HEX2DEC(LEFT(AF$1,2))*2, 4)),HEX2DEC("1FF")),"")</f>
        <v>233</v>
      </c>
      <c r="AG53" s="3" t="b">
        <f>_xlfn.BITAND(HEX2DEC(MID(Table1[[#This Row],[statusRaw]],1+HEX2DEC(LEFT(AG$1,2))*2, 4)),512)=512</f>
        <v>0</v>
      </c>
      <c r="AH53" s="3" t="str">
        <f>MID(Table1[[#This Row],[statusRaw]],1+HEX2DEC(LEFT(AF$1,2))*2, 8)</f>
        <v>00E98674</v>
      </c>
      <c r="AI53" s="3" t="str">
        <f>MID(Table1[[#This Row],[statusRaw]],1+HEX2DEC(LEFT(AH$1,2))*2, 8)</f>
        <v>86741A3E</v>
      </c>
      <c r="AJ53" s="3" t="str">
        <f>HEX2BIN(MID(Table1[[#This Row],[statusRaw]],1+HEX2DEC(LEFT(AJ$1,2))*2, 2),8) &amp; " 0x" &amp;MID(Table1[[#This Row],[statusRaw]],1+HEX2DEC(LEFT(AJ$1,2))*2, 2)</f>
        <v>00000101 0x05</v>
      </c>
      <c r="AK53" s="1" t="str">
        <f>HEX2BIN(MID(Table1[[#This Row],[statusRaw]],1+HEX2DEC(LEFT(AK$1,2))*2, 2),8) &amp; " 0x" &amp;MID(Table1[[#This Row],[statusRaw]],1+HEX2DEC(LEFT(AK$1,2))*2, 2)</f>
        <v>10000000 0x80</v>
      </c>
      <c r="AL53" s="1" t="str">
        <f>VLOOKUP(Table1[[#This Row],[40 trend]],'Arrow status mapping'!$A$1:$B$8,2,FALSE)</f>
        <v>1 arrows up</v>
      </c>
      <c r="AM53" s="3" t="str">
        <f>HEX2BIN(MID(Table1[[#This Row],[statusRaw]],1+HEX2DEC(LEFT(AM$1,2))*2, 2),8) &amp; " 0x" &amp;MID(Table1[[#This Row],[statusRaw]],1+HEX2DEC(LEFT(AM$1,2))*2, 2)</f>
        <v>00010100 0x14</v>
      </c>
      <c r="AN53" s="3" t="str">
        <f>HEX2BIN(MID(Table1[[#This Row],[statusRaw]],1+HEX2DEC(LEFT(AN$1,2))*2, 2),8) &amp; " 0x" &amp;MID(Table1[[#This Row],[statusRaw]],1+HEX2DEC(LEFT(AN$1,2))*2, 2)</f>
        <v>00000000 0x00</v>
      </c>
      <c r="AO53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0x0181 385</v>
      </c>
      <c r="AP53" s="1" t="str">
        <f>HEX2BIN(MID(Table1[[#This Row],[statusRaw]],1+HEX2DEC(LEFT(AP$1,2))*2, 2),8) &amp; " 0x" &amp;MID(Table1[[#This Row],[statusRaw]],1+HEX2DEC(LEFT(AP$1,2))*2, 2)</f>
        <v>00101010 0x2A</v>
      </c>
      <c r="AQ53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0x008C 140</v>
      </c>
      <c r="AR53" s="3">
        <f>TRUNC(_xlfn.NUMBERVALUE(RIGHT(Table1[[#This Row],[46 rate of change (2)]],LEN(Table1[[#This Row],[46 rate of change (2)]])-7))/100)</f>
        <v>1</v>
      </c>
      <c r="AS53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up</v>
      </c>
      <c r="AT53" s="3" t="b">
        <f>Table1[[#This Row],[calc arrow]]=Table1[[#This Row],[trend]]</f>
        <v>1</v>
      </c>
      <c r="AU53" s="3" t="str">
        <f>HEX2BIN(MID(Table1[[#This Row],[statusRaw]],1+HEX2DEC(LEFT(AU$1,2))*2, 2),8) &amp; " 0x" &amp;MID(Table1[[#This Row],[statusRaw]],1+HEX2DEC(LEFT(AU$1,2))*2, 2)</f>
        <v>00000000 0x00</v>
      </c>
      <c r="AV53" s="3">
        <f>HEX2DEC(MID(Table1[[#This Row],[statusRaw]],1+HEX2DEC(LEFT(AV$1,2))*2, 4))</f>
        <v>0</v>
      </c>
      <c r="AW53" s="3" t="str">
        <f>HEX2BIN(MID(Table1[[#This Row],[statusRaw]],1+HEX2DEC(LEFT(AW$1,2))*2, 2),8) &amp; " 0x" &amp;MID(Table1[[#This Row],[statusRaw]],1+HEX2DEC(LEFT(AW$1,2))*2, 2)</f>
        <v>00000000 0x00</v>
      </c>
      <c r="AX53" s="3" t="str">
        <f>HEX2BIN(MID(Table1[[#This Row],[statusRaw]],1+HEX2DEC(LEFT(AX$1,2))*2, 2),8) &amp; " 0x" &amp;MID(Table1[[#This Row],[statusRaw]],1+HEX2DEC(LEFT(AX$1,2))*2, 2)</f>
        <v>00000000 0x00</v>
      </c>
      <c r="AY53" s="3" t="str">
        <f>MID(Table1[[#This Row],[statusRaw]],1+HEX2DEC(LEFT(AY$1,2))*2, 8)</f>
        <v>00000000</v>
      </c>
      <c r="AZ53" s="3" t="str">
        <f>MID(Table1[[#This Row],[statusRaw]],1+HEX2DEC(LEFT(AZ$1,2))*2, 8)</f>
        <v>00000000</v>
      </c>
      <c r="BA53" s="3" t="str">
        <f>HEX2BIN(MID(Table1[[#This Row],[statusRaw]],1+HEX2DEC(LEFT(BA$1,2))*2, 2),8) &amp; " 0x" &amp;MID(Table1[[#This Row],[statusRaw]],1+HEX2DEC(LEFT(BA$1,2))*2, 2)</f>
        <v>00000000 0x00</v>
      </c>
      <c r="BB53" s="3" t="str">
        <f>HEX2BIN(MID(Table1[[#This Row],[statusRaw]],1+HEX2DEC(LEFT(BB$1,2))*2, 2),8) &amp; " 0x" &amp;MID(Table1[[#This Row],[statusRaw]],1+HEX2DEC(LEFT(BB$1,2))*2, 2)</f>
        <v>00000000 0x00</v>
      </c>
      <c r="BC53" s="3" t="str">
        <f>HEX2BIN(MID(Table1[[#This Row],[statusRaw]],1+HEX2DEC(LEFT(BC$1,2))*2, 2),8) &amp; " 0x" &amp;MID(Table1[[#This Row],[statusRaw]],1+HEX2DEC(LEFT(BC$1,2))*2, 2)</f>
        <v>00000000 0x00</v>
      </c>
      <c r="BD53" s="3" t="str">
        <f>MID(Table1[[#This Row],[statusRaw]],1+HEX2DEC(LEFT(BD$1,2))*2, 8)</f>
        <v>000008C5</v>
      </c>
      <c r="BE53" s="3" t="str">
        <f>MID(Table1[[#This Row],[statusRaw]],1+HEX2DEC(LEFT(BE$1,2))*2, 8)</f>
        <v>000008C5</v>
      </c>
      <c r="BF53" s="9"/>
    </row>
    <row r="54" spans="1:58" x14ac:dyDescent="0.25">
      <c r="A54" s="1" t="s">
        <v>162</v>
      </c>
      <c r="B54" s="1" t="s">
        <v>163</v>
      </c>
      <c r="C54" s="1" t="s">
        <v>7</v>
      </c>
      <c r="D54" s="1" t="s">
        <v>164</v>
      </c>
      <c r="E54" s="1">
        <v>18</v>
      </c>
      <c r="F54" s="3" t="str">
        <f>HEX2BIN(MID(Table1[[#This Row],[statusRaw]],1+HEX2DEC(LEFT(F$1,2))*2, 2),8) &amp; " 0x" &amp;MID(Table1[[#This Row],[statusRaw]],1+HEX2DEC(LEFT(F$1,2))*2, 2)</f>
        <v>01010000 0x50</v>
      </c>
      <c r="G54" s="3" t="b">
        <f>MID(Table1[[#This Row],[03 - pump status (1)]],1,1)="1"</f>
        <v>0</v>
      </c>
      <c r="H54" s="3" t="b">
        <f>MID(Table1[[#This Row],[03 - pump status (1)]],2,1)="1"</f>
        <v>1</v>
      </c>
      <c r="I54" s="3" t="b">
        <f>MID(Table1[[#This Row],[03 - pump status (1)]],3,1)="1"</f>
        <v>0</v>
      </c>
      <c r="J54" s="3" t="b">
        <f>MID(Table1[[#This Row],[03 - pump status (1)]],4,1)="1"</f>
        <v>1</v>
      </c>
      <c r="K54" s="3" t="b">
        <f>MID(Table1[[#This Row],[03 - pump status (1)]],5,1)="1"</f>
        <v>0</v>
      </c>
      <c r="L54" s="3" t="b">
        <f>MID(Table1[[#This Row],[03 - pump status (1)]],6,1)="1"</f>
        <v>0</v>
      </c>
      <c r="M54" s="3" t="b">
        <f>MID(Table1[[#This Row],[03 - pump status (1)]],7,1)="1"</f>
        <v>0</v>
      </c>
      <c r="N54" s="3" t="b">
        <f>MID(Table1[[#This Row],[03 - pump status (1)]],8,1)="1"</f>
        <v>0</v>
      </c>
      <c r="O54" s="3" t="str">
        <f>MID(Table1[[#This Row],[statusRaw]],1+HEX2DEC(LEFT(O$1,2))*2, 8)</f>
        <v>00000000</v>
      </c>
      <c r="P54" s="3" t="str">
        <f>MID(Table1[[#This Row],[statusRaw]],1+HEX2DEC(LEFT(P$1,2))*2, 8)</f>
        <v>00000000</v>
      </c>
      <c r="Q54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54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54" s="3">
        <f>HEX2DEC(MID(Table1[[#This Row],[statusRaw]],1+HEX2DEC(LEFT(S$1,2))*2, 8))/10000</f>
        <v>1</v>
      </c>
      <c r="T54" s="3" t="str">
        <f>MID(Table1[[#This Row],[statusRaw]],1+HEX2DEC(LEFT(T$1,2))*2, 8)</f>
        <v>2789ECB3</v>
      </c>
      <c r="U54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54" s="3" t="str">
        <f>HEX2BIN(MID(Table1[[#This Row],[statusRaw]],1+HEX2DEC(LEFT(V$1,2))*2, 2),8) &amp; " 0x" &amp;MID(Table1[[#This Row],[statusRaw]],1+HEX2DEC(LEFT(V$1,2))*2, 2)</f>
        <v>00000001 0x01</v>
      </c>
      <c r="W54" s="3">
        <f>HEX2DEC(MID(Table1[[#This Row],[statusRaw]],1+HEX2DEC(LEFT(W$1,2))*2, 8))/10000</f>
        <v>0.72499999999999998</v>
      </c>
      <c r="X54" s="3">
        <f>HEX2DEC(MID(Table1[[#This Row],[statusRaw]],1+HEX2DEC(LEFT(X$1,2))*2, 8))/10000</f>
        <v>0</v>
      </c>
      <c r="Y54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54" s="3">
        <f>HEX2DEC(MID(Table1[[#This Row],[statusRaw]],1+HEX2DEC(LEFT(Z$1,2))*2, 8))/10000</f>
        <v>8.85</v>
      </c>
      <c r="AA54" s="3">
        <f>HEX2DEC(MID(Table1[[#This Row],[statusRaw]],1+HEX2DEC(LEFT(AA$1,2))*2, 2))</f>
        <v>50</v>
      </c>
      <c r="AB54" s="3">
        <f>HEX2DEC(MID(Table1[[#This Row],[statusRaw]],1+HEX2DEC(LEFT(AB$1,2))*2, 8))/10000</f>
        <v>78.625</v>
      </c>
      <c r="AC54" s="3">
        <f>HEX2DEC(MID(Table1[[#This Row],[statusRaw]],1+HEX2DEC(LEFT(AC$1,2))*2, 2))</f>
        <v>25</v>
      </c>
      <c r="AD54" s="3">
        <f>HEX2DEC(MID(Table1[[#This Row],[statusRaw]],1+HEX2DEC(LEFT(AD$1,2))*2, 2))</f>
        <v>0</v>
      </c>
      <c r="AE54" s="3">
        <f>HEX2DEC(MID(Table1[[#This Row],[statusRaw]],1+HEX2DEC(LEFT(AE$1,2))*2, 8))/10000</f>
        <v>0.2</v>
      </c>
      <c r="AF54" s="3">
        <f>IF(AND(Table1[[#This Row],[cgm]],NOT(Table1[[#This Row],[35 - SGV special bit (2)]])), _xlfn.BITAND(HEX2DEC(MID(Table1[[#This Row],[statusRaw]],1+HEX2DEC(LEFT(AF$1,2))*2, 4)),HEX2DEC("1FF")),"")</f>
        <v>225</v>
      </c>
      <c r="AG54" s="3" t="b">
        <f>_xlfn.BITAND(HEX2DEC(MID(Table1[[#This Row],[statusRaw]],1+HEX2DEC(LEFT(AG$1,2))*2, 4)),512)=512</f>
        <v>0</v>
      </c>
      <c r="AH54" s="3" t="str">
        <f>MID(Table1[[#This Row],[statusRaw]],1+HEX2DEC(LEFT(AF$1,2))*2, 8)</f>
        <v>00E18674</v>
      </c>
      <c r="AI54" s="3" t="str">
        <f>MID(Table1[[#This Row],[statusRaw]],1+HEX2DEC(LEFT(AH$1,2))*2, 8)</f>
        <v>86741912</v>
      </c>
      <c r="AJ54" s="3" t="str">
        <f>HEX2BIN(MID(Table1[[#This Row],[statusRaw]],1+HEX2DEC(LEFT(AJ$1,2))*2, 2),8) &amp; " 0x" &amp;MID(Table1[[#This Row],[statusRaw]],1+HEX2DEC(LEFT(AJ$1,2))*2, 2)</f>
        <v>00000101 0x05</v>
      </c>
      <c r="AK54" s="1" t="str">
        <f>HEX2BIN(MID(Table1[[#This Row],[statusRaw]],1+HEX2DEC(LEFT(AK$1,2))*2, 2),8) &amp; " 0x" &amp;MID(Table1[[#This Row],[statusRaw]],1+HEX2DEC(LEFT(AK$1,2))*2, 2)</f>
        <v>10000000 0x80</v>
      </c>
      <c r="AL54" s="1" t="str">
        <f>VLOOKUP(Table1[[#This Row],[40 trend]],'Arrow status mapping'!$A$1:$B$8,2,FALSE)</f>
        <v>1 arrows up</v>
      </c>
      <c r="AM54" s="3" t="str">
        <f>HEX2BIN(MID(Table1[[#This Row],[statusRaw]],1+HEX2DEC(LEFT(AM$1,2))*2, 2),8) &amp; " 0x" &amp;MID(Table1[[#This Row],[statusRaw]],1+HEX2DEC(LEFT(AM$1,2))*2, 2)</f>
        <v>00010000 0x10</v>
      </c>
      <c r="AN54" s="3" t="str">
        <f>HEX2BIN(MID(Table1[[#This Row],[statusRaw]],1+HEX2DEC(LEFT(AN$1,2))*2, 2),8) &amp; " 0x" &amp;MID(Table1[[#This Row],[statusRaw]],1+HEX2DEC(LEFT(AN$1,2))*2, 2)</f>
        <v>00000000 0x00</v>
      </c>
      <c r="AO54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0x0186 390</v>
      </c>
      <c r="AP54" s="1" t="str">
        <f>HEX2BIN(MID(Table1[[#This Row],[statusRaw]],1+HEX2DEC(LEFT(AP$1,2))*2, 2),8) &amp; " 0x" &amp;MID(Table1[[#This Row],[statusRaw]],1+HEX2DEC(LEFT(AP$1,2))*2, 2)</f>
        <v>00101011 0x2B</v>
      </c>
      <c r="AQ54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0x007B 123</v>
      </c>
      <c r="AR54" s="3">
        <f>TRUNC(_xlfn.NUMBERVALUE(RIGHT(Table1[[#This Row],[46 rate of change (2)]],LEN(Table1[[#This Row],[46 rate of change (2)]])-7))/100)</f>
        <v>1</v>
      </c>
      <c r="AS54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up</v>
      </c>
      <c r="AT54" s="3" t="b">
        <f>Table1[[#This Row],[calc arrow]]=Table1[[#This Row],[trend]]</f>
        <v>1</v>
      </c>
      <c r="AU54" s="3" t="str">
        <f>HEX2BIN(MID(Table1[[#This Row],[statusRaw]],1+HEX2DEC(LEFT(AU$1,2))*2, 2),8) &amp; " 0x" &amp;MID(Table1[[#This Row],[statusRaw]],1+HEX2DEC(LEFT(AU$1,2))*2, 2)</f>
        <v>00000000 0x00</v>
      </c>
      <c r="AV54" s="3">
        <f>HEX2DEC(MID(Table1[[#This Row],[statusRaw]],1+HEX2DEC(LEFT(AV$1,2))*2, 4))</f>
        <v>0</v>
      </c>
      <c r="AW54" s="3" t="str">
        <f>HEX2BIN(MID(Table1[[#This Row],[statusRaw]],1+HEX2DEC(LEFT(AW$1,2))*2, 2),8) &amp; " 0x" &amp;MID(Table1[[#This Row],[statusRaw]],1+HEX2DEC(LEFT(AW$1,2))*2, 2)</f>
        <v>00000000 0x00</v>
      </c>
      <c r="AX54" s="3" t="str">
        <f>HEX2BIN(MID(Table1[[#This Row],[statusRaw]],1+HEX2DEC(LEFT(AX$1,2))*2, 2),8) &amp; " 0x" &amp;MID(Table1[[#This Row],[statusRaw]],1+HEX2DEC(LEFT(AX$1,2))*2, 2)</f>
        <v>00000000 0x00</v>
      </c>
      <c r="AY54" s="3" t="str">
        <f>MID(Table1[[#This Row],[statusRaw]],1+HEX2DEC(LEFT(AY$1,2))*2, 8)</f>
        <v>00000000</v>
      </c>
      <c r="AZ54" s="3" t="str">
        <f>MID(Table1[[#This Row],[statusRaw]],1+HEX2DEC(LEFT(AZ$1,2))*2, 8)</f>
        <v>00000000</v>
      </c>
      <c r="BA54" s="3" t="str">
        <f>HEX2BIN(MID(Table1[[#This Row],[statusRaw]],1+HEX2DEC(LEFT(BA$1,2))*2, 2),8) &amp; " 0x" &amp;MID(Table1[[#This Row],[statusRaw]],1+HEX2DEC(LEFT(BA$1,2))*2, 2)</f>
        <v>00000000 0x00</v>
      </c>
      <c r="BB54" s="3" t="str">
        <f>HEX2BIN(MID(Table1[[#This Row],[statusRaw]],1+HEX2DEC(LEFT(BB$1,2))*2, 2),8) &amp; " 0x" &amp;MID(Table1[[#This Row],[statusRaw]],1+HEX2DEC(LEFT(BB$1,2))*2, 2)</f>
        <v>00000000 0x00</v>
      </c>
      <c r="BC54" s="3" t="str">
        <f>HEX2BIN(MID(Table1[[#This Row],[statusRaw]],1+HEX2DEC(LEFT(BC$1,2))*2, 2),8) &amp; " 0x" &amp;MID(Table1[[#This Row],[statusRaw]],1+HEX2DEC(LEFT(BC$1,2))*2, 2)</f>
        <v>00000000 0x00</v>
      </c>
      <c r="BD54" s="3" t="str">
        <f>MID(Table1[[#This Row],[statusRaw]],1+HEX2DEC(LEFT(BD$1,2))*2, 8)</f>
        <v>000008C5</v>
      </c>
      <c r="BE54" s="3" t="str">
        <f>MID(Table1[[#This Row],[statusRaw]],1+HEX2DEC(LEFT(BE$1,2))*2, 8)</f>
        <v>000008C5</v>
      </c>
      <c r="BF54" s="9"/>
    </row>
    <row r="55" spans="1:58" x14ac:dyDescent="0.25">
      <c r="A55" s="1" t="s">
        <v>165</v>
      </c>
      <c r="B55" s="1" t="s">
        <v>166</v>
      </c>
      <c r="C55" s="1" t="s">
        <v>7</v>
      </c>
      <c r="D55" s="1" t="s">
        <v>167</v>
      </c>
      <c r="E55" s="1">
        <v>18</v>
      </c>
      <c r="F55" s="3" t="str">
        <f>HEX2BIN(MID(Table1[[#This Row],[statusRaw]],1+HEX2DEC(LEFT(F$1,2))*2, 2),8) &amp; " 0x" &amp;MID(Table1[[#This Row],[statusRaw]],1+HEX2DEC(LEFT(F$1,2))*2, 2)</f>
        <v>00010000 0x10</v>
      </c>
      <c r="G55" s="3" t="b">
        <f>MID(Table1[[#This Row],[03 - pump status (1)]],1,1)="1"</f>
        <v>0</v>
      </c>
      <c r="H55" s="3" t="b">
        <f>MID(Table1[[#This Row],[03 - pump status (1)]],2,1)="1"</f>
        <v>0</v>
      </c>
      <c r="I55" s="3" t="b">
        <f>MID(Table1[[#This Row],[03 - pump status (1)]],3,1)="1"</f>
        <v>0</v>
      </c>
      <c r="J55" s="3" t="b">
        <f>MID(Table1[[#This Row],[03 - pump status (1)]],4,1)="1"</f>
        <v>1</v>
      </c>
      <c r="K55" s="3" t="b">
        <f>MID(Table1[[#This Row],[03 - pump status (1)]],5,1)="1"</f>
        <v>0</v>
      </c>
      <c r="L55" s="3" t="b">
        <f>MID(Table1[[#This Row],[03 - pump status (1)]],6,1)="1"</f>
        <v>0</v>
      </c>
      <c r="M55" s="3" t="b">
        <f>MID(Table1[[#This Row],[03 - pump status (1)]],7,1)="1"</f>
        <v>0</v>
      </c>
      <c r="N55" s="3" t="b">
        <f>MID(Table1[[#This Row],[03 - pump status (1)]],8,1)="1"</f>
        <v>0</v>
      </c>
      <c r="O55" s="3" t="str">
        <f>MID(Table1[[#This Row],[statusRaw]],1+HEX2DEC(LEFT(O$1,2))*2, 8)</f>
        <v>00000000</v>
      </c>
      <c r="P55" s="3" t="str">
        <f>MID(Table1[[#This Row],[statusRaw]],1+HEX2DEC(LEFT(P$1,2))*2, 8)</f>
        <v>00000000</v>
      </c>
      <c r="Q55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55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55" s="3">
        <f>HEX2DEC(MID(Table1[[#This Row],[statusRaw]],1+HEX2DEC(LEFT(S$1,2))*2, 8))/10000</f>
        <v>1</v>
      </c>
      <c r="T55" s="3" t="str">
        <f>MID(Table1[[#This Row],[statusRaw]],1+HEX2DEC(LEFT(T$1,2))*2, 8)</f>
        <v>2789ECB3</v>
      </c>
      <c r="U55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55" s="3" t="str">
        <f>HEX2BIN(MID(Table1[[#This Row],[statusRaw]],1+HEX2DEC(LEFT(V$1,2))*2, 2),8) &amp; " 0x" &amp;MID(Table1[[#This Row],[statusRaw]],1+HEX2DEC(LEFT(V$1,2))*2, 2)</f>
        <v>00000001 0x01</v>
      </c>
      <c r="W55" s="3">
        <f>HEX2DEC(MID(Table1[[#This Row],[statusRaw]],1+HEX2DEC(LEFT(W$1,2))*2, 8))/10000</f>
        <v>0.72499999999999998</v>
      </c>
      <c r="X55" s="3">
        <f>HEX2DEC(MID(Table1[[#This Row],[statusRaw]],1+HEX2DEC(LEFT(X$1,2))*2, 8))/10000</f>
        <v>0</v>
      </c>
      <c r="Y55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55" s="3">
        <f>HEX2DEC(MID(Table1[[#This Row],[statusRaw]],1+HEX2DEC(LEFT(Z$1,2))*2, 8))/10000</f>
        <v>8.8000000000000007</v>
      </c>
      <c r="AA55" s="3">
        <f>HEX2DEC(MID(Table1[[#This Row],[statusRaw]],1+HEX2DEC(LEFT(AA$1,2))*2, 2))</f>
        <v>50</v>
      </c>
      <c r="AB55" s="3">
        <f>HEX2DEC(MID(Table1[[#This Row],[statusRaw]],1+HEX2DEC(LEFT(AB$1,2))*2, 8))/10000</f>
        <v>78.674999999999997</v>
      </c>
      <c r="AC55" s="3">
        <f>HEX2DEC(MID(Table1[[#This Row],[statusRaw]],1+HEX2DEC(LEFT(AC$1,2))*2, 2))</f>
        <v>25</v>
      </c>
      <c r="AD55" s="3">
        <f>HEX2DEC(MID(Table1[[#This Row],[statusRaw]],1+HEX2DEC(LEFT(AD$1,2))*2, 2))</f>
        <v>0</v>
      </c>
      <c r="AE55" s="3">
        <f>HEX2DEC(MID(Table1[[#This Row],[statusRaw]],1+HEX2DEC(LEFT(AE$1,2))*2, 8))/10000</f>
        <v>0.2</v>
      </c>
      <c r="AF55" s="3" t="str">
        <f>IF(AND(Table1[[#This Row],[cgm]],NOT(Table1[[#This Row],[35 - SGV special bit (2)]])), _xlfn.BITAND(HEX2DEC(MID(Table1[[#This Row],[statusRaw]],1+HEX2DEC(LEFT(AF$1,2))*2, 4)),HEX2DEC("1FF")),"")</f>
        <v/>
      </c>
      <c r="AG55" s="3" t="b">
        <f>_xlfn.BITAND(HEX2DEC(MID(Table1[[#This Row],[statusRaw]],1+HEX2DEC(LEFT(AG$1,2))*2, 4)),512)=512</f>
        <v>0</v>
      </c>
      <c r="AH55" s="3" t="str">
        <f>MID(Table1[[#This Row],[statusRaw]],1+HEX2DEC(LEFT(AF$1,2))*2, 8)</f>
        <v>00000000</v>
      </c>
      <c r="AI55" s="3" t="str">
        <f>MID(Table1[[#This Row],[statusRaw]],1+HEX2DEC(LEFT(AH$1,2))*2, 8)</f>
        <v>00000000</v>
      </c>
      <c r="AJ55" s="3" t="str">
        <f>HEX2BIN(MID(Table1[[#This Row],[statusRaw]],1+HEX2DEC(LEFT(AJ$1,2))*2, 2),8) &amp; " 0x" &amp;MID(Table1[[#This Row],[statusRaw]],1+HEX2DEC(LEFT(AJ$1,2))*2, 2)</f>
        <v>00000000 0x00</v>
      </c>
      <c r="AK55" s="1" t="str">
        <f>HEX2BIN(MID(Table1[[#This Row],[statusRaw]],1+HEX2DEC(LEFT(AK$1,2))*2, 2),8) &amp; " 0x" &amp;MID(Table1[[#This Row],[statusRaw]],1+HEX2DEC(LEFT(AK$1,2))*2, 2)</f>
        <v>00000000 0x00</v>
      </c>
      <c r="AL55" s="1" t="str">
        <f>VLOOKUP(Table1[[#This Row],[40 trend]],'Arrow status mapping'!$A$1:$B$8,2,FALSE)</f>
        <v>3 arrows down</v>
      </c>
      <c r="AM55" s="3" t="str">
        <f>HEX2BIN(MID(Table1[[#This Row],[statusRaw]],1+HEX2DEC(LEFT(AM$1,2))*2, 2),8) &amp; " 0x" &amp;MID(Table1[[#This Row],[statusRaw]],1+HEX2DEC(LEFT(AM$1,2))*2, 2)</f>
        <v>00000000 0x00</v>
      </c>
      <c r="AN55" s="3" t="str">
        <f>HEX2BIN(MID(Table1[[#This Row],[statusRaw]],1+HEX2DEC(LEFT(AN$1,2))*2, 2),8) &amp; " 0x" &amp;MID(Table1[[#This Row],[statusRaw]],1+HEX2DEC(LEFT(AN$1,2))*2, 2)</f>
        <v>00000000 0x00</v>
      </c>
      <c r="AO55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0x0000 0</v>
      </c>
      <c r="AP55" s="1" t="str">
        <f>HEX2BIN(MID(Table1[[#This Row],[statusRaw]],1+HEX2DEC(LEFT(AP$1,2))*2, 2),8) &amp; " 0x" &amp;MID(Table1[[#This Row],[statusRaw]],1+HEX2DEC(LEFT(AP$1,2))*2, 2)</f>
        <v>00000000 0x00</v>
      </c>
      <c r="AQ55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55" s="3">
        <f>TRUNC(_xlfn.NUMBERVALUE(RIGHT(Table1[[#This Row],[46 rate of change (2)]],LEN(Table1[[#This Row],[46 rate of change (2)]])-7))/100)</f>
        <v>0</v>
      </c>
      <c r="AS55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55" s="3" t="b">
        <f>Table1[[#This Row],[calc arrow]]=Table1[[#This Row],[trend]]</f>
        <v>0</v>
      </c>
      <c r="AU55" s="3" t="str">
        <f>HEX2BIN(MID(Table1[[#This Row],[statusRaw]],1+HEX2DEC(LEFT(AU$1,2))*2, 2),8) &amp; " 0x" &amp;MID(Table1[[#This Row],[statusRaw]],1+HEX2DEC(LEFT(AU$1,2))*2, 2)</f>
        <v>00000000 0x00</v>
      </c>
      <c r="AV55" s="3">
        <f>HEX2DEC(MID(Table1[[#This Row],[statusRaw]],1+HEX2DEC(LEFT(AV$1,2))*2, 4))</f>
        <v>0</v>
      </c>
      <c r="AW55" s="3" t="str">
        <f>HEX2BIN(MID(Table1[[#This Row],[statusRaw]],1+HEX2DEC(LEFT(AW$1,2))*2, 2),8) &amp; " 0x" &amp;MID(Table1[[#This Row],[statusRaw]],1+HEX2DEC(LEFT(AW$1,2))*2, 2)</f>
        <v>00000000 0x00</v>
      </c>
      <c r="AX55" s="3" t="str">
        <f>HEX2BIN(MID(Table1[[#This Row],[statusRaw]],1+HEX2DEC(LEFT(AX$1,2))*2, 2),8) &amp; " 0x" &amp;MID(Table1[[#This Row],[statusRaw]],1+HEX2DEC(LEFT(AX$1,2))*2, 2)</f>
        <v>00000000 0x00</v>
      </c>
      <c r="AY55" s="3" t="str">
        <f>MID(Table1[[#This Row],[statusRaw]],1+HEX2DEC(LEFT(AY$1,2))*2, 8)</f>
        <v>00000000</v>
      </c>
      <c r="AZ55" s="3" t="str">
        <f>MID(Table1[[#This Row],[statusRaw]],1+HEX2DEC(LEFT(AZ$1,2))*2, 8)</f>
        <v>00000000</v>
      </c>
      <c r="BA55" s="3" t="str">
        <f>HEX2BIN(MID(Table1[[#This Row],[statusRaw]],1+HEX2DEC(LEFT(BA$1,2))*2, 2),8) &amp; " 0x" &amp;MID(Table1[[#This Row],[statusRaw]],1+HEX2DEC(LEFT(BA$1,2))*2, 2)</f>
        <v>00000000 0x00</v>
      </c>
      <c r="BB55" s="3" t="str">
        <f>HEX2BIN(MID(Table1[[#This Row],[statusRaw]],1+HEX2DEC(LEFT(BB$1,2))*2, 2),8) &amp; " 0x" &amp;MID(Table1[[#This Row],[statusRaw]],1+HEX2DEC(LEFT(BB$1,2))*2, 2)</f>
        <v>00000000 0x00</v>
      </c>
      <c r="BC55" s="3" t="str">
        <f>HEX2BIN(MID(Table1[[#This Row],[statusRaw]],1+HEX2DEC(LEFT(BC$1,2))*2, 2),8) &amp; " 0x" &amp;MID(Table1[[#This Row],[statusRaw]],1+HEX2DEC(LEFT(BC$1,2))*2, 2)</f>
        <v>00000000 0x00</v>
      </c>
      <c r="BD55" s="3" t="str">
        <f>MID(Table1[[#This Row],[statusRaw]],1+HEX2DEC(LEFT(BD$1,2))*2, 8)</f>
        <v>000008C5</v>
      </c>
      <c r="BE55" s="3" t="str">
        <f>MID(Table1[[#This Row],[statusRaw]],1+HEX2DEC(LEFT(BE$1,2))*2, 8)</f>
        <v>000008C5</v>
      </c>
      <c r="BF55" s="9"/>
    </row>
    <row r="56" spans="1:58" x14ac:dyDescent="0.25">
      <c r="A56" s="1" t="s">
        <v>168</v>
      </c>
      <c r="B56" s="1" t="s">
        <v>169</v>
      </c>
      <c r="C56" s="1" t="s">
        <v>7</v>
      </c>
      <c r="D56" s="1" t="s">
        <v>170</v>
      </c>
      <c r="E56" s="1">
        <v>18</v>
      </c>
      <c r="F56" s="3" t="str">
        <f>HEX2BIN(MID(Table1[[#This Row],[statusRaw]],1+HEX2DEC(LEFT(F$1,2))*2, 2),8) &amp; " 0x" &amp;MID(Table1[[#This Row],[statusRaw]],1+HEX2DEC(LEFT(F$1,2))*2, 2)</f>
        <v>01010000 0x50</v>
      </c>
      <c r="G56" s="3" t="b">
        <f>MID(Table1[[#This Row],[03 - pump status (1)]],1,1)="1"</f>
        <v>0</v>
      </c>
      <c r="H56" s="3" t="b">
        <f>MID(Table1[[#This Row],[03 - pump status (1)]],2,1)="1"</f>
        <v>1</v>
      </c>
      <c r="I56" s="3" t="b">
        <f>MID(Table1[[#This Row],[03 - pump status (1)]],3,1)="1"</f>
        <v>0</v>
      </c>
      <c r="J56" s="3" t="b">
        <f>MID(Table1[[#This Row],[03 - pump status (1)]],4,1)="1"</f>
        <v>1</v>
      </c>
      <c r="K56" s="3" t="b">
        <f>MID(Table1[[#This Row],[03 - pump status (1)]],5,1)="1"</f>
        <v>0</v>
      </c>
      <c r="L56" s="3" t="b">
        <f>MID(Table1[[#This Row],[03 - pump status (1)]],6,1)="1"</f>
        <v>0</v>
      </c>
      <c r="M56" s="3" t="b">
        <f>MID(Table1[[#This Row],[03 - pump status (1)]],7,1)="1"</f>
        <v>0</v>
      </c>
      <c r="N56" s="3" t="b">
        <f>MID(Table1[[#This Row],[03 - pump status (1)]],8,1)="1"</f>
        <v>0</v>
      </c>
      <c r="O56" s="3" t="str">
        <f>MID(Table1[[#This Row],[statusRaw]],1+HEX2DEC(LEFT(O$1,2))*2, 8)</f>
        <v>00000000</v>
      </c>
      <c r="P56" s="3" t="str">
        <f>MID(Table1[[#This Row],[statusRaw]],1+HEX2DEC(LEFT(P$1,2))*2, 8)</f>
        <v>00000000</v>
      </c>
      <c r="Q56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56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56" s="3">
        <f>HEX2DEC(MID(Table1[[#This Row],[statusRaw]],1+HEX2DEC(LEFT(S$1,2))*2, 8))/10000</f>
        <v>1</v>
      </c>
      <c r="T56" s="3" t="str">
        <f>MID(Table1[[#This Row],[statusRaw]],1+HEX2DEC(LEFT(T$1,2))*2, 8)</f>
        <v>2789ECB3</v>
      </c>
      <c r="U56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56" s="3" t="str">
        <f>HEX2BIN(MID(Table1[[#This Row],[statusRaw]],1+HEX2DEC(LEFT(V$1,2))*2, 2),8) &amp; " 0x" &amp;MID(Table1[[#This Row],[statusRaw]],1+HEX2DEC(LEFT(V$1,2))*2, 2)</f>
        <v>00000001 0x01</v>
      </c>
      <c r="W56" s="3">
        <f>HEX2DEC(MID(Table1[[#This Row],[statusRaw]],1+HEX2DEC(LEFT(W$1,2))*2, 8))/10000</f>
        <v>0.72499999999999998</v>
      </c>
      <c r="X56" s="3">
        <f>HEX2DEC(MID(Table1[[#This Row],[statusRaw]],1+HEX2DEC(LEFT(X$1,2))*2, 8))/10000</f>
        <v>0</v>
      </c>
      <c r="Y56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56" s="3">
        <f>HEX2DEC(MID(Table1[[#This Row],[statusRaw]],1+HEX2DEC(LEFT(Z$1,2))*2, 8))/10000</f>
        <v>8.75</v>
      </c>
      <c r="AA56" s="3">
        <f>HEX2DEC(MID(Table1[[#This Row],[statusRaw]],1+HEX2DEC(LEFT(AA$1,2))*2, 2))</f>
        <v>50</v>
      </c>
      <c r="AB56" s="3">
        <f>HEX2DEC(MID(Table1[[#This Row],[statusRaw]],1+HEX2DEC(LEFT(AB$1,2))*2, 8))/10000</f>
        <v>78.724999999999994</v>
      </c>
      <c r="AC56" s="3">
        <f>HEX2DEC(MID(Table1[[#This Row],[statusRaw]],1+HEX2DEC(LEFT(AC$1,2))*2, 2))</f>
        <v>25</v>
      </c>
      <c r="AD56" s="3">
        <f>HEX2DEC(MID(Table1[[#This Row],[statusRaw]],1+HEX2DEC(LEFT(AD$1,2))*2, 2))</f>
        <v>0</v>
      </c>
      <c r="AE56" s="3">
        <f>HEX2DEC(MID(Table1[[#This Row],[statusRaw]],1+HEX2DEC(LEFT(AE$1,2))*2, 8))/10000</f>
        <v>0.2</v>
      </c>
      <c r="AF56" s="3">
        <f>IF(AND(Table1[[#This Row],[cgm]],NOT(Table1[[#This Row],[35 - SGV special bit (2)]])), _xlfn.BITAND(HEX2DEC(MID(Table1[[#This Row],[statusRaw]],1+HEX2DEC(LEFT(AF$1,2))*2, 4)),HEX2DEC("1FF")),"")</f>
        <v>210</v>
      </c>
      <c r="AG56" s="3" t="b">
        <f>_xlfn.BITAND(HEX2DEC(MID(Table1[[#This Row],[statusRaw]],1+HEX2DEC(LEFT(AG$1,2))*2, 4)),512)=512</f>
        <v>0</v>
      </c>
      <c r="AH56" s="3" t="str">
        <f>MID(Table1[[#This Row],[statusRaw]],1+HEX2DEC(LEFT(AF$1,2))*2, 8)</f>
        <v>00D28674</v>
      </c>
      <c r="AI56" s="3" t="str">
        <f>MID(Table1[[#This Row],[statusRaw]],1+HEX2DEC(LEFT(AH$1,2))*2, 8)</f>
        <v>867416BA</v>
      </c>
      <c r="AJ56" s="3" t="str">
        <f>HEX2BIN(MID(Table1[[#This Row],[statusRaw]],1+HEX2DEC(LEFT(AJ$1,2))*2, 2),8) &amp; " 0x" &amp;MID(Table1[[#This Row],[statusRaw]],1+HEX2DEC(LEFT(AJ$1,2))*2, 2)</f>
        <v>00000101 0x05</v>
      </c>
      <c r="AK56" s="1" t="str">
        <f>HEX2BIN(MID(Table1[[#This Row],[statusRaw]],1+HEX2DEC(LEFT(AK$1,2))*2, 2),8) &amp; " 0x" &amp;MID(Table1[[#This Row],[statusRaw]],1+HEX2DEC(LEFT(AK$1,2))*2, 2)</f>
        <v>01100000 0x60</v>
      </c>
      <c r="AL56" s="1" t="str">
        <f>VLOOKUP(Table1[[#This Row],[40 trend]],'Arrow status mapping'!$A$1:$B$8,2,FALSE)</f>
        <v>No arrows</v>
      </c>
      <c r="AM56" s="3" t="str">
        <f>HEX2BIN(MID(Table1[[#This Row],[statusRaw]],1+HEX2DEC(LEFT(AM$1,2))*2, 2),8) &amp; " 0x" &amp;MID(Table1[[#This Row],[statusRaw]],1+HEX2DEC(LEFT(AM$1,2))*2, 2)</f>
        <v>00010000 0x10</v>
      </c>
      <c r="AN56" s="3" t="str">
        <f>HEX2BIN(MID(Table1[[#This Row],[statusRaw]],1+HEX2DEC(LEFT(AN$1,2))*2, 2),8) &amp; " 0x" &amp;MID(Table1[[#This Row],[statusRaw]],1+HEX2DEC(LEFT(AN$1,2))*2, 2)</f>
        <v>00000000 0x00</v>
      </c>
      <c r="AO56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0x0190 400</v>
      </c>
      <c r="AP56" s="1" t="str">
        <f>HEX2BIN(MID(Table1[[#This Row],[statusRaw]],1+HEX2DEC(LEFT(AP$1,2))*2, 2),8) &amp; " 0x" &amp;MID(Table1[[#This Row],[statusRaw]],1+HEX2DEC(LEFT(AP$1,2))*2, 2)</f>
        <v>00101011 0x2B</v>
      </c>
      <c r="AQ56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0x003E 62</v>
      </c>
      <c r="AR56" s="3">
        <f>TRUNC(_xlfn.NUMBERVALUE(RIGHT(Table1[[#This Row],[46 rate of change (2)]],LEN(Table1[[#This Row],[46 rate of change (2)]])-7))/100)</f>
        <v>0</v>
      </c>
      <c r="AS56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56" s="3" t="b">
        <f>Table1[[#This Row],[calc arrow]]=Table1[[#This Row],[trend]]</f>
        <v>1</v>
      </c>
      <c r="AU56" s="3" t="str">
        <f>HEX2BIN(MID(Table1[[#This Row],[statusRaw]],1+HEX2DEC(LEFT(AU$1,2))*2, 2),8) &amp; " 0x" &amp;MID(Table1[[#This Row],[statusRaw]],1+HEX2DEC(LEFT(AU$1,2))*2, 2)</f>
        <v>00000000 0x00</v>
      </c>
      <c r="AV56" s="3">
        <f>HEX2DEC(MID(Table1[[#This Row],[statusRaw]],1+HEX2DEC(LEFT(AV$1,2))*2, 4))</f>
        <v>0</v>
      </c>
      <c r="AW56" s="3" t="str">
        <f>HEX2BIN(MID(Table1[[#This Row],[statusRaw]],1+HEX2DEC(LEFT(AW$1,2))*2, 2),8) &amp; " 0x" &amp;MID(Table1[[#This Row],[statusRaw]],1+HEX2DEC(LEFT(AW$1,2))*2, 2)</f>
        <v>00000000 0x00</v>
      </c>
      <c r="AX56" s="3" t="str">
        <f>HEX2BIN(MID(Table1[[#This Row],[statusRaw]],1+HEX2DEC(LEFT(AX$1,2))*2, 2),8) &amp; " 0x" &amp;MID(Table1[[#This Row],[statusRaw]],1+HEX2DEC(LEFT(AX$1,2))*2, 2)</f>
        <v>00000000 0x00</v>
      </c>
      <c r="AY56" s="3" t="str">
        <f>MID(Table1[[#This Row],[statusRaw]],1+HEX2DEC(LEFT(AY$1,2))*2, 8)</f>
        <v>00000000</v>
      </c>
      <c r="AZ56" s="3" t="str">
        <f>MID(Table1[[#This Row],[statusRaw]],1+HEX2DEC(LEFT(AZ$1,2))*2, 8)</f>
        <v>00000000</v>
      </c>
      <c r="BA56" s="3" t="str">
        <f>HEX2BIN(MID(Table1[[#This Row],[statusRaw]],1+HEX2DEC(LEFT(BA$1,2))*2, 2),8) &amp; " 0x" &amp;MID(Table1[[#This Row],[statusRaw]],1+HEX2DEC(LEFT(BA$1,2))*2, 2)</f>
        <v>00000000 0x00</v>
      </c>
      <c r="BB56" s="3" t="str">
        <f>HEX2BIN(MID(Table1[[#This Row],[statusRaw]],1+HEX2DEC(LEFT(BB$1,2))*2, 2),8) &amp; " 0x" &amp;MID(Table1[[#This Row],[statusRaw]],1+HEX2DEC(LEFT(BB$1,2))*2, 2)</f>
        <v>00000000 0x00</v>
      </c>
      <c r="BC56" s="3" t="str">
        <f>HEX2BIN(MID(Table1[[#This Row],[statusRaw]],1+HEX2DEC(LEFT(BC$1,2))*2, 2),8) &amp; " 0x" &amp;MID(Table1[[#This Row],[statusRaw]],1+HEX2DEC(LEFT(BC$1,2))*2, 2)</f>
        <v>00000000 0x00</v>
      </c>
      <c r="BD56" s="3" t="str">
        <f>MID(Table1[[#This Row],[statusRaw]],1+HEX2DEC(LEFT(BD$1,2))*2, 8)</f>
        <v>000008C5</v>
      </c>
      <c r="BE56" s="3" t="str">
        <f>MID(Table1[[#This Row],[statusRaw]],1+HEX2DEC(LEFT(BE$1,2))*2, 8)</f>
        <v>000008C5</v>
      </c>
      <c r="BF56" s="9"/>
    </row>
    <row r="57" spans="1:58" x14ac:dyDescent="0.25">
      <c r="A57" s="1" t="s">
        <v>171</v>
      </c>
      <c r="B57" s="1" t="s">
        <v>172</v>
      </c>
      <c r="C57" s="1" t="s">
        <v>7</v>
      </c>
      <c r="D57" s="1" t="s">
        <v>173</v>
      </c>
      <c r="E57" s="1">
        <v>18</v>
      </c>
      <c r="F57" s="3" t="str">
        <f>HEX2BIN(MID(Table1[[#This Row],[statusRaw]],1+HEX2DEC(LEFT(F$1,2))*2, 2),8) &amp; " 0x" &amp;MID(Table1[[#This Row],[statusRaw]],1+HEX2DEC(LEFT(F$1,2))*2, 2)</f>
        <v>01010000 0x50</v>
      </c>
      <c r="G57" s="3" t="b">
        <f>MID(Table1[[#This Row],[03 - pump status (1)]],1,1)="1"</f>
        <v>0</v>
      </c>
      <c r="H57" s="3" t="b">
        <f>MID(Table1[[#This Row],[03 - pump status (1)]],2,1)="1"</f>
        <v>1</v>
      </c>
      <c r="I57" s="3" t="b">
        <f>MID(Table1[[#This Row],[03 - pump status (1)]],3,1)="1"</f>
        <v>0</v>
      </c>
      <c r="J57" s="3" t="b">
        <f>MID(Table1[[#This Row],[03 - pump status (1)]],4,1)="1"</f>
        <v>1</v>
      </c>
      <c r="K57" s="3" t="b">
        <f>MID(Table1[[#This Row],[03 - pump status (1)]],5,1)="1"</f>
        <v>0</v>
      </c>
      <c r="L57" s="3" t="b">
        <f>MID(Table1[[#This Row],[03 - pump status (1)]],6,1)="1"</f>
        <v>0</v>
      </c>
      <c r="M57" s="3" t="b">
        <f>MID(Table1[[#This Row],[03 - pump status (1)]],7,1)="1"</f>
        <v>0</v>
      </c>
      <c r="N57" s="3" t="b">
        <f>MID(Table1[[#This Row],[03 - pump status (1)]],8,1)="1"</f>
        <v>0</v>
      </c>
      <c r="O57" s="3" t="str">
        <f>MID(Table1[[#This Row],[statusRaw]],1+HEX2DEC(LEFT(O$1,2))*2, 8)</f>
        <v>00000000</v>
      </c>
      <c r="P57" s="3" t="str">
        <f>MID(Table1[[#This Row],[statusRaw]],1+HEX2DEC(LEFT(P$1,2))*2, 8)</f>
        <v>00000000</v>
      </c>
      <c r="Q57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57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57" s="3">
        <f>HEX2DEC(MID(Table1[[#This Row],[statusRaw]],1+HEX2DEC(LEFT(S$1,2))*2, 8))/10000</f>
        <v>1</v>
      </c>
      <c r="T57" s="3" t="str">
        <f>MID(Table1[[#This Row],[statusRaw]],1+HEX2DEC(LEFT(T$1,2))*2, 8)</f>
        <v>2789ECB3</v>
      </c>
      <c r="U57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57" s="3" t="str">
        <f>HEX2BIN(MID(Table1[[#This Row],[statusRaw]],1+HEX2DEC(LEFT(V$1,2))*2, 2),8) &amp; " 0x" &amp;MID(Table1[[#This Row],[statusRaw]],1+HEX2DEC(LEFT(V$1,2))*2, 2)</f>
        <v>00000001 0x01</v>
      </c>
      <c r="W57" s="3">
        <f>HEX2DEC(MID(Table1[[#This Row],[statusRaw]],1+HEX2DEC(LEFT(W$1,2))*2, 8))/10000</f>
        <v>0.72499999999999998</v>
      </c>
      <c r="X57" s="3">
        <f>HEX2DEC(MID(Table1[[#This Row],[statusRaw]],1+HEX2DEC(LEFT(X$1,2))*2, 8))/10000</f>
        <v>0</v>
      </c>
      <c r="Y57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57" s="3">
        <f>HEX2DEC(MID(Table1[[#This Row],[statusRaw]],1+HEX2DEC(LEFT(Z$1,2))*2, 8))/10000</f>
        <v>8.6750000000000007</v>
      </c>
      <c r="AA57" s="3">
        <f>HEX2DEC(MID(Table1[[#This Row],[statusRaw]],1+HEX2DEC(LEFT(AA$1,2))*2, 2))</f>
        <v>50</v>
      </c>
      <c r="AB57" s="3">
        <f>HEX2DEC(MID(Table1[[#This Row],[statusRaw]],1+HEX2DEC(LEFT(AB$1,2))*2, 8))/10000</f>
        <v>78.8</v>
      </c>
      <c r="AC57" s="3">
        <f>HEX2DEC(MID(Table1[[#This Row],[statusRaw]],1+HEX2DEC(LEFT(AC$1,2))*2, 2))</f>
        <v>25</v>
      </c>
      <c r="AD57" s="3">
        <f>HEX2DEC(MID(Table1[[#This Row],[statusRaw]],1+HEX2DEC(LEFT(AD$1,2))*2, 2))</f>
        <v>0</v>
      </c>
      <c r="AE57" s="3">
        <f>HEX2DEC(MID(Table1[[#This Row],[statusRaw]],1+HEX2DEC(LEFT(AE$1,2))*2, 8))/10000</f>
        <v>0.2</v>
      </c>
      <c r="AF57" s="3">
        <f>IF(AND(Table1[[#This Row],[cgm]],NOT(Table1[[#This Row],[35 - SGV special bit (2)]])), _xlfn.BITAND(HEX2DEC(MID(Table1[[#This Row],[statusRaw]],1+HEX2DEC(LEFT(AF$1,2))*2, 4)),HEX2DEC("1FF")),"")</f>
        <v>207</v>
      </c>
      <c r="AG57" s="3" t="b">
        <f>_xlfn.BITAND(HEX2DEC(MID(Table1[[#This Row],[statusRaw]],1+HEX2DEC(LEFT(AG$1,2))*2, 4)),512)=512</f>
        <v>0</v>
      </c>
      <c r="AH57" s="3" t="str">
        <f>MID(Table1[[#This Row],[statusRaw]],1+HEX2DEC(LEFT(AF$1,2))*2, 8)</f>
        <v>00CF8674</v>
      </c>
      <c r="AI57" s="3" t="str">
        <f>MID(Table1[[#This Row],[statusRaw]],1+HEX2DEC(LEFT(AH$1,2))*2, 8)</f>
        <v>8674158E</v>
      </c>
      <c r="AJ57" s="3" t="str">
        <f>HEX2BIN(MID(Table1[[#This Row],[statusRaw]],1+HEX2DEC(LEFT(AJ$1,2))*2, 2),8) &amp; " 0x" &amp;MID(Table1[[#This Row],[statusRaw]],1+HEX2DEC(LEFT(AJ$1,2))*2, 2)</f>
        <v>00000101 0x05</v>
      </c>
      <c r="AK57" s="1" t="str">
        <f>HEX2BIN(MID(Table1[[#This Row],[statusRaw]],1+HEX2DEC(LEFT(AK$1,2))*2, 2),8) &amp; " 0x" &amp;MID(Table1[[#This Row],[statusRaw]],1+HEX2DEC(LEFT(AK$1,2))*2, 2)</f>
        <v>10000000 0x80</v>
      </c>
      <c r="AL57" s="1" t="str">
        <f>VLOOKUP(Table1[[#This Row],[40 trend]],'Arrow status mapping'!$A$1:$B$8,2,FALSE)</f>
        <v>1 arrows up</v>
      </c>
      <c r="AM57" s="3" t="str">
        <f>HEX2BIN(MID(Table1[[#This Row],[statusRaw]],1+HEX2DEC(LEFT(AM$1,2))*2, 2),8) &amp; " 0x" &amp;MID(Table1[[#This Row],[statusRaw]],1+HEX2DEC(LEFT(AM$1,2))*2, 2)</f>
        <v>00010000 0x10</v>
      </c>
      <c r="AN57" s="3" t="str">
        <f>HEX2BIN(MID(Table1[[#This Row],[statusRaw]],1+HEX2DEC(LEFT(AN$1,2))*2, 2),8) &amp; " 0x" &amp;MID(Table1[[#This Row],[statusRaw]],1+HEX2DEC(LEFT(AN$1,2))*2, 2)</f>
        <v>00000000 0x00</v>
      </c>
      <c r="AO57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0x0195 405</v>
      </c>
      <c r="AP57" s="1" t="str">
        <f>HEX2BIN(MID(Table1[[#This Row],[statusRaw]],1+HEX2DEC(LEFT(AP$1,2))*2, 2),8) &amp; " 0x" &amp;MID(Table1[[#This Row],[statusRaw]],1+HEX2DEC(LEFT(AP$1,2))*2, 2)</f>
        <v>00101011 0x2B</v>
      </c>
      <c r="AQ57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0x0088 136</v>
      </c>
      <c r="AR57" s="3">
        <f>TRUNC(_xlfn.NUMBERVALUE(RIGHT(Table1[[#This Row],[46 rate of change (2)]],LEN(Table1[[#This Row],[46 rate of change (2)]])-7))/100)</f>
        <v>1</v>
      </c>
      <c r="AS57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up</v>
      </c>
      <c r="AT57" s="3" t="b">
        <f>Table1[[#This Row],[calc arrow]]=Table1[[#This Row],[trend]]</f>
        <v>1</v>
      </c>
      <c r="AU57" s="3" t="str">
        <f>HEX2BIN(MID(Table1[[#This Row],[statusRaw]],1+HEX2DEC(LEFT(AU$1,2))*2, 2),8) &amp; " 0x" &amp;MID(Table1[[#This Row],[statusRaw]],1+HEX2DEC(LEFT(AU$1,2))*2, 2)</f>
        <v>00000000 0x00</v>
      </c>
      <c r="AV57" s="3">
        <f>HEX2DEC(MID(Table1[[#This Row],[statusRaw]],1+HEX2DEC(LEFT(AV$1,2))*2, 4))</f>
        <v>0</v>
      </c>
      <c r="AW57" s="3" t="str">
        <f>HEX2BIN(MID(Table1[[#This Row],[statusRaw]],1+HEX2DEC(LEFT(AW$1,2))*2, 2),8) &amp; " 0x" &amp;MID(Table1[[#This Row],[statusRaw]],1+HEX2DEC(LEFT(AW$1,2))*2, 2)</f>
        <v>00000000 0x00</v>
      </c>
      <c r="AX57" s="3" t="str">
        <f>HEX2BIN(MID(Table1[[#This Row],[statusRaw]],1+HEX2DEC(LEFT(AX$1,2))*2, 2),8) &amp; " 0x" &amp;MID(Table1[[#This Row],[statusRaw]],1+HEX2DEC(LEFT(AX$1,2))*2, 2)</f>
        <v>00000000 0x00</v>
      </c>
      <c r="AY57" s="3" t="str">
        <f>MID(Table1[[#This Row],[statusRaw]],1+HEX2DEC(LEFT(AY$1,2))*2, 8)</f>
        <v>00000000</v>
      </c>
      <c r="AZ57" s="3" t="str">
        <f>MID(Table1[[#This Row],[statusRaw]],1+HEX2DEC(LEFT(AZ$1,2))*2, 8)</f>
        <v>00000000</v>
      </c>
      <c r="BA57" s="3" t="str">
        <f>HEX2BIN(MID(Table1[[#This Row],[statusRaw]],1+HEX2DEC(LEFT(BA$1,2))*2, 2),8) &amp; " 0x" &amp;MID(Table1[[#This Row],[statusRaw]],1+HEX2DEC(LEFT(BA$1,2))*2, 2)</f>
        <v>00000000 0x00</v>
      </c>
      <c r="BB57" s="3" t="str">
        <f>HEX2BIN(MID(Table1[[#This Row],[statusRaw]],1+HEX2DEC(LEFT(BB$1,2))*2, 2),8) &amp; " 0x" &amp;MID(Table1[[#This Row],[statusRaw]],1+HEX2DEC(LEFT(BB$1,2))*2, 2)</f>
        <v>00000000 0x00</v>
      </c>
      <c r="BC57" s="3" t="str">
        <f>HEX2BIN(MID(Table1[[#This Row],[statusRaw]],1+HEX2DEC(LEFT(BC$1,2))*2, 2),8) &amp; " 0x" &amp;MID(Table1[[#This Row],[statusRaw]],1+HEX2DEC(LEFT(BC$1,2))*2, 2)</f>
        <v>00000000 0x00</v>
      </c>
      <c r="BD57" s="3" t="str">
        <f>MID(Table1[[#This Row],[statusRaw]],1+HEX2DEC(LEFT(BD$1,2))*2, 8)</f>
        <v>000008C5</v>
      </c>
      <c r="BE57" s="3" t="str">
        <f>MID(Table1[[#This Row],[statusRaw]],1+HEX2DEC(LEFT(BE$1,2))*2, 8)</f>
        <v>000008C5</v>
      </c>
      <c r="BF57" s="9"/>
    </row>
    <row r="58" spans="1:58" x14ac:dyDescent="0.25">
      <c r="A58" s="1" t="s">
        <v>174</v>
      </c>
      <c r="B58" s="1" t="s">
        <v>175</v>
      </c>
      <c r="C58" s="1" t="s">
        <v>7</v>
      </c>
      <c r="D58" s="1" t="s">
        <v>176</v>
      </c>
      <c r="E58" s="1">
        <v>18</v>
      </c>
      <c r="F58" s="3" t="str">
        <f>HEX2BIN(MID(Table1[[#This Row],[statusRaw]],1+HEX2DEC(LEFT(F$1,2))*2, 2),8) &amp; " 0x" &amp;MID(Table1[[#This Row],[statusRaw]],1+HEX2DEC(LEFT(F$1,2))*2, 2)</f>
        <v>01010000 0x50</v>
      </c>
      <c r="G58" s="3" t="b">
        <f>MID(Table1[[#This Row],[03 - pump status (1)]],1,1)="1"</f>
        <v>0</v>
      </c>
      <c r="H58" s="3" t="b">
        <f>MID(Table1[[#This Row],[03 - pump status (1)]],2,1)="1"</f>
        <v>1</v>
      </c>
      <c r="I58" s="3" t="b">
        <f>MID(Table1[[#This Row],[03 - pump status (1)]],3,1)="1"</f>
        <v>0</v>
      </c>
      <c r="J58" s="3" t="b">
        <f>MID(Table1[[#This Row],[03 - pump status (1)]],4,1)="1"</f>
        <v>1</v>
      </c>
      <c r="K58" s="3" t="b">
        <f>MID(Table1[[#This Row],[03 - pump status (1)]],5,1)="1"</f>
        <v>0</v>
      </c>
      <c r="L58" s="3" t="b">
        <f>MID(Table1[[#This Row],[03 - pump status (1)]],6,1)="1"</f>
        <v>0</v>
      </c>
      <c r="M58" s="3" t="b">
        <f>MID(Table1[[#This Row],[03 - pump status (1)]],7,1)="1"</f>
        <v>0</v>
      </c>
      <c r="N58" s="3" t="b">
        <f>MID(Table1[[#This Row],[03 - pump status (1)]],8,1)="1"</f>
        <v>0</v>
      </c>
      <c r="O58" s="3" t="str">
        <f>MID(Table1[[#This Row],[statusRaw]],1+HEX2DEC(LEFT(O$1,2))*2, 8)</f>
        <v>00000000</v>
      </c>
      <c r="P58" s="3" t="str">
        <f>MID(Table1[[#This Row],[statusRaw]],1+HEX2DEC(LEFT(P$1,2))*2, 8)</f>
        <v>00000000</v>
      </c>
      <c r="Q58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58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58" s="3">
        <f>HEX2DEC(MID(Table1[[#This Row],[statusRaw]],1+HEX2DEC(LEFT(S$1,2))*2, 8))/10000</f>
        <v>1</v>
      </c>
      <c r="T58" s="3" t="str">
        <f>MID(Table1[[#This Row],[statusRaw]],1+HEX2DEC(LEFT(T$1,2))*2, 8)</f>
        <v>2789ECB3</v>
      </c>
      <c r="U58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58" s="3" t="str">
        <f>HEX2BIN(MID(Table1[[#This Row],[statusRaw]],1+HEX2DEC(LEFT(V$1,2))*2, 2),8) &amp; " 0x" &amp;MID(Table1[[#This Row],[statusRaw]],1+HEX2DEC(LEFT(V$1,2))*2, 2)</f>
        <v>00000001 0x01</v>
      </c>
      <c r="W58" s="3">
        <f>HEX2DEC(MID(Table1[[#This Row],[statusRaw]],1+HEX2DEC(LEFT(W$1,2))*2, 8))/10000</f>
        <v>0.72499999999999998</v>
      </c>
      <c r="X58" s="3">
        <f>HEX2DEC(MID(Table1[[#This Row],[statusRaw]],1+HEX2DEC(LEFT(X$1,2))*2, 8))/10000</f>
        <v>0</v>
      </c>
      <c r="Y58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58" s="3">
        <f>HEX2DEC(MID(Table1[[#This Row],[statusRaw]],1+HEX2DEC(LEFT(Z$1,2))*2, 8))/10000</f>
        <v>8.625</v>
      </c>
      <c r="AA58" s="3">
        <f>HEX2DEC(MID(Table1[[#This Row],[statusRaw]],1+HEX2DEC(LEFT(AA$1,2))*2, 2))</f>
        <v>50</v>
      </c>
      <c r="AB58" s="3">
        <f>HEX2DEC(MID(Table1[[#This Row],[statusRaw]],1+HEX2DEC(LEFT(AB$1,2))*2, 8))/10000</f>
        <v>78.849999999999994</v>
      </c>
      <c r="AC58" s="3">
        <f>HEX2DEC(MID(Table1[[#This Row],[statusRaw]],1+HEX2DEC(LEFT(AC$1,2))*2, 2))</f>
        <v>25</v>
      </c>
      <c r="AD58" s="3">
        <f>HEX2DEC(MID(Table1[[#This Row],[statusRaw]],1+HEX2DEC(LEFT(AD$1,2))*2, 2))</f>
        <v>0</v>
      </c>
      <c r="AE58" s="3">
        <f>HEX2DEC(MID(Table1[[#This Row],[statusRaw]],1+HEX2DEC(LEFT(AE$1,2))*2, 8))/10000</f>
        <v>0.3</v>
      </c>
      <c r="AF58" s="3">
        <f>IF(AND(Table1[[#This Row],[cgm]],NOT(Table1[[#This Row],[35 - SGV special bit (2)]])), _xlfn.BITAND(HEX2DEC(MID(Table1[[#This Row],[statusRaw]],1+HEX2DEC(LEFT(AF$1,2))*2, 4)),HEX2DEC("1FF")),"")</f>
        <v>200</v>
      </c>
      <c r="AG58" s="3" t="b">
        <f>_xlfn.BITAND(HEX2DEC(MID(Table1[[#This Row],[statusRaw]],1+HEX2DEC(LEFT(AG$1,2))*2, 4)),512)=512</f>
        <v>0</v>
      </c>
      <c r="AH58" s="3" t="str">
        <f>MID(Table1[[#This Row],[statusRaw]],1+HEX2DEC(LEFT(AF$1,2))*2, 8)</f>
        <v>00C88674</v>
      </c>
      <c r="AI58" s="3" t="str">
        <f>MID(Table1[[#This Row],[statusRaw]],1+HEX2DEC(LEFT(AH$1,2))*2, 8)</f>
        <v>86741462</v>
      </c>
      <c r="AJ58" s="3" t="str">
        <f>HEX2BIN(MID(Table1[[#This Row],[statusRaw]],1+HEX2DEC(LEFT(AJ$1,2))*2, 2),8) &amp; " 0x" &amp;MID(Table1[[#This Row],[statusRaw]],1+HEX2DEC(LEFT(AJ$1,2))*2, 2)</f>
        <v>00000101 0x05</v>
      </c>
      <c r="AK58" s="1" t="str">
        <f>HEX2BIN(MID(Table1[[#This Row],[statusRaw]],1+HEX2DEC(LEFT(AK$1,2))*2, 2),8) &amp; " 0x" &amp;MID(Table1[[#This Row],[statusRaw]],1+HEX2DEC(LEFT(AK$1,2))*2, 2)</f>
        <v>01100000 0x60</v>
      </c>
      <c r="AL58" s="1" t="str">
        <f>VLOOKUP(Table1[[#This Row],[40 trend]],'Arrow status mapping'!$A$1:$B$8,2,FALSE)</f>
        <v>No arrows</v>
      </c>
      <c r="AM58" s="3" t="str">
        <f>HEX2BIN(MID(Table1[[#This Row],[statusRaw]],1+HEX2DEC(LEFT(AM$1,2))*2, 2),8) &amp; " 0x" &amp;MID(Table1[[#This Row],[statusRaw]],1+HEX2DEC(LEFT(AM$1,2))*2, 2)</f>
        <v>00010000 0x10</v>
      </c>
      <c r="AN58" s="3" t="str">
        <f>HEX2BIN(MID(Table1[[#This Row],[statusRaw]],1+HEX2DEC(LEFT(AN$1,2))*2, 2),8) &amp; " 0x" &amp;MID(Table1[[#This Row],[statusRaw]],1+HEX2DEC(LEFT(AN$1,2))*2, 2)</f>
        <v>00000000 0x00</v>
      </c>
      <c r="AO58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0x019A 410</v>
      </c>
      <c r="AP58" s="1" t="str">
        <f>HEX2BIN(MID(Table1[[#This Row],[statusRaw]],1+HEX2DEC(LEFT(AP$1,2))*2, 2),8) &amp; " 0x" &amp;MID(Table1[[#This Row],[statusRaw]],1+HEX2DEC(LEFT(AP$1,2))*2, 2)</f>
        <v>00101011 0x2B</v>
      </c>
      <c r="AQ58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0x0050 80</v>
      </c>
      <c r="AR58" s="3">
        <f>TRUNC(_xlfn.NUMBERVALUE(RIGHT(Table1[[#This Row],[46 rate of change (2)]],LEN(Table1[[#This Row],[46 rate of change (2)]])-7))/100)</f>
        <v>0</v>
      </c>
      <c r="AS58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58" s="3" t="b">
        <f>Table1[[#This Row],[calc arrow]]=Table1[[#This Row],[trend]]</f>
        <v>1</v>
      </c>
      <c r="AU58" s="3" t="str">
        <f>HEX2BIN(MID(Table1[[#This Row],[statusRaw]],1+HEX2DEC(LEFT(AU$1,2))*2, 2),8) &amp; " 0x" &amp;MID(Table1[[#This Row],[statusRaw]],1+HEX2DEC(LEFT(AU$1,2))*2, 2)</f>
        <v>00000000 0x00</v>
      </c>
      <c r="AV58" s="3">
        <f>HEX2DEC(MID(Table1[[#This Row],[statusRaw]],1+HEX2DEC(LEFT(AV$1,2))*2, 4))</f>
        <v>0</v>
      </c>
      <c r="AW58" s="3" t="str">
        <f>HEX2BIN(MID(Table1[[#This Row],[statusRaw]],1+HEX2DEC(LEFT(AW$1,2))*2, 2),8) &amp; " 0x" &amp;MID(Table1[[#This Row],[statusRaw]],1+HEX2DEC(LEFT(AW$1,2))*2, 2)</f>
        <v>00000000 0x00</v>
      </c>
      <c r="AX58" s="3" t="str">
        <f>HEX2BIN(MID(Table1[[#This Row],[statusRaw]],1+HEX2DEC(LEFT(AX$1,2))*2, 2),8) &amp; " 0x" &amp;MID(Table1[[#This Row],[statusRaw]],1+HEX2DEC(LEFT(AX$1,2))*2, 2)</f>
        <v>00000000 0x00</v>
      </c>
      <c r="AY58" s="3" t="str">
        <f>MID(Table1[[#This Row],[statusRaw]],1+HEX2DEC(LEFT(AY$1,2))*2, 8)</f>
        <v>00000000</v>
      </c>
      <c r="AZ58" s="3" t="str">
        <f>MID(Table1[[#This Row],[statusRaw]],1+HEX2DEC(LEFT(AZ$1,2))*2, 8)</f>
        <v>00000000</v>
      </c>
      <c r="BA58" s="3" t="str">
        <f>HEX2BIN(MID(Table1[[#This Row],[statusRaw]],1+HEX2DEC(LEFT(BA$1,2))*2, 2),8) &amp; " 0x" &amp;MID(Table1[[#This Row],[statusRaw]],1+HEX2DEC(LEFT(BA$1,2))*2, 2)</f>
        <v>00000000 0x00</v>
      </c>
      <c r="BB58" s="3" t="str">
        <f>HEX2BIN(MID(Table1[[#This Row],[statusRaw]],1+HEX2DEC(LEFT(BB$1,2))*2, 2),8) &amp; " 0x" &amp;MID(Table1[[#This Row],[statusRaw]],1+HEX2DEC(LEFT(BB$1,2))*2, 2)</f>
        <v>00000000 0x00</v>
      </c>
      <c r="BC58" s="3" t="str">
        <f>HEX2BIN(MID(Table1[[#This Row],[statusRaw]],1+HEX2DEC(LEFT(BC$1,2))*2, 2),8) &amp; " 0x" &amp;MID(Table1[[#This Row],[statusRaw]],1+HEX2DEC(LEFT(BC$1,2))*2, 2)</f>
        <v>00000000 0x00</v>
      </c>
      <c r="BD58" s="3" t="str">
        <f>MID(Table1[[#This Row],[statusRaw]],1+HEX2DEC(LEFT(BD$1,2))*2, 8)</f>
        <v>000008C5</v>
      </c>
      <c r="BE58" s="3" t="str">
        <f>MID(Table1[[#This Row],[statusRaw]],1+HEX2DEC(LEFT(BE$1,2))*2, 8)</f>
        <v>000008C5</v>
      </c>
      <c r="BF58" s="9"/>
    </row>
    <row r="59" spans="1:58" x14ac:dyDescent="0.25">
      <c r="A59" s="1" t="s">
        <v>177</v>
      </c>
      <c r="B59" s="1" t="s">
        <v>178</v>
      </c>
      <c r="C59" s="1" t="s">
        <v>7</v>
      </c>
      <c r="D59" s="1" t="s">
        <v>179</v>
      </c>
      <c r="E59" s="1">
        <v>18</v>
      </c>
      <c r="F59" s="3" t="str">
        <f>HEX2BIN(MID(Table1[[#This Row],[statusRaw]],1+HEX2DEC(LEFT(F$1,2))*2, 2),8) &amp; " 0x" &amp;MID(Table1[[#This Row],[statusRaw]],1+HEX2DEC(LEFT(F$1,2))*2, 2)</f>
        <v>01010000 0x50</v>
      </c>
      <c r="G59" s="3" t="b">
        <f>MID(Table1[[#This Row],[03 - pump status (1)]],1,1)="1"</f>
        <v>0</v>
      </c>
      <c r="H59" s="3" t="b">
        <f>MID(Table1[[#This Row],[03 - pump status (1)]],2,1)="1"</f>
        <v>1</v>
      </c>
      <c r="I59" s="3" t="b">
        <f>MID(Table1[[#This Row],[03 - pump status (1)]],3,1)="1"</f>
        <v>0</v>
      </c>
      <c r="J59" s="3" t="b">
        <f>MID(Table1[[#This Row],[03 - pump status (1)]],4,1)="1"</f>
        <v>1</v>
      </c>
      <c r="K59" s="3" t="b">
        <f>MID(Table1[[#This Row],[03 - pump status (1)]],5,1)="1"</f>
        <v>0</v>
      </c>
      <c r="L59" s="3" t="b">
        <f>MID(Table1[[#This Row],[03 - pump status (1)]],6,1)="1"</f>
        <v>0</v>
      </c>
      <c r="M59" s="3" t="b">
        <f>MID(Table1[[#This Row],[03 - pump status (1)]],7,1)="1"</f>
        <v>0</v>
      </c>
      <c r="N59" s="3" t="b">
        <f>MID(Table1[[#This Row],[03 - pump status (1)]],8,1)="1"</f>
        <v>0</v>
      </c>
      <c r="O59" s="3" t="str">
        <f>MID(Table1[[#This Row],[statusRaw]],1+HEX2DEC(LEFT(O$1,2))*2, 8)</f>
        <v>00000000</v>
      </c>
      <c r="P59" s="3" t="str">
        <f>MID(Table1[[#This Row],[statusRaw]],1+HEX2DEC(LEFT(P$1,2))*2, 8)</f>
        <v>00000000</v>
      </c>
      <c r="Q59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59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59" s="3">
        <f>HEX2DEC(MID(Table1[[#This Row],[statusRaw]],1+HEX2DEC(LEFT(S$1,2))*2, 8))/10000</f>
        <v>1</v>
      </c>
      <c r="T59" s="3" t="str">
        <f>MID(Table1[[#This Row],[statusRaw]],1+HEX2DEC(LEFT(T$1,2))*2, 8)</f>
        <v>2789ECB3</v>
      </c>
      <c r="U59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59" s="3" t="str">
        <f>HEX2BIN(MID(Table1[[#This Row],[statusRaw]],1+HEX2DEC(LEFT(V$1,2))*2, 2),8) &amp; " 0x" &amp;MID(Table1[[#This Row],[statusRaw]],1+HEX2DEC(LEFT(V$1,2))*2, 2)</f>
        <v>00000001 0x01</v>
      </c>
      <c r="W59" s="3">
        <f>HEX2DEC(MID(Table1[[#This Row],[statusRaw]],1+HEX2DEC(LEFT(W$1,2))*2, 8))/10000</f>
        <v>0.72499999999999998</v>
      </c>
      <c r="X59" s="3">
        <f>HEX2DEC(MID(Table1[[#This Row],[statusRaw]],1+HEX2DEC(LEFT(X$1,2))*2, 8))/10000</f>
        <v>0</v>
      </c>
      <c r="Y59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59" s="3">
        <f>HEX2DEC(MID(Table1[[#This Row],[statusRaw]],1+HEX2DEC(LEFT(Z$1,2))*2, 8))/10000</f>
        <v>8.5500000000000007</v>
      </c>
      <c r="AA59" s="3">
        <f>HEX2DEC(MID(Table1[[#This Row],[statusRaw]],1+HEX2DEC(LEFT(AA$1,2))*2, 2))</f>
        <v>50</v>
      </c>
      <c r="AB59" s="3">
        <f>HEX2DEC(MID(Table1[[#This Row],[statusRaw]],1+HEX2DEC(LEFT(AB$1,2))*2, 8))/10000</f>
        <v>78.924999999999997</v>
      </c>
      <c r="AC59" s="3">
        <f>HEX2DEC(MID(Table1[[#This Row],[statusRaw]],1+HEX2DEC(LEFT(AC$1,2))*2, 2))</f>
        <v>25</v>
      </c>
      <c r="AD59" s="3">
        <f>HEX2DEC(MID(Table1[[#This Row],[statusRaw]],1+HEX2DEC(LEFT(AD$1,2))*2, 2))</f>
        <v>0</v>
      </c>
      <c r="AE59" s="3">
        <f>HEX2DEC(MID(Table1[[#This Row],[statusRaw]],1+HEX2DEC(LEFT(AE$1,2))*2, 8))/10000</f>
        <v>0.3</v>
      </c>
      <c r="AF59" s="3">
        <f>IF(AND(Table1[[#This Row],[cgm]],NOT(Table1[[#This Row],[35 - SGV special bit (2)]])), _xlfn.BITAND(HEX2DEC(MID(Table1[[#This Row],[statusRaw]],1+HEX2DEC(LEFT(AF$1,2))*2, 4)),HEX2DEC("1FF")),"")</f>
        <v>193</v>
      </c>
      <c r="AG59" s="3" t="b">
        <f>_xlfn.BITAND(HEX2DEC(MID(Table1[[#This Row],[statusRaw]],1+HEX2DEC(LEFT(AG$1,2))*2, 4)),512)=512</f>
        <v>0</v>
      </c>
      <c r="AH59" s="3" t="str">
        <f>MID(Table1[[#This Row],[statusRaw]],1+HEX2DEC(LEFT(AF$1,2))*2, 8)</f>
        <v>00C18674</v>
      </c>
      <c r="AI59" s="3" t="str">
        <f>MID(Table1[[#This Row],[statusRaw]],1+HEX2DEC(LEFT(AH$1,2))*2, 8)</f>
        <v>86741336</v>
      </c>
      <c r="AJ59" s="3" t="str">
        <f>HEX2BIN(MID(Table1[[#This Row],[statusRaw]],1+HEX2DEC(LEFT(AJ$1,2))*2, 2),8) &amp; " 0x" &amp;MID(Table1[[#This Row],[statusRaw]],1+HEX2DEC(LEFT(AJ$1,2))*2, 2)</f>
        <v>00000100 0x04</v>
      </c>
      <c r="AK59" s="1" t="str">
        <f>HEX2BIN(MID(Table1[[#This Row],[statusRaw]],1+HEX2DEC(LEFT(AK$1,2))*2, 2),8) &amp; " 0x" &amp;MID(Table1[[#This Row],[statusRaw]],1+HEX2DEC(LEFT(AK$1,2))*2, 2)</f>
        <v>01100000 0x60</v>
      </c>
      <c r="AL59" s="1" t="str">
        <f>VLOOKUP(Table1[[#This Row],[40 trend]],'Arrow status mapping'!$A$1:$B$8,2,FALSE)</f>
        <v>No arrows</v>
      </c>
      <c r="AM59" s="3" t="str">
        <f>HEX2BIN(MID(Table1[[#This Row],[statusRaw]],1+HEX2DEC(LEFT(AM$1,2))*2, 2),8) &amp; " 0x" &amp;MID(Table1[[#This Row],[statusRaw]],1+HEX2DEC(LEFT(AM$1,2))*2, 2)</f>
        <v>00010000 0x10</v>
      </c>
      <c r="AN59" s="3" t="str">
        <f>HEX2BIN(MID(Table1[[#This Row],[statusRaw]],1+HEX2DEC(LEFT(AN$1,2))*2, 2),8) &amp; " 0x" &amp;MID(Table1[[#This Row],[statusRaw]],1+HEX2DEC(LEFT(AN$1,2))*2, 2)</f>
        <v>00000000 0x00</v>
      </c>
      <c r="AO59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0x019F 415</v>
      </c>
      <c r="AP59" s="1" t="str">
        <f>HEX2BIN(MID(Table1[[#This Row],[statusRaw]],1+HEX2DEC(LEFT(AP$1,2))*2, 2),8) &amp; " 0x" &amp;MID(Table1[[#This Row],[statusRaw]],1+HEX2DEC(LEFT(AP$1,2))*2, 2)</f>
        <v>00101011 0x2B</v>
      </c>
      <c r="AQ59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0x0050 80</v>
      </c>
      <c r="AR59" s="3">
        <f>TRUNC(_xlfn.NUMBERVALUE(RIGHT(Table1[[#This Row],[46 rate of change (2)]],LEN(Table1[[#This Row],[46 rate of change (2)]])-7))/100)</f>
        <v>0</v>
      </c>
      <c r="AS59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59" s="3" t="b">
        <f>Table1[[#This Row],[calc arrow]]=Table1[[#This Row],[trend]]</f>
        <v>1</v>
      </c>
      <c r="AU59" s="3" t="str">
        <f>HEX2BIN(MID(Table1[[#This Row],[statusRaw]],1+HEX2DEC(LEFT(AU$1,2))*2, 2),8) &amp; " 0x" &amp;MID(Table1[[#This Row],[statusRaw]],1+HEX2DEC(LEFT(AU$1,2))*2, 2)</f>
        <v>00000000 0x00</v>
      </c>
      <c r="AV59" s="3">
        <f>HEX2DEC(MID(Table1[[#This Row],[statusRaw]],1+HEX2DEC(LEFT(AV$1,2))*2, 4))</f>
        <v>0</v>
      </c>
      <c r="AW59" s="3" t="str">
        <f>HEX2BIN(MID(Table1[[#This Row],[statusRaw]],1+HEX2DEC(LEFT(AW$1,2))*2, 2),8) &amp; " 0x" &amp;MID(Table1[[#This Row],[statusRaw]],1+HEX2DEC(LEFT(AW$1,2))*2, 2)</f>
        <v>00000000 0x00</v>
      </c>
      <c r="AX59" s="3" t="str">
        <f>HEX2BIN(MID(Table1[[#This Row],[statusRaw]],1+HEX2DEC(LEFT(AX$1,2))*2, 2),8) &amp; " 0x" &amp;MID(Table1[[#This Row],[statusRaw]],1+HEX2DEC(LEFT(AX$1,2))*2, 2)</f>
        <v>00000000 0x00</v>
      </c>
      <c r="AY59" s="3" t="str">
        <f>MID(Table1[[#This Row],[statusRaw]],1+HEX2DEC(LEFT(AY$1,2))*2, 8)</f>
        <v>00000000</v>
      </c>
      <c r="AZ59" s="3" t="str">
        <f>MID(Table1[[#This Row],[statusRaw]],1+HEX2DEC(LEFT(AZ$1,2))*2, 8)</f>
        <v>00000000</v>
      </c>
      <c r="BA59" s="3" t="str">
        <f>HEX2BIN(MID(Table1[[#This Row],[statusRaw]],1+HEX2DEC(LEFT(BA$1,2))*2, 2),8) &amp; " 0x" &amp;MID(Table1[[#This Row],[statusRaw]],1+HEX2DEC(LEFT(BA$1,2))*2, 2)</f>
        <v>00000000 0x00</v>
      </c>
      <c r="BB59" s="3" t="str">
        <f>HEX2BIN(MID(Table1[[#This Row],[statusRaw]],1+HEX2DEC(LEFT(BB$1,2))*2, 2),8) &amp; " 0x" &amp;MID(Table1[[#This Row],[statusRaw]],1+HEX2DEC(LEFT(BB$1,2))*2, 2)</f>
        <v>00000000 0x00</v>
      </c>
      <c r="BC59" s="3" t="str">
        <f>HEX2BIN(MID(Table1[[#This Row],[statusRaw]],1+HEX2DEC(LEFT(BC$1,2))*2, 2),8) &amp; " 0x" &amp;MID(Table1[[#This Row],[statusRaw]],1+HEX2DEC(LEFT(BC$1,2))*2, 2)</f>
        <v>00000000 0x00</v>
      </c>
      <c r="BD59" s="3" t="str">
        <f>MID(Table1[[#This Row],[statusRaw]],1+HEX2DEC(LEFT(BD$1,2))*2, 8)</f>
        <v>000008C5</v>
      </c>
      <c r="BE59" s="3" t="str">
        <f>MID(Table1[[#This Row],[statusRaw]],1+HEX2DEC(LEFT(BE$1,2))*2, 8)</f>
        <v>000008C5</v>
      </c>
      <c r="BF59" s="9"/>
    </row>
    <row r="60" spans="1:58" x14ac:dyDescent="0.25">
      <c r="A60" s="1" t="s">
        <v>180</v>
      </c>
      <c r="B60" s="1" t="s">
        <v>181</v>
      </c>
      <c r="C60" s="1" t="s">
        <v>7</v>
      </c>
      <c r="D60" s="1" t="s">
        <v>182</v>
      </c>
      <c r="E60" s="1">
        <v>18</v>
      </c>
      <c r="F60" s="3" t="str">
        <f>HEX2BIN(MID(Table1[[#This Row],[statusRaw]],1+HEX2DEC(LEFT(F$1,2))*2, 2),8) &amp; " 0x" &amp;MID(Table1[[#This Row],[statusRaw]],1+HEX2DEC(LEFT(F$1,2))*2, 2)</f>
        <v>01010000 0x50</v>
      </c>
      <c r="G60" s="3" t="b">
        <f>MID(Table1[[#This Row],[03 - pump status (1)]],1,1)="1"</f>
        <v>0</v>
      </c>
      <c r="H60" s="3" t="b">
        <f>MID(Table1[[#This Row],[03 - pump status (1)]],2,1)="1"</f>
        <v>1</v>
      </c>
      <c r="I60" s="3" t="b">
        <f>MID(Table1[[#This Row],[03 - pump status (1)]],3,1)="1"</f>
        <v>0</v>
      </c>
      <c r="J60" s="3" t="b">
        <f>MID(Table1[[#This Row],[03 - pump status (1)]],4,1)="1"</f>
        <v>1</v>
      </c>
      <c r="K60" s="3" t="b">
        <f>MID(Table1[[#This Row],[03 - pump status (1)]],5,1)="1"</f>
        <v>0</v>
      </c>
      <c r="L60" s="3" t="b">
        <f>MID(Table1[[#This Row],[03 - pump status (1)]],6,1)="1"</f>
        <v>0</v>
      </c>
      <c r="M60" s="3" t="b">
        <f>MID(Table1[[#This Row],[03 - pump status (1)]],7,1)="1"</f>
        <v>0</v>
      </c>
      <c r="N60" s="3" t="b">
        <f>MID(Table1[[#This Row],[03 - pump status (1)]],8,1)="1"</f>
        <v>0</v>
      </c>
      <c r="O60" s="3" t="str">
        <f>MID(Table1[[#This Row],[statusRaw]],1+HEX2DEC(LEFT(O$1,2))*2, 8)</f>
        <v>00000000</v>
      </c>
      <c r="P60" s="3" t="str">
        <f>MID(Table1[[#This Row],[statusRaw]],1+HEX2DEC(LEFT(P$1,2))*2, 8)</f>
        <v>00000000</v>
      </c>
      <c r="Q60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60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60" s="3">
        <f>HEX2DEC(MID(Table1[[#This Row],[statusRaw]],1+HEX2DEC(LEFT(S$1,2))*2, 8))/10000</f>
        <v>1</v>
      </c>
      <c r="T60" s="3" t="str">
        <f>MID(Table1[[#This Row],[statusRaw]],1+HEX2DEC(LEFT(T$1,2))*2, 8)</f>
        <v>2789ECB3</v>
      </c>
      <c r="U60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60" s="3" t="str">
        <f>HEX2BIN(MID(Table1[[#This Row],[statusRaw]],1+HEX2DEC(LEFT(V$1,2))*2, 2),8) &amp; " 0x" &amp;MID(Table1[[#This Row],[statusRaw]],1+HEX2DEC(LEFT(V$1,2))*2, 2)</f>
        <v>00000001 0x01</v>
      </c>
      <c r="W60" s="3">
        <f>HEX2DEC(MID(Table1[[#This Row],[statusRaw]],1+HEX2DEC(LEFT(W$1,2))*2, 8))/10000</f>
        <v>0.72499999999999998</v>
      </c>
      <c r="X60" s="3">
        <f>HEX2DEC(MID(Table1[[#This Row],[statusRaw]],1+HEX2DEC(LEFT(X$1,2))*2, 8))/10000</f>
        <v>0</v>
      </c>
      <c r="Y60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60" s="3">
        <f>HEX2DEC(MID(Table1[[#This Row],[statusRaw]],1+HEX2DEC(LEFT(Z$1,2))*2, 8))/10000</f>
        <v>8.5</v>
      </c>
      <c r="AA60" s="3">
        <f>HEX2DEC(MID(Table1[[#This Row],[statusRaw]],1+HEX2DEC(LEFT(AA$1,2))*2, 2))</f>
        <v>50</v>
      </c>
      <c r="AB60" s="3">
        <f>HEX2DEC(MID(Table1[[#This Row],[statusRaw]],1+HEX2DEC(LEFT(AB$1,2))*2, 8))/10000</f>
        <v>78.974999999999994</v>
      </c>
      <c r="AC60" s="3">
        <f>HEX2DEC(MID(Table1[[#This Row],[statusRaw]],1+HEX2DEC(LEFT(AC$1,2))*2, 2))</f>
        <v>25</v>
      </c>
      <c r="AD60" s="3">
        <f>HEX2DEC(MID(Table1[[#This Row],[statusRaw]],1+HEX2DEC(LEFT(AD$1,2))*2, 2))</f>
        <v>0</v>
      </c>
      <c r="AE60" s="3">
        <f>HEX2DEC(MID(Table1[[#This Row],[statusRaw]],1+HEX2DEC(LEFT(AE$1,2))*2, 8))/10000</f>
        <v>0.3</v>
      </c>
      <c r="AF60" s="3">
        <f>IF(AND(Table1[[#This Row],[cgm]],NOT(Table1[[#This Row],[35 - SGV special bit (2)]])), _xlfn.BITAND(HEX2DEC(MID(Table1[[#This Row],[statusRaw]],1+HEX2DEC(LEFT(AF$1,2))*2, 4)),HEX2DEC("1FF")),"")</f>
        <v>189</v>
      </c>
      <c r="AG60" s="3" t="b">
        <f>_xlfn.BITAND(HEX2DEC(MID(Table1[[#This Row],[statusRaw]],1+HEX2DEC(LEFT(AG$1,2))*2, 4)),512)=512</f>
        <v>0</v>
      </c>
      <c r="AH60" s="3" t="str">
        <f>MID(Table1[[#This Row],[statusRaw]],1+HEX2DEC(LEFT(AF$1,2))*2, 8)</f>
        <v>00BD8674</v>
      </c>
      <c r="AI60" s="3" t="str">
        <f>MID(Table1[[#This Row],[statusRaw]],1+HEX2DEC(LEFT(AH$1,2))*2, 8)</f>
        <v>8674120A</v>
      </c>
      <c r="AJ60" s="3" t="str">
        <f>HEX2BIN(MID(Table1[[#This Row],[statusRaw]],1+HEX2DEC(LEFT(AJ$1,2))*2, 2),8) &amp; " 0x" &amp;MID(Table1[[#This Row],[statusRaw]],1+HEX2DEC(LEFT(AJ$1,2))*2, 2)</f>
        <v>00000100 0x04</v>
      </c>
      <c r="AK60" s="1" t="str">
        <f>HEX2BIN(MID(Table1[[#This Row],[statusRaw]],1+HEX2DEC(LEFT(AK$1,2))*2, 2),8) &amp; " 0x" &amp;MID(Table1[[#This Row],[statusRaw]],1+HEX2DEC(LEFT(AK$1,2))*2, 2)</f>
        <v>10000000 0x80</v>
      </c>
      <c r="AL60" s="1" t="str">
        <f>VLOOKUP(Table1[[#This Row],[40 trend]],'Arrow status mapping'!$A$1:$B$8,2,FALSE)</f>
        <v>1 arrows up</v>
      </c>
      <c r="AM60" s="3" t="str">
        <f>HEX2BIN(MID(Table1[[#This Row],[statusRaw]],1+HEX2DEC(LEFT(AM$1,2))*2, 2),8) &amp; " 0x" &amp;MID(Table1[[#This Row],[statusRaw]],1+HEX2DEC(LEFT(AM$1,2))*2, 2)</f>
        <v>00010000 0x10</v>
      </c>
      <c r="AN60" s="3" t="str">
        <f>HEX2BIN(MID(Table1[[#This Row],[statusRaw]],1+HEX2DEC(LEFT(AN$1,2))*2, 2),8) &amp; " 0x" &amp;MID(Table1[[#This Row],[statusRaw]],1+HEX2DEC(LEFT(AN$1,2))*2, 2)</f>
        <v>00000000 0x00</v>
      </c>
      <c r="AO60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0x01A4 420</v>
      </c>
      <c r="AP60" s="1" t="str">
        <f>HEX2BIN(MID(Table1[[#This Row],[statusRaw]],1+HEX2DEC(LEFT(AP$1,2))*2, 2),8) &amp; " 0x" &amp;MID(Table1[[#This Row],[statusRaw]],1+HEX2DEC(LEFT(AP$1,2))*2, 2)</f>
        <v>00101011 0x2B</v>
      </c>
      <c r="AQ60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0x00A3 163</v>
      </c>
      <c r="AR60" s="3">
        <f>TRUNC(_xlfn.NUMBERVALUE(RIGHT(Table1[[#This Row],[46 rate of change (2)]],LEN(Table1[[#This Row],[46 rate of change (2)]])-7))/100)</f>
        <v>1</v>
      </c>
      <c r="AS60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up</v>
      </c>
      <c r="AT60" s="3" t="b">
        <f>Table1[[#This Row],[calc arrow]]=Table1[[#This Row],[trend]]</f>
        <v>1</v>
      </c>
      <c r="AU60" s="3" t="str">
        <f>HEX2BIN(MID(Table1[[#This Row],[statusRaw]],1+HEX2DEC(LEFT(AU$1,2))*2, 2),8) &amp; " 0x" &amp;MID(Table1[[#This Row],[statusRaw]],1+HEX2DEC(LEFT(AU$1,2))*2, 2)</f>
        <v>00000000 0x00</v>
      </c>
      <c r="AV60" s="3">
        <f>HEX2DEC(MID(Table1[[#This Row],[statusRaw]],1+HEX2DEC(LEFT(AV$1,2))*2, 4))</f>
        <v>0</v>
      </c>
      <c r="AW60" s="3" t="str">
        <f>HEX2BIN(MID(Table1[[#This Row],[statusRaw]],1+HEX2DEC(LEFT(AW$1,2))*2, 2),8) &amp; " 0x" &amp;MID(Table1[[#This Row],[statusRaw]],1+HEX2DEC(LEFT(AW$1,2))*2, 2)</f>
        <v>00000000 0x00</v>
      </c>
      <c r="AX60" s="3" t="str">
        <f>HEX2BIN(MID(Table1[[#This Row],[statusRaw]],1+HEX2DEC(LEFT(AX$1,2))*2, 2),8) &amp; " 0x" &amp;MID(Table1[[#This Row],[statusRaw]],1+HEX2DEC(LEFT(AX$1,2))*2, 2)</f>
        <v>00000000 0x00</v>
      </c>
      <c r="AY60" s="3" t="str">
        <f>MID(Table1[[#This Row],[statusRaw]],1+HEX2DEC(LEFT(AY$1,2))*2, 8)</f>
        <v>00000000</v>
      </c>
      <c r="AZ60" s="3" t="str">
        <f>MID(Table1[[#This Row],[statusRaw]],1+HEX2DEC(LEFT(AZ$1,2))*2, 8)</f>
        <v>00000000</v>
      </c>
      <c r="BA60" s="3" t="str">
        <f>HEX2BIN(MID(Table1[[#This Row],[statusRaw]],1+HEX2DEC(LEFT(BA$1,2))*2, 2),8) &amp; " 0x" &amp;MID(Table1[[#This Row],[statusRaw]],1+HEX2DEC(LEFT(BA$1,2))*2, 2)</f>
        <v>00000000 0x00</v>
      </c>
      <c r="BB60" s="3" t="str">
        <f>HEX2BIN(MID(Table1[[#This Row],[statusRaw]],1+HEX2DEC(LEFT(BB$1,2))*2, 2),8) &amp; " 0x" &amp;MID(Table1[[#This Row],[statusRaw]],1+HEX2DEC(LEFT(BB$1,2))*2, 2)</f>
        <v>00000000 0x00</v>
      </c>
      <c r="BC60" s="3" t="str">
        <f>HEX2BIN(MID(Table1[[#This Row],[statusRaw]],1+HEX2DEC(LEFT(BC$1,2))*2, 2),8) &amp; " 0x" &amp;MID(Table1[[#This Row],[statusRaw]],1+HEX2DEC(LEFT(BC$1,2))*2, 2)</f>
        <v>00000000 0x00</v>
      </c>
      <c r="BD60" s="3" t="str">
        <f>MID(Table1[[#This Row],[statusRaw]],1+HEX2DEC(LEFT(BD$1,2))*2, 8)</f>
        <v>000008C5</v>
      </c>
      <c r="BE60" s="3" t="str">
        <f>MID(Table1[[#This Row],[statusRaw]],1+HEX2DEC(LEFT(BE$1,2))*2, 8)</f>
        <v>000008C5</v>
      </c>
      <c r="BF60" s="9"/>
    </row>
    <row r="61" spans="1:58" x14ac:dyDescent="0.25">
      <c r="A61" s="1" t="s">
        <v>183</v>
      </c>
      <c r="B61" s="1" t="s">
        <v>184</v>
      </c>
      <c r="C61" s="1" t="s">
        <v>7</v>
      </c>
      <c r="D61" s="1" t="s">
        <v>185</v>
      </c>
      <c r="E61" s="1">
        <v>17</v>
      </c>
      <c r="F61" s="3" t="str">
        <f>HEX2BIN(MID(Table1[[#This Row],[statusRaw]],1+HEX2DEC(LEFT(F$1,2))*2, 2),8) &amp; " 0x" &amp;MID(Table1[[#This Row],[statusRaw]],1+HEX2DEC(LEFT(F$1,2))*2, 2)</f>
        <v>01010000 0x50</v>
      </c>
      <c r="G61" s="3" t="b">
        <f>MID(Table1[[#This Row],[03 - pump status (1)]],1,1)="1"</f>
        <v>0</v>
      </c>
      <c r="H61" s="3" t="b">
        <f>MID(Table1[[#This Row],[03 - pump status (1)]],2,1)="1"</f>
        <v>1</v>
      </c>
      <c r="I61" s="3" t="b">
        <f>MID(Table1[[#This Row],[03 - pump status (1)]],3,1)="1"</f>
        <v>0</v>
      </c>
      <c r="J61" s="3" t="b">
        <f>MID(Table1[[#This Row],[03 - pump status (1)]],4,1)="1"</f>
        <v>1</v>
      </c>
      <c r="K61" s="3" t="b">
        <f>MID(Table1[[#This Row],[03 - pump status (1)]],5,1)="1"</f>
        <v>0</v>
      </c>
      <c r="L61" s="3" t="b">
        <f>MID(Table1[[#This Row],[03 - pump status (1)]],6,1)="1"</f>
        <v>0</v>
      </c>
      <c r="M61" s="3" t="b">
        <f>MID(Table1[[#This Row],[03 - pump status (1)]],7,1)="1"</f>
        <v>0</v>
      </c>
      <c r="N61" s="3" t="b">
        <f>MID(Table1[[#This Row],[03 - pump status (1)]],8,1)="1"</f>
        <v>0</v>
      </c>
      <c r="O61" s="3" t="str">
        <f>MID(Table1[[#This Row],[statusRaw]],1+HEX2DEC(LEFT(O$1,2))*2, 8)</f>
        <v>00000000</v>
      </c>
      <c r="P61" s="3" t="str">
        <f>MID(Table1[[#This Row],[statusRaw]],1+HEX2DEC(LEFT(P$1,2))*2, 8)</f>
        <v>00000000</v>
      </c>
      <c r="Q61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61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61" s="3">
        <f>HEX2DEC(MID(Table1[[#This Row],[statusRaw]],1+HEX2DEC(LEFT(S$1,2))*2, 8))/10000</f>
        <v>1</v>
      </c>
      <c r="T61" s="3" t="str">
        <f>MID(Table1[[#This Row],[statusRaw]],1+HEX2DEC(LEFT(T$1,2))*2, 8)</f>
        <v>2789ECB3</v>
      </c>
      <c r="U61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61" s="3" t="str">
        <f>HEX2BIN(MID(Table1[[#This Row],[statusRaw]],1+HEX2DEC(LEFT(V$1,2))*2, 2),8) &amp; " 0x" &amp;MID(Table1[[#This Row],[statusRaw]],1+HEX2DEC(LEFT(V$1,2))*2, 2)</f>
        <v>00000001 0x01</v>
      </c>
      <c r="W61" s="3">
        <f>HEX2DEC(MID(Table1[[#This Row],[statusRaw]],1+HEX2DEC(LEFT(W$1,2))*2, 8))/10000</f>
        <v>0.6</v>
      </c>
      <c r="X61" s="3">
        <f>HEX2DEC(MID(Table1[[#This Row],[statusRaw]],1+HEX2DEC(LEFT(X$1,2))*2, 8))/10000</f>
        <v>0</v>
      </c>
      <c r="Y61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61" s="3">
        <f>HEX2DEC(MID(Table1[[#This Row],[statusRaw]],1+HEX2DEC(LEFT(Z$1,2))*2, 8))/10000</f>
        <v>8.4250000000000007</v>
      </c>
      <c r="AA61" s="3">
        <f>HEX2DEC(MID(Table1[[#This Row],[statusRaw]],1+HEX2DEC(LEFT(AA$1,2))*2, 2))</f>
        <v>50</v>
      </c>
      <c r="AB61" s="3">
        <f>HEX2DEC(MID(Table1[[#This Row],[statusRaw]],1+HEX2DEC(LEFT(AB$1,2))*2, 8))/10000</f>
        <v>79.05</v>
      </c>
      <c r="AC61" s="3">
        <f>HEX2DEC(MID(Table1[[#This Row],[statusRaw]],1+HEX2DEC(LEFT(AC$1,2))*2, 2))</f>
        <v>25</v>
      </c>
      <c r="AD61" s="3">
        <f>HEX2DEC(MID(Table1[[#This Row],[statusRaw]],1+HEX2DEC(LEFT(AD$1,2))*2, 2))</f>
        <v>0</v>
      </c>
      <c r="AE61" s="3">
        <f>HEX2DEC(MID(Table1[[#This Row],[statusRaw]],1+HEX2DEC(LEFT(AE$1,2))*2, 8))/10000</f>
        <v>0.4</v>
      </c>
      <c r="AF61" s="3">
        <f>IF(AND(Table1[[#This Row],[cgm]],NOT(Table1[[#This Row],[35 - SGV special bit (2)]])), _xlfn.BITAND(HEX2DEC(MID(Table1[[#This Row],[statusRaw]],1+HEX2DEC(LEFT(AF$1,2))*2, 4)),HEX2DEC("1FF")),"")</f>
        <v>181</v>
      </c>
      <c r="AG61" s="3" t="b">
        <f>_xlfn.BITAND(HEX2DEC(MID(Table1[[#This Row],[statusRaw]],1+HEX2DEC(LEFT(AG$1,2))*2, 4)),512)=512</f>
        <v>0</v>
      </c>
      <c r="AH61" s="3" t="str">
        <f>MID(Table1[[#This Row],[statusRaw]],1+HEX2DEC(LEFT(AF$1,2))*2, 8)</f>
        <v>00B58674</v>
      </c>
      <c r="AI61" s="3" t="str">
        <f>MID(Table1[[#This Row],[statusRaw]],1+HEX2DEC(LEFT(AH$1,2))*2, 8)</f>
        <v>867410DE</v>
      </c>
      <c r="AJ61" s="3" t="str">
        <f>HEX2BIN(MID(Table1[[#This Row],[statusRaw]],1+HEX2DEC(LEFT(AJ$1,2))*2, 2),8) &amp; " 0x" &amp;MID(Table1[[#This Row],[statusRaw]],1+HEX2DEC(LEFT(AJ$1,2))*2, 2)</f>
        <v>00000000 0x00</v>
      </c>
      <c r="AK61" s="1" t="str">
        <f>HEX2BIN(MID(Table1[[#This Row],[statusRaw]],1+HEX2DEC(LEFT(AK$1,2))*2, 2),8) &amp; " 0x" &amp;MID(Table1[[#This Row],[statusRaw]],1+HEX2DEC(LEFT(AK$1,2))*2, 2)</f>
        <v>01100000 0x60</v>
      </c>
      <c r="AL61" s="1" t="str">
        <f>VLOOKUP(Table1[[#This Row],[40 trend]],'Arrow status mapping'!$A$1:$B$8,2,FALSE)</f>
        <v>No arrows</v>
      </c>
      <c r="AM61" s="3" t="str">
        <f>HEX2BIN(MID(Table1[[#This Row],[statusRaw]],1+HEX2DEC(LEFT(AM$1,2))*2, 2),8) &amp; " 0x" &amp;MID(Table1[[#This Row],[statusRaw]],1+HEX2DEC(LEFT(AM$1,2))*2, 2)</f>
        <v>00010000 0x10</v>
      </c>
      <c r="AN61" s="3" t="str">
        <f>HEX2BIN(MID(Table1[[#This Row],[statusRaw]],1+HEX2DEC(LEFT(AN$1,2))*2, 2),8) &amp; " 0x" &amp;MID(Table1[[#This Row],[statusRaw]],1+HEX2DEC(LEFT(AN$1,2))*2, 2)</f>
        <v>00000000 0x00</v>
      </c>
      <c r="AO61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0x01A9 425</v>
      </c>
      <c r="AP61" s="1" t="str">
        <f>HEX2BIN(MID(Table1[[#This Row],[statusRaw]],1+HEX2DEC(LEFT(AP$1,2))*2, 2),8) &amp; " 0x" &amp;MID(Table1[[#This Row],[statusRaw]],1+HEX2DEC(LEFT(AP$1,2))*2, 2)</f>
        <v>00101011 0x2B</v>
      </c>
      <c r="AQ61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0x0049 73</v>
      </c>
      <c r="AR61" s="3">
        <f>TRUNC(_xlfn.NUMBERVALUE(RIGHT(Table1[[#This Row],[46 rate of change (2)]],LEN(Table1[[#This Row],[46 rate of change (2)]])-7))/100)</f>
        <v>0</v>
      </c>
      <c r="AS61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61" s="3" t="b">
        <f>Table1[[#This Row],[calc arrow]]=Table1[[#This Row],[trend]]</f>
        <v>1</v>
      </c>
      <c r="AU61" s="3" t="str">
        <f>HEX2BIN(MID(Table1[[#This Row],[statusRaw]],1+HEX2DEC(LEFT(AU$1,2))*2, 2),8) &amp; " 0x" &amp;MID(Table1[[#This Row],[statusRaw]],1+HEX2DEC(LEFT(AU$1,2))*2, 2)</f>
        <v>00000000 0x00</v>
      </c>
      <c r="AV61" s="3">
        <f>HEX2DEC(MID(Table1[[#This Row],[statusRaw]],1+HEX2DEC(LEFT(AV$1,2))*2, 4))</f>
        <v>0</v>
      </c>
      <c r="AW61" s="3" t="str">
        <f>HEX2BIN(MID(Table1[[#This Row],[statusRaw]],1+HEX2DEC(LEFT(AW$1,2))*2, 2),8) &amp; " 0x" &amp;MID(Table1[[#This Row],[statusRaw]],1+HEX2DEC(LEFT(AW$1,2))*2, 2)</f>
        <v>00000000 0x00</v>
      </c>
      <c r="AX61" s="3" t="str">
        <f>HEX2BIN(MID(Table1[[#This Row],[statusRaw]],1+HEX2DEC(LEFT(AX$1,2))*2, 2),8) &amp; " 0x" &amp;MID(Table1[[#This Row],[statusRaw]],1+HEX2DEC(LEFT(AX$1,2))*2, 2)</f>
        <v>00000000 0x00</v>
      </c>
      <c r="AY61" s="3" t="str">
        <f>MID(Table1[[#This Row],[statusRaw]],1+HEX2DEC(LEFT(AY$1,2))*2, 8)</f>
        <v>00000000</v>
      </c>
      <c r="AZ61" s="3" t="str">
        <f>MID(Table1[[#This Row],[statusRaw]],1+HEX2DEC(LEFT(AZ$1,2))*2, 8)</f>
        <v>00000000</v>
      </c>
      <c r="BA61" s="3" t="str">
        <f>HEX2BIN(MID(Table1[[#This Row],[statusRaw]],1+HEX2DEC(LEFT(BA$1,2))*2, 2),8) &amp; " 0x" &amp;MID(Table1[[#This Row],[statusRaw]],1+HEX2DEC(LEFT(BA$1,2))*2, 2)</f>
        <v>00000000 0x00</v>
      </c>
      <c r="BB61" s="3" t="str">
        <f>HEX2BIN(MID(Table1[[#This Row],[statusRaw]],1+HEX2DEC(LEFT(BB$1,2))*2, 2),8) &amp; " 0x" &amp;MID(Table1[[#This Row],[statusRaw]],1+HEX2DEC(LEFT(BB$1,2))*2, 2)</f>
        <v>00000000 0x00</v>
      </c>
      <c r="BC61" s="3" t="str">
        <f>HEX2BIN(MID(Table1[[#This Row],[statusRaw]],1+HEX2DEC(LEFT(BC$1,2))*2, 2),8) &amp; " 0x" &amp;MID(Table1[[#This Row],[statusRaw]],1+HEX2DEC(LEFT(BC$1,2))*2, 2)</f>
        <v>00000000 0x00</v>
      </c>
      <c r="BD61" s="3" t="str">
        <f>MID(Table1[[#This Row],[statusRaw]],1+HEX2DEC(LEFT(BD$1,2))*2, 8)</f>
        <v>000008C5</v>
      </c>
      <c r="BE61" s="3" t="str">
        <f>MID(Table1[[#This Row],[statusRaw]],1+HEX2DEC(LEFT(BE$1,2))*2, 8)</f>
        <v>000008C5</v>
      </c>
      <c r="BF61" s="9"/>
    </row>
    <row r="62" spans="1:58" x14ac:dyDescent="0.25">
      <c r="A62" s="1" t="s">
        <v>186</v>
      </c>
      <c r="B62" s="1" t="s">
        <v>187</v>
      </c>
      <c r="C62" s="1" t="s">
        <v>7</v>
      </c>
      <c r="D62" s="1" t="s">
        <v>188</v>
      </c>
      <c r="E62" s="1">
        <v>17</v>
      </c>
      <c r="F62" s="3" t="str">
        <f>HEX2BIN(MID(Table1[[#This Row],[statusRaw]],1+HEX2DEC(LEFT(F$1,2))*2, 2),8) &amp; " 0x" &amp;MID(Table1[[#This Row],[statusRaw]],1+HEX2DEC(LEFT(F$1,2))*2, 2)</f>
        <v>01010000 0x50</v>
      </c>
      <c r="G62" s="3" t="b">
        <f>MID(Table1[[#This Row],[03 - pump status (1)]],1,1)="1"</f>
        <v>0</v>
      </c>
      <c r="H62" s="3" t="b">
        <f>MID(Table1[[#This Row],[03 - pump status (1)]],2,1)="1"</f>
        <v>1</v>
      </c>
      <c r="I62" s="3" t="b">
        <f>MID(Table1[[#This Row],[03 - pump status (1)]],3,1)="1"</f>
        <v>0</v>
      </c>
      <c r="J62" s="3" t="b">
        <f>MID(Table1[[#This Row],[03 - pump status (1)]],4,1)="1"</f>
        <v>1</v>
      </c>
      <c r="K62" s="3" t="b">
        <f>MID(Table1[[#This Row],[03 - pump status (1)]],5,1)="1"</f>
        <v>0</v>
      </c>
      <c r="L62" s="3" t="b">
        <f>MID(Table1[[#This Row],[03 - pump status (1)]],6,1)="1"</f>
        <v>0</v>
      </c>
      <c r="M62" s="3" t="b">
        <f>MID(Table1[[#This Row],[03 - pump status (1)]],7,1)="1"</f>
        <v>0</v>
      </c>
      <c r="N62" s="3" t="b">
        <f>MID(Table1[[#This Row],[03 - pump status (1)]],8,1)="1"</f>
        <v>0</v>
      </c>
      <c r="O62" s="3" t="str">
        <f>MID(Table1[[#This Row],[statusRaw]],1+HEX2DEC(LEFT(O$1,2))*2, 8)</f>
        <v>00000000</v>
      </c>
      <c r="P62" s="3" t="str">
        <f>MID(Table1[[#This Row],[statusRaw]],1+HEX2DEC(LEFT(P$1,2))*2, 8)</f>
        <v>00000000</v>
      </c>
      <c r="Q62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62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62" s="3">
        <f>HEX2DEC(MID(Table1[[#This Row],[statusRaw]],1+HEX2DEC(LEFT(S$1,2))*2, 8))/10000</f>
        <v>1</v>
      </c>
      <c r="T62" s="3" t="str">
        <f>MID(Table1[[#This Row],[statusRaw]],1+HEX2DEC(LEFT(T$1,2))*2, 8)</f>
        <v>2789ECB3</v>
      </c>
      <c r="U62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62" s="3" t="str">
        <f>HEX2BIN(MID(Table1[[#This Row],[statusRaw]],1+HEX2DEC(LEFT(V$1,2))*2, 2),8) &amp; " 0x" &amp;MID(Table1[[#This Row],[statusRaw]],1+HEX2DEC(LEFT(V$1,2))*2, 2)</f>
        <v>00000001 0x01</v>
      </c>
      <c r="W62" s="3">
        <f>HEX2DEC(MID(Table1[[#This Row],[statusRaw]],1+HEX2DEC(LEFT(W$1,2))*2, 8))/10000</f>
        <v>0.6</v>
      </c>
      <c r="X62" s="3">
        <f>HEX2DEC(MID(Table1[[#This Row],[statusRaw]],1+HEX2DEC(LEFT(X$1,2))*2, 8))/10000</f>
        <v>0</v>
      </c>
      <c r="Y62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62" s="3">
        <f>HEX2DEC(MID(Table1[[#This Row],[statusRaw]],1+HEX2DEC(LEFT(Z$1,2))*2, 8))/10000</f>
        <v>8.375</v>
      </c>
      <c r="AA62" s="3">
        <f>HEX2DEC(MID(Table1[[#This Row],[statusRaw]],1+HEX2DEC(LEFT(AA$1,2))*2, 2))</f>
        <v>50</v>
      </c>
      <c r="AB62" s="3">
        <f>HEX2DEC(MID(Table1[[#This Row],[statusRaw]],1+HEX2DEC(LEFT(AB$1,2))*2, 8))/10000</f>
        <v>79.099999999999994</v>
      </c>
      <c r="AC62" s="3">
        <f>HEX2DEC(MID(Table1[[#This Row],[statusRaw]],1+HEX2DEC(LEFT(AC$1,2))*2, 2))</f>
        <v>25</v>
      </c>
      <c r="AD62" s="3">
        <f>HEX2DEC(MID(Table1[[#This Row],[statusRaw]],1+HEX2DEC(LEFT(AD$1,2))*2, 2))</f>
        <v>0</v>
      </c>
      <c r="AE62" s="3">
        <f>HEX2DEC(MID(Table1[[#This Row],[statusRaw]],1+HEX2DEC(LEFT(AE$1,2))*2, 8))/10000</f>
        <v>0.4</v>
      </c>
      <c r="AF62" s="3">
        <f>IF(AND(Table1[[#This Row],[cgm]],NOT(Table1[[#This Row],[35 - SGV special bit (2)]])), _xlfn.BITAND(HEX2DEC(MID(Table1[[#This Row],[statusRaw]],1+HEX2DEC(LEFT(AF$1,2))*2, 4)),HEX2DEC("1FF")),"")</f>
        <v>171</v>
      </c>
      <c r="AG62" s="3" t="b">
        <f>_xlfn.BITAND(HEX2DEC(MID(Table1[[#This Row],[statusRaw]],1+HEX2DEC(LEFT(AG$1,2))*2, 4)),512)=512</f>
        <v>0</v>
      </c>
      <c r="AH62" s="3" t="str">
        <f>MID(Table1[[#This Row],[statusRaw]],1+HEX2DEC(LEFT(AF$1,2))*2, 8)</f>
        <v>00AB8674</v>
      </c>
      <c r="AI62" s="3" t="str">
        <f>MID(Table1[[#This Row],[statusRaw]],1+HEX2DEC(LEFT(AH$1,2))*2, 8)</f>
        <v>86740FB2</v>
      </c>
      <c r="AJ62" s="3" t="str">
        <f>HEX2BIN(MID(Table1[[#This Row],[statusRaw]],1+HEX2DEC(LEFT(AJ$1,2))*2, 2),8) &amp; " 0x" &amp;MID(Table1[[#This Row],[statusRaw]],1+HEX2DEC(LEFT(AJ$1,2))*2, 2)</f>
        <v>00000000 0x00</v>
      </c>
      <c r="AK62" s="1" t="str">
        <f>HEX2BIN(MID(Table1[[#This Row],[statusRaw]],1+HEX2DEC(LEFT(AK$1,2))*2, 2),8) &amp; " 0x" &amp;MID(Table1[[#This Row],[statusRaw]],1+HEX2DEC(LEFT(AK$1,2))*2, 2)</f>
        <v>01100000 0x60</v>
      </c>
      <c r="AL62" s="1" t="str">
        <f>VLOOKUP(Table1[[#This Row],[40 trend]],'Arrow status mapping'!$A$1:$B$8,2,FALSE)</f>
        <v>No arrows</v>
      </c>
      <c r="AM62" s="3" t="str">
        <f>HEX2BIN(MID(Table1[[#This Row],[statusRaw]],1+HEX2DEC(LEFT(AM$1,2))*2, 2),8) &amp; " 0x" &amp;MID(Table1[[#This Row],[statusRaw]],1+HEX2DEC(LEFT(AM$1,2))*2, 2)</f>
        <v>00010000 0x10</v>
      </c>
      <c r="AN62" s="3" t="str">
        <f>HEX2BIN(MID(Table1[[#This Row],[statusRaw]],1+HEX2DEC(LEFT(AN$1,2))*2, 2),8) &amp; " 0x" &amp;MID(Table1[[#This Row],[statusRaw]],1+HEX2DEC(LEFT(AN$1,2))*2, 2)</f>
        <v>00000000 0x00</v>
      </c>
      <c r="AO62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0x01AE 430</v>
      </c>
      <c r="AP62" s="1" t="str">
        <f>HEX2BIN(MID(Table1[[#This Row],[statusRaw]],1+HEX2DEC(LEFT(AP$1,2))*2, 2),8) &amp; " 0x" &amp;MID(Table1[[#This Row],[statusRaw]],1+HEX2DEC(LEFT(AP$1,2))*2, 2)</f>
        <v>00101011 0x2B</v>
      </c>
      <c r="AQ62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0x0049 73</v>
      </c>
      <c r="AR62" s="3">
        <f>TRUNC(_xlfn.NUMBERVALUE(RIGHT(Table1[[#This Row],[46 rate of change (2)]],LEN(Table1[[#This Row],[46 rate of change (2)]])-7))/100)</f>
        <v>0</v>
      </c>
      <c r="AS62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62" s="3" t="b">
        <f>Table1[[#This Row],[calc arrow]]=Table1[[#This Row],[trend]]</f>
        <v>1</v>
      </c>
      <c r="AU62" s="3" t="str">
        <f>HEX2BIN(MID(Table1[[#This Row],[statusRaw]],1+HEX2DEC(LEFT(AU$1,2))*2, 2),8) &amp; " 0x" &amp;MID(Table1[[#This Row],[statusRaw]],1+HEX2DEC(LEFT(AU$1,2))*2, 2)</f>
        <v>00000000 0x00</v>
      </c>
      <c r="AV62" s="3">
        <f>HEX2DEC(MID(Table1[[#This Row],[statusRaw]],1+HEX2DEC(LEFT(AV$1,2))*2, 4))</f>
        <v>0</v>
      </c>
      <c r="AW62" s="3" t="str">
        <f>HEX2BIN(MID(Table1[[#This Row],[statusRaw]],1+HEX2DEC(LEFT(AW$1,2))*2, 2),8) &amp; " 0x" &amp;MID(Table1[[#This Row],[statusRaw]],1+HEX2DEC(LEFT(AW$1,2))*2, 2)</f>
        <v>00000000 0x00</v>
      </c>
      <c r="AX62" s="3" t="str">
        <f>HEX2BIN(MID(Table1[[#This Row],[statusRaw]],1+HEX2DEC(LEFT(AX$1,2))*2, 2),8) &amp; " 0x" &amp;MID(Table1[[#This Row],[statusRaw]],1+HEX2DEC(LEFT(AX$1,2))*2, 2)</f>
        <v>00000000 0x00</v>
      </c>
      <c r="AY62" s="3" t="str">
        <f>MID(Table1[[#This Row],[statusRaw]],1+HEX2DEC(LEFT(AY$1,2))*2, 8)</f>
        <v>00000000</v>
      </c>
      <c r="AZ62" s="3" t="str">
        <f>MID(Table1[[#This Row],[statusRaw]],1+HEX2DEC(LEFT(AZ$1,2))*2, 8)</f>
        <v>00000000</v>
      </c>
      <c r="BA62" s="3" t="str">
        <f>HEX2BIN(MID(Table1[[#This Row],[statusRaw]],1+HEX2DEC(LEFT(BA$1,2))*2, 2),8) &amp; " 0x" &amp;MID(Table1[[#This Row],[statusRaw]],1+HEX2DEC(LEFT(BA$1,2))*2, 2)</f>
        <v>00000000 0x00</v>
      </c>
      <c r="BB62" s="3" t="str">
        <f>HEX2BIN(MID(Table1[[#This Row],[statusRaw]],1+HEX2DEC(LEFT(BB$1,2))*2, 2),8) &amp; " 0x" &amp;MID(Table1[[#This Row],[statusRaw]],1+HEX2DEC(LEFT(BB$1,2))*2, 2)</f>
        <v>00000000 0x00</v>
      </c>
      <c r="BC62" s="3" t="str">
        <f>HEX2BIN(MID(Table1[[#This Row],[statusRaw]],1+HEX2DEC(LEFT(BC$1,2))*2, 2),8) &amp; " 0x" &amp;MID(Table1[[#This Row],[statusRaw]],1+HEX2DEC(LEFT(BC$1,2))*2, 2)</f>
        <v>00000000 0x00</v>
      </c>
      <c r="BD62" s="3" t="str">
        <f>MID(Table1[[#This Row],[statusRaw]],1+HEX2DEC(LEFT(BD$1,2))*2, 8)</f>
        <v>000008C5</v>
      </c>
      <c r="BE62" s="3" t="str">
        <f>MID(Table1[[#This Row],[statusRaw]],1+HEX2DEC(LEFT(BE$1,2))*2, 8)</f>
        <v>000008C5</v>
      </c>
      <c r="BF62" s="9"/>
    </row>
    <row r="63" spans="1:58" x14ac:dyDescent="0.25">
      <c r="A63" s="1" t="s">
        <v>189</v>
      </c>
      <c r="B63" s="1" t="s">
        <v>190</v>
      </c>
      <c r="C63" s="1" t="s">
        <v>7</v>
      </c>
      <c r="D63" s="1" t="s">
        <v>191</v>
      </c>
      <c r="E63" s="1">
        <v>17</v>
      </c>
      <c r="F63" s="3" t="str">
        <f>HEX2BIN(MID(Table1[[#This Row],[statusRaw]],1+HEX2DEC(LEFT(F$1,2))*2, 2),8) &amp; " 0x" &amp;MID(Table1[[#This Row],[statusRaw]],1+HEX2DEC(LEFT(F$1,2))*2, 2)</f>
        <v>01010000 0x50</v>
      </c>
      <c r="G63" s="3" t="b">
        <f>MID(Table1[[#This Row],[03 - pump status (1)]],1,1)="1"</f>
        <v>0</v>
      </c>
      <c r="H63" s="3" t="b">
        <f>MID(Table1[[#This Row],[03 - pump status (1)]],2,1)="1"</f>
        <v>1</v>
      </c>
      <c r="I63" s="3" t="b">
        <f>MID(Table1[[#This Row],[03 - pump status (1)]],3,1)="1"</f>
        <v>0</v>
      </c>
      <c r="J63" s="3" t="b">
        <f>MID(Table1[[#This Row],[03 - pump status (1)]],4,1)="1"</f>
        <v>1</v>
      </c>
      <c r="K63" s="3" t="b">
        <f>MID(Table1[[#This Row],[03 - pump status (1)]],5,1)="1"</f>
        <v>0</v>
      </c>
      <c r="L63" s="3" t="b">
        <f>MID(Table1[[#This Row],[03 - pump status (1)]],6,1)="1"</f>
        <v>0</v>
      </c>
      <c r="M63" s="3" t="b">
        <f>MID(Table1[[#This Row],[03 - pump status (1)]],7,1)="1"</f>
        <v>0</v>
      </c>
      <c r="N63" s="3" t="b">
        <f>MID(Table1[[#This Row],[03 - pump status (1)]],8,1)="1"</f>
        <v>0</v>
      </c>
      <c r="O63" s="3" t="str">
        <f>MID(Table1[[#This Row],[statusRaw]],1+HEX2DEC(LEFT(O$1,2))*2, 8)</f>
        <v>00000000</v>
      </c>
      <c r="P63" s="3" t="str">
        <f>MID(Table1[[#This Row],[statusRaw]],1+HEX2DEC(LEFT(P$1,2))*2, 8)</f>
        <v>00000000</v>
      </c>
      <c r="Q63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63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63" s="3">
        <f>HEX2DEC(MID(Table1[[#This Row],[statusRaw]],1+HEX2DEC(LEFT(S$1,2))*2, 8))/10000</f>
        <v>1</v>
      </c>
      <c r="T63" s="3" t="str">
        <f>MID(Table1[[#This Row],[statusRaw]],1+HEX2DEC(LEFT(T$1,2))*2, 8)</f>
        <v>2789ECB3</v>
      </c>
      <c r="U63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63" s="3" t="str">
        <f>HEX2BIN(MID(Table1[[#This Row],[statusRaw]],1+HEX2DEC(LEFT(V$1,2))*2, 2),8) &amp; " 0x" &amp;MID(Table1[[#This Row],[statusRaw]],1+HEX2DEC(LEFT(V$1,2))*2, 2)</f>
        <v>00000001 0x01</v>
      </c>
      <c r="W63" s="3">
        <f>HEX2DEC(MID(Table1[[#This Row],[statusRaw]],1+HEX2DEC(LEFT(W$1,2))*2, 8))/10000</f>
        <v>0.6</v>
      </c>
      <c r="X63" s="3">
        <f>HEX2DEC(MID(Table1[[#This Row],[statusRaw]],1+HEX2DEC(LEFT(X$1,2))*2, 8))/10000</f>
        <v>0</v>
      </c>
      <c r="Y63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63" s="3">
        <f>HEX2DEC(MID(Table1[[#This Row],[statusRaw]],1+HEX2DEC(LEFT(Z$1,2))*2, 8))/10000</f>
        <v>8.3249999999999993</v>
      </c>
      <c r="AA63" s="3">
        <f>HEX2DEC(MID(Table1[[#This Row],[statusRaw]],1+HEX2DEC(LEFT(AA$1,2))*2, 2))</f>
        <v>50</v>
      </c>
      <c r="AB63" s="3">
        <f>HEX2DEC(MID(Table1[[#This Row],[statusRaw]],1+HEX2DEC(LEFT(AB$1,2))*2, 8))/10000</f>
        <v>79.150000000000006</v>
      </c>
      <c r="AC63" s="3">
        <f>HEX2DEC(MID(Table1[[#This Row],[statusRaw]],1+HEX2DEC(LEFT(AC$1,2))*2, 2))</f>
        <v>25</v>
      </c>
      <c r="AD63" s="3">
        <f>HEX2DEC(MID(Table1[[#This Row],[statusRaw]],1+HEX2DEC(LEFT(AD$1,2))*2, 2))</f>
        <v>0</v>
      </c>
      <c r="AE63" s="3">
        <f>HEX2DEC(MID(Table1[[#This Row],[statusRaw]],1+HEX2DEC(LEFT(AE$1,2))*2, 8))/10000</f>
        <v>0.4</v>
      </c>
      <c r="AF63" s="3">
        <f>IF(AND(Table1[[#This Row],[cgm]],NOT(Table1[[#This Row],[35 - SGV special bit (2)]])), _xlfn.BITAND(HEX2DEC(MID(Table1[[#This Row],[statusRaw]],1+HEX2DEC(LEFT(AF$1,2))*2, 4)),HEX2DEC("1FF")),"")</f>
        <v>167</v>
      </c>
      <c r="AG63" s="3" t="b">
        <f>_xlfn.BITAND(HEX2DEC(MID(Table1[[#This Row],[statusRaw]],1+HEX2DEC(LEFT(AG$1,2))*2, 4)),512)=512</f>
        <v>0</v>
      </c>
      <c r="AH63" s="3" t="str">
        <f>MID(Table1[[#This Row],[statusRaw]],1+HEX2DEC(LEFT(AF$1,2))*2, 8)</f>
        <v>00A78674</v>
      </c>
      <c r="AI63" s="3" t="str">
        <f>MID(Table1[[#This Row],[statusRaw]],1+HEX2DEC(LEFT(AH$1,2))*2, 8)</f>
        <v>86740E86</v>
      </c>
      <c r="AJ63" s="3" t="str">
        <f>HEX2BIN(MID(Table1[[#This Row],[statusRaw]],1+HEX2DEC(LEFT(AJ$1,2))*2, 2),8) &amp; " 0x" &amp;MID(Table1[[#This Row],[statusRaw]],1+HEX2DEC(LEFT(AJ$1,2))*2, 2)</f>
        <v>00000000 0x00</v>
      </c>
      <c r="AK63" s="1" t="str">
        <f>HEX2BIN(MID(Table1[[#This Row],[statusRaw]],1+HEX2DEC(LEFT(AK$1,2))*2, 2),8) &amp; " 0x" &amp;MID(Table1[[#This Row],[statusRaw]],1+HEX2DEC(LEFT(AK$1,2))*2, 2)</f>
        <v>10000000 0x80</v>
      </c>
      <c r="AL63" s="1" t="str">
        <f>VLOOKUP(Table1[[#This Row],[40 trend]],'Arrow status mapping'!$A$1:$B$8,2,FALSE)</f>
        <v>1 arrows up</v>
      </c>
      <c r="AM63" s="3" t="str">
        <f>HEX2BIN(MID(Table1[[#This Row],[statusRaw]],1+HEX2DEC(LEFT(AM$1,2))*2, 2),8) &amp; " 0x" &amp;MID(Table1[[#This Row],[statusRaw]],1+HEX2DEC(LEFT(AM$1,2))*2, 2)</f>
        <v>00010000 0x10</v>
      </c>
      <c r="AN63" s="3" t="str">
        <f>HEX2BIN(MID(Table1[[#This Row],[statusRaw]],1+HEX2DEC(LEFT(AN$1,2))*2, 2),8) &amp; " 0x" &amp;MID(Table1[[#This Row],[statusRaw]],1+HEX2DEC(LEFT(AN$1,2))*2, 2)</f>
        <v>00000000 0x00</v>
      </c>
      <c r="AO63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0x01B3 435</v>
      </c>
      <c r="AP63" s="1" t="str">
        <f>HEX2BIN(MID(Table1[[#This Row],[statusRaw]],1+HEX2DEC(LEFT(AP$1,2))*2, 2),8) &amp; " 0x" &amp;MID(Table1[[#This Row],[statusRaw]],1+HEX2DEC(LEFT(AP$1,2))*2, 2)</f>
        <v>00101011 0x2B</v>
      </c>
      <c r="AQ63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0x007F 127</v>
      </c>
      <c r="AR63" s="3">
        <f>TRUNC(_xlfn.NUMBERVALUE(RIGHT(Table1[[#This Row],[46 rate of change (2)]],LEN(Table1[[#This Row],[46 rate of change (2)]])-7))/100)</f>
        <v>1</v>
      </c>
      <c r="AS63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up</v>
      </c>
      <c r="AT63" s="3" t="b">
        <f>Table1[[#This Row],[calc arrow]]=Table1[[#This Row],[trend]]</f>
        <v>1</v>
      </c>
      <c r="AU63" s="3" t="str">
        <f>HEX2BIN(MID(Table1[[#This Row],[statusRaw]],1+HEX2DEC(LEFT(AU$1,2))*2, 2),8) &amp; " 0x" &amp;MID(Table1[[#This Row],[statusRaw]],1+HEX2DEC(LEFT(AU$1,2))*2, 2)</f>
        <v>00000000 0x00</v>
      </c>
      <c r="AV63" s="3">
        <f>HEX2DEC(MID(Table1[[#This Row],[statusRaw]],1+HEX2DEC(LEFT(AV$1,2))*2, 4))</f>
        <v>0</v>
      </c>
      <c r="AW63" s="3" t="str">
        <f>HEX2BIN(MID(Table1[[#This Row],[statusRaw]],1+HEX2DEC(LEFT(AW$1,2))*2, 2),8) &amp; " 0x" &amp;MID(Table1[[#This Row],[statusRaw]],1+HEX2DEC(LEFT(AW$1,2))*2, 2)</f>
        <v>00000000 0x00</v>
      </c>
      <c r="AX63" s="3" t="str">
        <f>HEX2BIN(MID(Table1[[#This Row],[statusRaw]],1+HEX2DEC(LEFT(AX$1,2))*2, 2),8) &amp; " 0x" &amp;MID(Table1[[#This Row],[statusRaw]],1+HEX2DEC(LEFT(AX$1,2))*2, 2)</f>
        <v>00000000 0x00</v>
      </c>
      <c r="AY63" s="3" t="str">
        <f>MID(Table1[[#This Row],[statusRaw]],1+HEX2DEC(LEFT(AY$1,2))*2, 8)</f>
        <v>00000000</v>
      </c>
      <c r="AZ63" s="3" t="str">
        <f>MID(Table1[[#This Row],[statusRaw]],1+HEX2DEC(LEFT(AZ$1,2))*2, 8)</f>
        <v>00000000</v>
      </c>
      <c r="BA63" s="3" t="str">
        <f>HEX2BIN(MID(Table1[[#This Row],[statusRaw]],1+HEX2DEC(LEFT(BA$1,2))*2, 2),8) &amp; " 0x" &amp;MID(Table1[[#This Row],[statusRaw]],1+HEX2DEC(LEFT(BA$1,2))*2, 2)</f>
        <v>00000000 0x00</v>
      </c>
      <c r="BB63" s="3" t="str">
        <f>HEX2BIN(MID(Table1[[#This Row],[statusRaw]],1+HEX2DEC(LEFT(BB$1,2))*2, 2),8) &amp; " 0x" &amp;MID(Table1[[#This Row],[statusRaw]],1+HEX2DEC(LEFT(BB$1,2))*2, 2)</f>
        <v>00000000 0x00</v>
      </c>
      <c r="BC63" s="3" t="str">
        <f>HEX2BIN(MID(Table1[[#This Row],[statusRaw]],1+HEX2DEC(LEFT(BC$1,2))*2, 2),8) &amp; " 0x" &amp;MID(Table1[[#This Row],[statusRaw]],1+HEX2DEC(LEFT(BC$1,2))*2, 2)</f>
        <v>00000000 0x00</v>
      </c>
      <c r="BD63" s="3" t="str">
        <f>MID(Table1[[#This Row],[statusRaw]],1+HEX2DEC(LEFT(BD$1,2))*2, 8)</f>
        <v>000008C5</v>
      </c>
      <c r="BE63" s="3" t="str">
        <f>MID(Table1[[#This Row],[statusRaw]],1+HEX2DEC(LEFT(BE$1,2))*2, 8)</f>
        <v>000008C5</v>
      </c>
      <c r="BF63" s="9"/>
    </row>
    <row r="64" spans="1:58" x14ac:dyDescent="0.25">
      <c r="A64" s="1" t="s">
        <v>192</v>
      </c>
      <c r="B64" s="1" t="s">
        <v>193</v>
      </c>
      <c r="C64" s="1" t="s">
        <v>7</v>
      </c>
      <c r="D64" s="1" t="s">
        <v>194</v>
      </c>
      <c r="E64" s="1">
        <v>17</v>
      </c>
      <c r="F64" s="3" t="str">
        <f>HEX2BIN(MID(Table1[[#This Row],[statusRaw]],1+HEX2DEC(LEFT(F$1,2))*2, 2),8) &amp; " 0x" &amp;MID(Table1[[#This Row],[statusRaw]],1+HEX2DEC(LEFT(F$1,2))*2, 2)</f>
        <v>01010000 0x50</v>
      </c>
      <c r="G64" s="3" t="b">
        <f>MID(Table1[[#This Row],[03 - pump status (1)]],1,1)="1"</f>
        <v>0</v>
      </c>
      <c r="H64" s="3" t="b">
        <f>MID(Table1[[#This Row],[03 - pump status (1)]],2,1)="1"</f>
        <v>1</v>
      </c>
      <c r="I64" s="3" t="b">
        <f>MID(Table1[[#This Row],[03 - pump status (1)]],3,1)="1"</f>
        <v>0</v>
      </c>
      <c r="J64" s="3" t="b">
        <f>MID(Table1[[#This Row],[03 - pump status (1)]],4,1)="1"</f>
        <v>1</v>
      </c>
      <c r="K64" s="3" t="b">
        <f>MID(Table1[[#This Row],[03 - pump status (1)]],5,1)="1"</f>
        <v>0</v>
      </c>
      <c r="L64" s="3" t="b">
        <f>MID(Table1[[#This Row],[03 - pump status (1)]],6,1)="1"</f>
        <v>0</v>
      </c>
      <c r="M64" s="3" t="b">
        <f>MID(Table1[[#This Row],[03 - pump status (1)]],7,1)="1"</f>
        <v>0</v>
      </c>
      <c r="N64" s="3" t="b">
        <f>MID(Table1[[#This Row],[03 - pump status (1)]],8,1)="1"</f>
        <v>0</v>
      </c>
      <c r="O64" s="3" t="str">
        <f>MID(Table1[[#This Row],[statusRaw]],1+HEX2DEC(LEFT(O$1,2))*2, 8)</f>
        <v>00000000</v>
      </c>
      <c r="P64" s="3" t="str">
        <f>MID(Table1[[#This Row],[statusRaw]],1+HEX2DEC(LEFT(P$1,2))*2, 8)</f>
        <v>00000000</v>
      </c>
      <c r="Q64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64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64" s="3">
        <f>HEX2DEC(MID(Table1[[#This Row],[statusRaw]],1+HEX2DEC(LEFT(S$1,2))*2, 8))/10000</f>
        <v>1</v>
      </c>
      <c r="T64" s="3" t="str">
        <f>MID(Table1[[#This Row],[statusRaw]],1+HEX2DEC(LEFT(T$1,2))*2, 8)</f>
        <v>2789ECB3</v>
      </c>
      <c r="U64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64" s="3" t="str">
        <f>HEX2BIN(MID(Table1[[#This Row],[statusRaw]],1+HEX2DEC(LEFT(V$1,2))*2, 2),8) &amp; " 0x" &amp;MID(Table1[[#This Row],[statusRaw]],1+HEX2DEC(LEFT(V$1,2))*2, 2)</f>
        <v>00000001 0x01</v>
      </c>
      <c r="W64" s="3">
        <f>HEX2DEC(MID(Table1[[#This Row],[statusRaw]],1+HEX2DEC(LEFT(W$1,2))*2, 8))/10000</f>
        <v>0.6</v>
      </c>
      <c r="X64" s="3">
        <f>HEX2DEC(MID(Table1[[#This Row],[statusRaw]],1+HEX2DEC(LEFT(X$1,2))*2, 8))/10000</f>
        <v>0</v>
      </c>
      <c r="Y64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64" s="3">
        <f>HEX2DEC(MID(Table1[[#This Row],[statusRaw]],1+HEX2DEC(LEFT(Z$1,2))*2, 8))/10000</f>
        <v>8.2750000000000004</v>
      </c>
      <c r="AA64" s="3">
        <f>HEX2DEC(MID(Table1[[#This Row],[statusRaw]],1+HEX2DEC(LEFT(AA$1,2))*2, 2))</f>
        <v>50</v>
      </c>
      <c r="AB64" s="3">
        <f>HEX2DEC(MID(Table1[[#This Row],[statusRaw]],1+HEX2DEC(LEFT(AB$1,2))*2, 8))/10000</f>
        <v>79.2</v>
      </c>
      <c r="AC64" s="3">
        <f>HEX2DEC(MID(Table1[[#This Row],[statusRaw]],1+HEX2DEC(LEFT(AC$1,2))*2, 2))</f>
        <v>25</v>
      </c>
      <c r="AD64" s="3">
        <f>HEX2DEC(MID(Table1[[#This Row],[statusRaw]],1+HEX2DEC(LEFT(AD$1,2))*2, 2))</f>
        <v>0</v>
      </c>
      <c r="AE64" s="3">
        <f>HEX2DEC(MID(Table1[[#This Row],[statusRaw]],1+HEX2DEC(LEFT(AE$1,2))*2, 8))/10000</f>
        <v>0.5</v>
      </c>
      <c r="AF64" s="3">
        <f>IF(AND(Table1[[#This Row],[cgm]],NOT(Table1[[#This Row],[35 - SGV special bit (2)]])), _xlfn.BITAND(HEX2DEC(MID(Table1[[#This Row],[statusRaw]],1+HEX2DEC(LEFT(AF$1,2))*2, 4)),HEX2DEC("1FF")),"")</f>
        <v>149</v>
      </c>
      <c r="AG64" s="3" t="b">
        <f>_xlfn.BITAND(HEX2DEC(MID(Table1[[#This Row],[statusRaw]],1+HEX2DEC(LEFT(AG$1,2))*2, 4)),512)=512</f>
        <v>0</v>
      </c>
      <c r="AH64" s="3" t="str">
        <f>MID(Table1[[#This Row],[statusRaw]],1+HEX2DEC(LEFT(AF$1,2))*2, 8)</f>
        <v>00958674</v>
      </c>
      <c r="AI64" s="3" t="str">
        <f>MID(Table1[[#This Row],[statusRaw]],1+HEX2DEC(LEFT(AH$1,2))*2, 8)</f>
        <v>86740D5A</v>
      </c>
      <c r="AJ64" s="3" t="str">
        <f>HEX2BIN(MID(Table1[[#This Row],[statusRaw]],1+HEX2DEC(LEFT(AJ$1,2))*2, 2),8) &amp; " 0x" &amp;MID(Table1[[#This Row],[statusRaw]],1+HEX2DEC(LEFT(AJ$1,2))*2, 2)</f>
        <v>00000000 0x00</v>
      </c>
      <c r="AK64" s="1" t="str">
        <f>HEX2BIN(MID(Table1[[#This Row],[statusRaw]],1+HEX2DEC(LEFT(AK$1,2))*2, 2),8) &amp; " 0x" &amp;MID(Table1[[#This Row],[statusRaw]],1+HEX2DEC(LEFT(AK$1,2))*2, 2)</f>
        <v>01100000 0x60</v>
      </c>
      <c r="AL64" s="1" t="str">
        <f>VLOOKUP(Table1[[#This Row],[40 trend]],'Arrow status mapping'!$A$1:$B$8,2,FALSE)</f>
        <v>No arrows</v>
      </c>
      <c r="AM64" s="3" t="str">
        <f>HEX2BIN(MID(Table1[[#This Row],[statusRaw]],1+HEX2DEC(LEFT(AM$1,2))*2, 2),8) &amp; " 0x" &amp;MID(Table1[[#This Row],[statusRaw]],1+HEX2DEC(LEFT(AM$1,2))*2, 2)</f>
        <v>00010000 0x10</v>
      </c>
      <c r="AN64" s="3" t="str">
        <f>HEX2BIN(MID(Table1[[#This Row],[statusRaw]],1+HEX2DEC(LEFT(AN$1,2))*2, 2),8) &amp; " 0x" &amp;MID(Table1[[#This Row],[statusRaw]],1+HEX2DEC(LEFT(AN$1,2))*2, 2)</f>
        <v>00000000 0x00</v>
      </c>
      <c r="AO64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0x01B8 440</v>
      </c>
      <c r="AP64" s="1" t="str">
        <f>HEX2BIN(MID(Table1[[#This Row],[statusRaw]],1+HEX2DEC(LEFT(AP$1,2))*2, 2),8) &amp; " 0x" &amp;MID(Table1[[#This Row],[statusRaw]],1+HEX2DEC(LEFT(AP$1,2))*2, 2)</f>
        <v>00101011 0x2B</v>
      </c>
      <c r="AQ64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0x004F 79</v>
      </c>
      <c r="AR64" s="3">
        <f>TRUNC(_xlfn.NUMBERVALUE(RIGHT(Table1[[#This Row],[46 rate of change (2)]],LEN(Table1[[#This Row],[46 rate of change (2)]])-7))/100)</f>
        <v>0</v>
      </c>
      <c r="AS64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64" s="3" t="b">
        <f>Table1[[#This Row],[calc arrow]]=Table1[[#This Row],[trend]]</f>
        <v>1</v>
      </c>
      <c r="AU64" s="3" t="str">
        <f>HEX2BIN(MID(Table1[[#This Row],[statusRaw]],1+HEX2DEC(LEFT(AU$1,2))*2, 2),8) &amp; " 0x" &amp;MID(Table1[[#This Row],[statusRaw]],1+HEX2DEC(LEFT(AU$1,2))*2, 2)</f>
        <v>00000000 0x00</v>
      </c>
      <c r="AV64" s="3">
        <f>HEX2DEC(MID(Table1[[#This Row],[statusRaw]],1+HEX2DEC(LEFT(AV$1,2))*2, 4))</f>
        <v>0</v>
      </c>
      <c r="AW64" s="3" t="str">
        <f>HEX2BIN(MID(Table1[[#This Row],[statusRaw]],1+HEX2DEC(LEFT(AW$1,2))*2, 2),8) &amp; " 0x" &amp;MID(Table1[[#This Row],[statusRaw]],1+HEX2DEC(LEFT(AW$1,2))*2, 2)</f>
        <v>00000000 0x00</v>
      </c>
      <c r="AX64" s="3" t="str">
        <f>HEX2BIN(MID(Table1[[#This Row],[statusRaw]],1+HEX2DEC(LEFT(AX$1,2))*2, 2),8) &amp; " 0x" &amp;MID(Table1[[#This Row],[statusRaw]],1+HEX2DEC(LEFT(AX$1,2))*2, 2)</f>
        <v>00000000 0x00</v>
      </c>
      <c r="AY64" s="3" t="str">
        <f>MID(Table1[[#This Row],[statusRaw]],1+HEX2DEC(LEFT(AY$1,2))*2, 8)</f>
        <v>00000000</v>
      </c>
      <c r="AZ64" s="3" t="str">
        <f>MID(Table1[[#This Row],[statusRaw]],1+HEX2DEC(LEFT(AZ$1,2))*2, 8)</f>
        <v>00000000</v>
      </c>
      <c r="BA64" s="3" t="str">
        <f>HEX2BIN(MID(Table1[[#This Row],[statusRaw]],1+HEX2DEC(LEFT(BA$1,2))*2, 2),8) &amp; " 0x" &amp;MID(Table1[[#This Row],[statusRaw]],1+HEX2DEC(LEFT(BA$1,2))*2, 2)</f>
        <v>00000000 0x00</v>
      </c>
      <c r="BB64" s="3" t="str">
        <f>HEX2BIN(MID(Table1[[#This Row],[statusRaw]],1+HEX2DEC(LEFT(BB$1,2))*2, 2),8) &amp; " 0x" &amp;MID(Table1[[#This Row],[statusRaw]],1+HEX2DEC(LEFT(BB$1,2))*2, 2)</f>
        <v>00000000 0x00</v>
      </c>
      <c r="BC64" s="3" t="str">
        <f>HEX2BIN(MID(Table1[[#This Row],[statusRaw]],1+HEX2DEC(LEFT(BC$1,2))*2, 2),8) &amp; " 0x" &amp;MID(Table1[[#This Row],[statusRaw]],1+HEX2DEC(LEFT(BC$1,2))*2, 2)</f>
        <v>00000000 0x00</v>
      </c>
      <c r="BD64" s="3" t="str">
        <f>MID(Table1[[#This Row],[statusRaw]],1+HEX2DEC(LEFT(BD$1,2))*2, 8)</f>
        <v>000008C5</v>
      </c>
      <c r="BE64" s="3" t="str">
        <f>MID(Table1[[#This Row],[statusRaw]],1+HEX2DEC(LEFT(BE$1,2))*2, 8)</f>
        <v>000008C5</v>
      </c>
      <c r="BF64" s="9"/>
    </row>
    <row r="65" spans="1:58" x14ac:dyDescent="0.25">
      <c r="A65" s="1" t="s">
        <v>195</v>
      </c>
      <c r="B65" s="1" t="s">
        <v>196</v>
      </c>
      <c r="C65" s="1" t="s">
        <v>7</v>
      </c>
      <c r="D65" s="1" t="s">
        <v>197</v>
      </c>
      <c r="E65" s="1">
        <v>17</v>
      </c>
      <c r="F65" s="3" t="str">
        <f>HEX2BIN(MID(Table1[[#This Row],[statusRaw]],1+HEX2DEC(LEFT(F$1,2))*2, 2),8) &amp; " 0x" &amp;MID(Table1[[#This Row],[statusRaw]],1+HEX2DEC(LEFT(F$1,2))*2, 2)</f>
        <v>01010000 0x50</v>
      </c>
      <c r="G65" s="3" t="b">
        <f>MID(Table1[[#This Row],[03 - pump status (1)]],1,1)="1"</f>
        <v>0</v>
      </c>
      <c r="H65" s="3" t="b">
        <f>MID(Table1[[#This Row],[03 - pump status (1)]],2,1)="1"</f>
        <v>1</v>
      </c>
      <c r="I65" s="3" t="b">
        <f>MID(Table1[[#This Row],[03 - pump status (1)]],3,1)="1"</f>
        <v>0</v>
      </c>
      <c r="J65" s="3" t="b">
        <f>MID(Table1[[#This Row],[03 - pump status (1)]],4,1)="1"</f>
        <v>1</v>
      </c>
      <c r="K65" s="3" t="b">
        <f>MID(Table1[[#This Row],[03 - pump status (1)]],5,1)="1"</f>
        <v>0</v>
      </c>
      <c r="L65" s="3" t="b">
        <f>MID(Table1[[#This Row],[03 - pump status (1)]],6,1)="1"</f>
        <v>0</v>
      </c>
      <c r="M65" s="3" t="b">
        <f>MID(Table1[[#This Row],[03 - pump status (1)]],7,1)="1"</f>
        <v>0</v>
      </c>
      <c r="N65" s="3" t="b">
        <f>MID(Table1[[#This Row],[03 - pump status (1)]],8,1)="1"</f>
        <v>0</v>
      </c>
      <c r="O65" s="3" t="str">
        <f>MID(Table1[[#This Row],[statusRaw]],1+HEX2DEC(LEFT(O$1,2))*2, 8)</f>
        <v>00000000</v>
      </c>
      <c r="P65" s="3" t="str">
        <f>MID(Table1[[#This Row],[statusRaw]],1+HEX2DEC(LEFT(P$1,2))*2, 8)</f>
        <v>00000000</v>
      </c>
      <c r="Q65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65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65" s="3">
        <f>HEX2DEC(MID(Table1[[#This Row],[statusRaw]],1+HEX2DEC(LEFT(S$1,2))*2, 8))/10000</f>
        <v>1</v>
      </c>
      <c r="T65" s="3" t="str">
        <f>MID(Table1[[#This Row],[statusRaw]],1+HEX2DEC(LEFT(T$1,2))*2, 8)</f>
        <v>2789ECB3</v>
      </c>
      <c r="U65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65" s="3" t="str">
        <f>HEX2BIN(MID(Table1[[#This Row],[statusRaw]],1+HEX2DEC(LEFT(V$1,2))*2, 2),8) &amp; " 0x" &amp;MID(Table1[[#This Row],[statusRaw]],1+HEX2DEC(LEFT(V$1,2))*2, 2)</f>
        <v>00000001 0x01</v>
      </c>
      <c r="W65" s="3">
        <f>HEX2DEC(MID(Table1[[#This Row],[statusRaw]],1+HEX2DEC(LEFT(W$1,2))*2, 8))/10000</f>
        <v>0.6</v>
      </c>
      <c r="X65" s="3">
        <f>HEX2DEC(MID(Table1[[#This Row],[statusRaw]],1+HEX2DEC(LEFT(X$1,2))*2, 8))/10000</f>
        <v>0</v>
      </c>
      <c r="Y65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65" s="3">
        <f>HEX2DEC(MID(Table1[[#This Row],[statusRaw]],1+HEX2DEC(LEFT(Z$1,2))*2, 8))/10000</f>
        <v>8.2249999999999996</v>
      </c>
      <c r="AA65" s="3">
        <f>HEX2DEC(MID(Table1[[#This Row],[statusRaw]],1+HEX2DEC(LEFT(AA$1,2))*2, 2))</f>
        <v>50</v>
      </c>
      <c r="AB65" s="3">
        <f>HEX2DEC(MID(Table1[[#This Row],[statusRaw]],1+HEX2DEC(LEFT(AB$1,2))*2, 8))/10000</f>
        <v>79.25</v>
      </c>
      <c r="AC65" s="3">
        <f>HEX2DEC(MID(Table1[[#This Row],[statusRaw]],1+HEX2DEC(LEFT(AC$1,2))*2, 2))</f>
        <v>25</v>
      </c>
      <c r="AD65" s="3">
        <f>HEX2DEC(MID(Table1[[#This Row],[statusRaw]],1+HEX2DEC(LEFT(AD$1,2))*2, 2))</f>
        <v>0</v>
      </c>
      <c r="AE65" s="3">
        <f>HEX2DEC(MID(Table1[[#This Row],[statusRaw]],1+HEX2DEC(LEFT(AE$1,2))*2, 8))/10000</f>
        <v>0.5</v>
      </c>
      <c r="AF65" s="3">
        <f>IF(AND(Table1[[#This Row],[cgm]],NOT(Table1[[#This Row],[35 - SGV special bit (2)]])), _xlfn.BITAND(HEX2DEC(MID(Table1[[#This Row],[statusRaw]],1+HEX2DEC(LEFT(AF$1,2))*2, 4)),HEX2DEC("1FF")),"")</f>
        <v>142</v>
      </c>
      <c r="AG65" s="3" t="b">
        <f>_xlfn.BITAND(HEX2DEC(MID(Table1[[#This Row],[statusRaw]],1+HEX2DEC(LEFT(AG$1,2))*2, 4)),512)=512</f>
        <v>0</v>
      </c>
      <c r="AH65" s="3" t="str">
        <f>MID(Table1[[#This Row],[statusRaw]],1+HEX2DEC(LEFT(AF$1,2))*2, 8)</f>
        <v>008E8674</v>
      </c>
      <c r="AI65" s="3" t="str">
        <f>MID(Table1[[#This Row],[statusRaw]],1+HEX2DEC(LEFT(AH$1,2))*2, 8)</f>
        <v>86740C2E</v>
      </c>
      <c r="AJ65" s="3" t="str">
        <f>HEX2BIN(MID(Table1[[#This Row],[statusRaw]],1+HEX2DEC(LEFT(AJ$1,2))*2, 2),8) &amp; " 0x" &amp;MID(Table1[[#This Row],[statusRaw]],1+HEX2DEC(LEFT(AJ$1,2))*2, 2)</f>
        <v>00000000 0x00</v>
      </c>
      <c r="AK65" s="1" t="str">
        <f>HEX2BIN(MID(Table1[[#This Row],[statusRaw]],1+HEX2DEC(LEFT(AK$1,2))*2, 2),8) &amp; " 0x" &amp;MID(Table1[[#This Row],[statusRaw]],1+HEX2DEC(LEFT(AK$1,2))*2, 2)</f>
        <v>01100000 0x60</v>
      </c>
      <c r="AL65" s="1" t="str">
        <f>VLOOKUP(Table1[[#This Row],[40 trend]],'Arrow status mapping'!$A$1:$B$8,2,FALSE)</f>
        <v>No arrows</v>
      </c>
      <c r="AM65" s="3" t="str">
        <f>HEX2BIN(MID(Table1[[#This Row],[statusRaw]],1+HEX2DEC(LEFT(AM$1,2))*2, 2),8) &amp; " 0x" &amp;MID(Table1[[#This Row],[statusRaw]],1+HEX2DEC(LEFT(AM$1,2))*2, 2)</f>
        <v>00010000 0x10</v>
      </c>
      <c r="AN65" s="3" t="str">
        <f>HEX2BIN(MID(Table1[[#This Row],[statusRaw]],1+HEX2DEC(LEFT(AN$1,2))*2, 2),8) &amp; " 0x" &amp;MID(Table1[[#This Row],[statusRaw]],1+HEX2DEC(LEFT(AN$1,2))*2, 2)</f>
        <v>00000000 0x00</v>
      </c>
      <c r="AO65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0x01BD 445</v>
      </c>
      <c r="AP65" s="1" t="str">
        <f>HEX2BIN(MID(Table1[[#This Row],[statusRaw]],1+HEX2DEC(LEFT(AP$1,2))*2, 2),8) &amp; " 0x" &amp;MID(Table1[[#This Row],[statusRaw]],1+HEX2DEC(LEFT(AP$1,2))*2, 2)</f>
        <v>00101011 0x2B</v>
      </c>
      <c r="AQ65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0x004F 79</v>
      </c>
      <c r="AR65" s="3">
        <f>TRUNC(_xlfn.NUMBERVALUE(RIGHT(Table1[[#This Row],[46 rate of change (2)]],LEN(Table1[[#This Row],[46 rate of change (2)]])-7))/100)</f>
        <v>0</v>
      </c>
      <c r="AS65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65" s="3" t="b">
        <f>Table1[[#This Row],[calc arrow]]=Table1[[#This Row],[trend]]</f>
        <v>1</v>
      </c>
      <c r="AU65" s="3" t="str">
        <f>HEX2BIN(MID(Table1[[#This Row],[statusRaw]],1+HEX2DEC(LEFT(AU$1,2))*2, 2),8) &amp; " 0x" &amp;MID(Table1[[#This Row],[statusRaw]],1+HEX2DEC(LEFT(AU$1,2))*2, 2)</f>
        <v>00000000 0x00</v>
      </c>
      <c r="AV65" s="3">
        <f>HEX2DEC(MID(Table1[[#This Row],[statusRaw]],1+HEX2DEC(LEFT(AV$1,2))*2, 4))</f>
        <v>0</v>
      </c>
      <c r="AW65" s="3" t="str">
        <f>HEX2BIN(MID(Table1[[#This Row],[statusRaw]],1+HEX2DEC(LEFT(AW$1,2))*2, 2),8) &amp; " 0x" &amp;MID(Table1[[#This Row],[statusRaw]],1+HEX2DEC(LEFT(AW$1,2))*2, 2)</f>
        <v>00000000 0x00</v>
      </c>
      <c r="AX65" s="3" t="str">
        <f>HEX2BIN(MID(Table1[[#This Row],[statusRaw]],1+HEX2DEC(LEFT(AX$1,2))*2, 2),8) &amp; " 0x" &amp;MID(Table1[[#This Row],[statusRaw]],1+HEX2DEC(LEFT(AX$1,2))*2, 2)</f>
        <v>00000000 0x00</v>
      </c>
      <c r="AY65" s="3" t="str">
        <f>MID(Table1[[#This Row],[statusRaw]],1+HEX2DEC(LEFT(AY$1,2))*2, 8)</f>
        <v>00000000</v>
      </c>
      <c r="AZ65" s="3" t="str">
        <f>MID(Table1[[#This Row],[statusRaw]],1+HEX2DEC(LEFT(AZ$1,2))*2, 8)</f>
        <v>00000000</v>
      </c>
      <c r="BA65" s="3" t="str">
        <f>HEX2BIN(MID(Table1[[#This Row],[statusRaw]],1+HEX2DEC(LEFT(BA$1,2))*2, 2),8) &amp; " 0x" &amp;MID(Table1[[#This Row],[statusRaw]],1+HEX2DEC(LEFT(BA$1,2))*2, 2)</f>
        <v>00000000 0x00</v>
      </c>
      <c r="BB65" s="3" t="str">
        <f>HEX2BIN(MID(Table1[[#This Row],[statusRaw]],1+HEX2DEC(LEFT(BB$1,2))*2, 2),8) &amp; " 0x" &amp;MID(Table1[[#This Row],[statusRaw]],1+HEX2DEC(LEFT(BB$1,2))*2, 2)</f>
        <v>00000000 0x00</v>
      </c>
      <c r="BC65" s="3" t="str">
        <f>HEX2BIN(MID(Table1[[#This Row],[statusRaw]],1+HEX2DEC(LEFT(BC$1,2))*2, 2),8) &amp; " 0x" &amp;MID(Table1[[#This Row],[statusRaw]],1+HEX2DEC(LEFT(BC$1,2))*2, 2)</f>
        <v>00000000 0x00</v>
      </c>
      <c r="BD65" s="3" t="str">
        <f>MID(Table1[[#This Row],[statusRaw]],1+HEX2DEC(LEFT(BD$1,2))*2, 8)</f>
        <v>000008C5</v>
      </c>
      <c r="BE65" s="3" t="str">
        <f>MID(Table1[[#This Row],[statusRaw]],1+HEX2DEC(LEFT(BE$1,2))*2, 8)</f>
        <v>000008C5</v>
      </c>
      <c r="BF65" s="9"/>
    </row>
    <row r="66" spans="1:58" x14ac:dyDescent="0.25">
      <c r="A66" s="1" t="s">
        <v>198</v>
      </c>
      <c r="B66" s="1" t="s">
        <v>199</v>
      </c>
      <c r="C66" s="1" t="s">
        <v>7</v>
      </c>
      <c r="D66" s="1" t="s">
        <v>200</v>
      </c>
      <c r="E66" s="1">
        <v>17</v>
      </c>
      <c r="F66" s="3" t="str">
        <f>HEX2BIN(MID(Table1[[#This Row],[statusRaw]],1+HEX2DEC(LEFT(F$1,2))*2, 2),8) &amp; " 0x" &amp;MID(Table1[[#This Row],[statusRaw]],1+HEX2DEC(LEFT(F$1,2))*2, 2)</f>
        <v>01010000 0x50</v>
      </c>
      <c r="G66" s="3" t="b">
        <f>MID(Table1[[#This Row],[03 - pump status (1)]],1,1)="1"</f>
        <v>0</v>
      </c>
      <c r="H66" s="3" t="b">
        <f>MID(Table1[[#This Row],[03 - pump status (1)]],2,1)="1"</f>
        <v>1</v>
      </c>
      <c r="I66" s="3" t="b">
        <f>MID(Table1[[#This Row],[03 - pump status (1)]],3,1)="1"</f>
        <v>0</v>
      </c>
      <c r="J66" s="3" t="b">
        <f>MID(Table1[[#This Row],[03 - pump status (1)]],4,1)="1"</f>
        <v>1</v>
      </c>
      <c r="K66" s="3" t="b">
        <f>MID(Table1[[#This Row],[03 - pump status (1)]],5,1)="1"</f>
        <v>0</v>
      </c>
      <c r="L66" s="3" t="b">
        <f>MID(Table1[[#This Row],[03 - pump status (1)]],6,1)="1"</f>
        <v>0</v>
      </c>
      <c r="M66" s="3" t="b">
        <f>MID(Table1[[#This Row],[03 - pump status (1)]],7,1)="1"</f>
        <v>0</v>
      </c>
      <c r="N66" s="3" t="b">
        <f>MID(Table1[[#This Row],[03 - pump status (1)]],8,1)="1"</f>
        <v>0</v>
      </c>
      <c r="O66" s="3" t="str">
        <f>MID(Table1[[#This Row],[statusRaw]],1+HEX2DEC(LEFT(O$1,2))*2, 8)</f>
        <v>00000000</v>
      </c>
      <c r="P66" s="3" t="str">
        <f>MID(Table1[[#This Row],[statusRaw]],1+HEX2DEC(LEFT(P$1,2))*2, 8)</f>
        <v>00000000</v>
      </c>
      <c r="Q66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66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66" s="3">
        <f>HEX2DEC(MID(Table1[[#This Row],[statusRaw]],1+HEX2DEC(LEFT(S$1,2))*2, 8))/10000</f>
        <v>1</v>
      </c>
      <c r="T66" s="3" t="str">
        <f>MID(Table1[[#This Row],[statusRaw]],1+HEX2DEC(LEFT(T$1,2))*2, 8)</f>
        <v>2789ECB3</v>
      </c>
      <c r="U66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66" s="3" t="str">
        <f>HEX2BIN(MID(Table1[[#This Row],[statusRaw]],1+HEX2DEC(LEFT(V$1,2))*2, 2),8) &amp; " 0x" &amp;MID(Table1[[#This Row],[statusRaw]],1+HEX2DEC(LEFT(V$1,2))*2, 2)</f>
        <v>00000001 0x01</v>
      </c>
      <c r="W66" s="3">
        <f>HEX2DEC(MID(Table1[[#This Row],[statusRaw]],1+HEX2DEC(LEFT(W$1,2))*2, 8))/10000</f>
        <v>0.6</v>
      </c>
      <c r="X66" s="3">
        <f>HEX2DEC(MID(Table1[[#This Row],[statusRaw]],1+HEX2DEC(LEFT(X$1,2))*2, 8))/10000</f>
        <v>0</v>
      </c>
      <c r="Y66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66" s="3">
        <f>HEX2DEC(MID(Table1[[#This Row],[statusRaw]],1+HEX2DEC(LEFT(Z$1,2))*2, 8))/10000</f>
        <v>8.1750000000000007</v>
      </c>
      <c r="AA66" s="3">
        <f>HEX2DEC(MID(Table1[[#This Row],[statusRaw]],1+HEX2DEC(LEFT(AA$1,2))*2, 2))</f>
        <v>50</v>
      </c>
      <c r="AB66" s="3">
        <f>HEX2DEC(MID(Table1[[#This Row],[statusRaw]],1+HEX2DEC(LEFT(AB$1,2))*2, 8))/10000</f>
        <v>79.3</v>
      </c>
      <c r="AC66" s="3">
        <f>HEX2DEC(MID(Table1[[#This Row],[statusRaw]],1+HEX2DEC(LEFT(AC$1,2))*2, 2))</f>
        <v>25</v>
      </c>
      <c r="AD66" s="3">
        <f>HEX2DEC(MID(Table1[[#This Row],[statusRaw]],1+HEX2DEC(LEFT(AD$1,2))*2, 2))</f>
        <v>0</v>
      </c>
      <c r="AE66" s="3">
        <f>HEX2DEC(MID(Table1[[#This Row],[statusRaw]],1+HEX2DEC(LEFT(AE$1,2))*2, 8))/10000</f>
        <v>0.6</v>
      </c>
      <c r="AF66" s="3">
        <f>IF(AND(Table1[[#This Row],[cgm]],NOT(Table1[[#This Row],[35 - SGV special bit (2)]])), _xlfn.BITAND(HEX2DEC(MID(Table1[[#This Row],[statusRaw]],1+HEX2DEC(LEFT(AF$1,2))*2, 4)),HEX2DEC("1FF")),"")</f>
        <v>137</v>
      </c>
      <c r="AG66" s="3" t="b">
        <f>_xlfn.BITAND(HEX2DEC(MID(Table1[[#This Row],[statusRaw]],1+HEX2DEC(LEFT(AG$1,2))*2, 4)),512)=512</f>
        <v>0</v>
      </c>
      <c r="AH66" s="3" t="str">
        <f>MID(Table1[[#This Row],[statusRaw]],1+HEX2DEC(LEFT(AF$1,2))*2, 8)</f>
        <v>00898674</v>
      </c>
      <c r="AI66" s="3" t="str">
        <f>MID(Table1[[#This Row],[statusRaw]],1+HEX2DEC(LEFT(AH$1,2))*2, 8)</f>
        <v>86740B02</v>
      </c>
      <c r="AJ66" s="3" t="str">
        <f>HEX2BIN(MID(Table1[[#This Row],[statusRaw]],1+HEX2DEC(LEFT(AJ$1,2))*2, 2),8) &amp; " 0x" &amp;MID(Table1[[#This Row],[statusRaw]],1+HEX2DEC(LEFT(AJ$1,2))*2, 2)</f>
        <v>00000000 0x00</v>
      </c>
      <c r="AK66" s="1" t="str">
        <f>HEX2BIN(MID(Table1[[#This Row],[statusRaw]],1+HEX2DEC(LEFT(AK$1,2))*2, 2),8) &amp; " 0x" &amp;MID(Table1[[#This Row],[statusRaw]],1+HEX2DEC(LEFT(AK$1,2))*2, 2)</f>
        <v>01100000 0x60</v>
      </c>
      <c r="AL66" s="1" t="str">
        <f>VLOOKUP(Table1[[#This Row],[40 trend]],'Arrow status mapping'!$A$1:$B$8,2,FALSE)</f>
        <v>No arrows</v>
      </c>
      <c r="AM66" s="3" t="str">
        <f>HEX2BIN(MID(Table1[[#This Row],[statusRaw]],1+HEX2DEC(LEFT(AM$1,2))*2, 2),8) &amp; " 0x" &amp;MID(Table1[[#This Row],[statusRaw]],1+HEX2DEC(LEFT(AM$1,2))*2, 2)</f>
        <v>00010000 0x10</v>
      </c>
      <c r="AN66" s="3" t="str">
        <f>HEX2BIN(MID(Table1[[#This Row],[statusRaw]],1+HEX2DEC(LEFT(AN$1,2))*2, 2),8) &amp; " 0x" &amp;MID(Table1[[#This Row],[statusRaw]],1+HEX2DEC(LEFT(AN$1,2))*2, 2)</f>
        <v>00000000 0x00</v>
      </c>
      <c r="AO66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0x01C2 450</v>
      </c>
      <c r="AP66" s="1" t="str">
        <f>HEX2BIN(MID(Table1[[#This Row],[statusRaw]],1+HEX2DEC(LEFT(AP$1,2))*2, 2),8) &amp; " 0x" &amp;MID(Table1[[#This Row],[statusRaw]],1+HEX2DEC(LEFT(AP$1,2))*2, 2)</f>
        <v>00101011 0x2B</v>
      </c>
      <c r="AQ66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0x0059 89</v>
      </c>
      <c r="AR66" s="3">
        <f>TRUNC(_xlfn.NUMBERVALUE(RIGHT(Table1[[#This Row],[46 rate of change (2)]],LEN(Table1[[#This Row],[46 rate of change (2)]])-7))/100)</f>
        <v>0</v>
      </c>
      <c r="AS66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66" s="3" t="b">
        <f>Table1[[#This Row],[calc arrow]]=Table1[[#This Row],[trend]]</f>
        <v>1</v>
      </c>
      <c r="AU66" s="3" t="str">
        <f>HEX2BIN(MID(Table1[[#This Row],[statusRaw]],1+HEX2DEC(LEFT(AU$1,2))*2, 2),8) &amp; " 0x" &amp;MID(Table1[[#This Row],[statusRaw]],1+HEX2DEC(LEFT(AU$1,2))*2, 2)</f>
        <v>00000000 0x00</v>
      </c>
      <c r="AV66" s="3">
        <f>HEX2DEC(MID(Table1[[#This Row],[statusRaw]],1+HEX2DEC(LEFT(AV$1,2))*2, 4))</f>
        <v>0</v>
      </c>
      <c r="AW66" s="3" t="str">
        <f>HEX2BIN(MID(Table1[[#This Row],[statusRaw]],1+HEX2DEC(LEFT(AW$1,2))*2, 2),8) &amp; " 0x" &amp;MID(Table1[[#This Row],[statusRaw]],1+HEX2DEC(LEFT(AW$1,2))*2, 2)</f>
        <v>00000000 0x00</v>
      </c>
      <c r="AX66" s="3" t="str">
        <f>HEX2BIN(MID(Table1[[#This Row],[statusRaw]],1+HEX2DEC(LEFT(AX$1,2))*2, 2),8) &amp; " 0x" &amp;MID(Table1[[#This Row],[statusRaw]],1+HEX2DEC(LEFT(AX$1,2))*2, 2)</f>
        <v>00000000 0x00</v>
      </c>
      <c r="AY66" s="3" t="str">
        <f>MID(Table1[[#This Row],[statusRaw]],1+HEX2DEC(LEFT(AY$1,2))*2, 8)</f>
        <v>00000000</v>
      </c>
      <c r="AZ66" s="3" t="str">
        <f>MID(Table1[[#This Row],[statusRaw]],1+HEX2DEC(LEFT(AZ$1,2))*2, 8)</f>
        <v>00000000</v>
      </c>
      <c r="BA66" s="3" t="str">
        <f>HEX2BIN(MID(Table1[[#This Row],[statusRaw]],1+HEX2DEC(LEFT(BA$1,2))*2, 2),8) &amp; " 0x" &amp;MID(Table1[[#This Row],[statusRaw]],1+HEX2DEC(LEFT(BA$1,2))*2, 2)</f>
        <v>00000000 0x00</v>
      </c>
      <c r="BB66" s="3" t="str">
        <f>HEX2BIN(MID(Table1[[#This Row],[statusRaw]],1+HEX2DEC(LEFT(BB$1,2))*2, 2),8) &amp; " 0x" &amp;MID(Table1[[#This Row],[statusRaw]],1+HEX2DEC(LEFT(BB$1,2))*2, 2)</f>
        <v>00000000 0x00</v>
      </c>
      <c r="BC66" s="3" t="str">
        <f>HEX2BIN(MID(Table1[[#This Row],[statusRaw]],1+HEX2DEC(LEFT(BC$1,2))*2, 2),8) &amp; " 0x" &amp;MID(Table1[[#This Row],[statusRaw]],1+HEX2DEC(LEFT(BC$1,2))*2, 2)</f>
        <v>00000000 0x00</v>
      </c>
      <c r="BD66" s="3" t="str">
        <f>MID(Table1[[#This Row],[statusRaw]],1+HEX2DEC(LEFT(BD$1,2))*2, 8)</f>
        <v>000008C5</v>
      </c>
      <c r="BE66" s="3" t="str">
        <f>MID(Table1[[#This Row],[statusRaw]],1+HEX2DEC(LEFT(BE$1,2))*2, 8)</f>
        <v>000008C5</v>
      </c>
      <c r="BF66" s="9"/>
    </row>
    <row r="67" spans="1:58" x14ac:dyDescent="0.25">
      <c r="A67" s="1" t="s">
        <v>201</v>
      </c>
      <c r="B67" s="1" t="s">
        <v>202</v>
      </c>
      <c r="C67" s="1" t="s">
        <v>7</v>
      </c>
      <c r="D67" s="1" t="s">
        <v>203</v>
      </c>
      <c r="E67" s="1">
        <v>17</v>
      </c>
      <c r="F67" s="3" t="str">
        <f>HEX2BIN(MID(Table1[[#This Row],[statusRaw]],1+HEX2DEC(LEFT(F$1,2))*2, 2),8) &amp; " 0x" &amp;MID(Table1[[#This Row],[statusRaw]],1+HEX2DEC(LEFT(F$1,2))*2, 2)</f>
        <v>01010000 0x50</v>
      </c>
      <c r="G67" s="3" t="b">
        <f>MID(Table1[[#This Row],[03 - pump status (1)]],1,1)="1"</f>
        <v>0</v>
      </c>
      <c r="H67" s="3" t="b">
        <f>MID(Table1[[#This Row],[03 - pump status (1)]],2,1)="1"</f>
        <v>1</v>
      </c>
      <c r="I67" s="3" t="b">
        <f>MID(Table1[[#This Row],[03 - pump status (1)]],3,1)="1"</f>
        <v>0</v>
      </c>
      <c r="J67" s="3" t="b">
        <f>MID(Table1[[#This Row],[03 - pump status (1)]],4,1)="1"</f>
        <v>1</v>
      </c>
      <c r="K67" s="3" t="b">
        <f>MID(Table1[[#This Row],[03 - pump status (1)]],5,1)="1"</f>
        <v>0</v>
      </c>
      <c r="L67" s="3" t="b">
        <f>MID(Table1[[#This Row],[03 - pump status (1)]],6,1)="1"</f>
        <v>0</v>
      </c>
      <c r="M67" s="3" t="b">
        <f>MID(Table1[[#This Row],[03 - pump status (1)]],7,1)="1"</f>
        <v>0</v>
      </c>
      <c r="N67" s="3" t="b">
        <f>MID(Table1[[#This Row],[03 - pump status (1)]],8,1)="1"</f>
        <v>0</v>
      </c>
      <c r="O67" s="3" t="str">
        <f>MID(Table1[[#This Row],[statusRaw]],1+HEX2DEC(LEFT(O$1,2))*2, 8)</f>
        <v>00000000</v>
      </c>
      <c r="P67" s="3" t="str">
        <f>MID(Table1[[#This Row],[statusRaw]],1+HEX2DEC(LEFT(P$1,2))*2, 8)</f>
        <v>00000000</v>
      </c>
      <c r="Q67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67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67" s="3">
        <f>HEX2DEC(MID(Table1[[#This Row],[statusRaw]],1+HEX2DEC(LEFT(S$1,2))*2, 8))/10000</f>
        <v>1</v>
      </c>
      <c r="T67" s="3" t="str">
        <f>MID(Table1[[#This Row],[statusRaw]],1+HEX2DEC(LEFT(T$1,2))*2, 8)</f>
        <v>2789ECB3</v>
      </c>
      <c r="U67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67" s="3" t="str">
        <f>HEX2BIN(MID(Table1[[#This Row],[statusRaw]],1+HEX2DEC(LEFT(V$1,2))*2, 2),8) &amp; " 0x" &amp;MID(Table1[[#This Row],[statusRaw]],1+HEX2DEC(LEFT(V$1,2))*2, 2)</f>
        <v>00000001 0x01</v>
      </c>
      <c r="W67" s="3">
        <f>HEX2DEC(MID(Table1[[#This Row],[statusRaw]],1+HEX2DEC(LEFT(W$1,2))*2, 8))/10000</f>
        <v>0.6</v>
      </c>
      <c r="X67" s="3">
        <f>HEX2DEC(MID(Table1[[#This Row],[statusRaw]],1+HEX2DEC(LEFT(X$1,2))*2, 8))/10000</f>
        <v>0</v>
      </c>
      <c r="Y67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67" s="3">
        <f>HEX2DEC(MID(Table1[[#This Row],[statusRaw]],1+HEX2DEC(LEFT(Z$1,2))*2, 8))/10000</f>
        <v>8.125</v>
      </c>
      <c r="AA67" s="3">
        <f>HEX2DEC(MID(Table1[[#This Row],[statusRaw]],1+HEX2DEC(LEFT(AA$1,2))*2, 2))</f>
        <v>50</v>
      </c>
      <c r="AB67" s="3">
        <f>HEX2DEC(MID(Table1[[#This Row],[statusRaw]],1+HEX2DEC(LEFT(AB$1,2))*2, 8))/10000</f>
        <v>79.349999999999994</v>
      </c>
      <c r="AC67" s="3">
        <f>HEX2DEC(MID(Table1[[#This Row],[statusRaw]],1+HEX2DEC(LEFT(AC$1,2))*2, 2))</f>
        <v>25</v>
      </c>
      <c r="AD67" s="3">
        <f>HEX2DEC(MID(Table1[[#This Row],[statusRaw]],1+HEX2DEC(LEFT(AD$1,2))*2, 2))</f>
        <v>0</v>
      </c>
      <c r="AE67" s="3">
        <f>HEX2DEC(MID(Table1[[#This Row],[statusRaw]],1+HEX2DEC(LEFT(AE$1,2))*2, 8))/10000</f>
        <v>0.6</v>
      </c>
      <c r="AF67" s="3">
        <f>IF(AND(Table1[[#This Row],[cgm]],NOT(Table1[[#This Row],[35 - SGV special bit (2)]])), _xlfn.BITAND(HEX2DEC(MID(Table1[[#This Row],[statusRaw]],1+HEX2DEC(LEFT(AF$1,2))*2, 4)),HEX2DEC("1FF")),"")</f>
        <v>127</v>
      </c>
      <c r="AG67" s="3" t="b">
        <f>_xlfn.BITAND(HEX2DEC(MID(Table1[[#This Row],[statusRaw]],1+HEX2DEC(LEFT(AG$1,2))*2, 4)),512)=512</f>
        <v>0</v>
      </c>
      <c r="AH67" s="3" t="str">
        <f>MID(Table1[[#This Row],[statusRaw]],1+HEX2DEC(LEFT(AF$1,2))*2, 8)</f>
        <v>007F8674</v>
      </c>
      <c r="AI67" s="3" t="str">
        <f>MID(Table1[[#This Row],[statusRaw]],1+HEX2DEC(LEFT(AH$1,2))*2, 8)</f>
        <v>867409D6</v>
      </c>
      <c r="AJ67" s="3" t="str">
        <f>HEX2BIN(MID(Table1[[#This Row],[statusRaw]],1+HEX2DEC(LEFT(AJ$1,2))*2, 2),8) &amp; " 0x" &amp;MID(Table1[[#This Row],[statusRaw]],1+HEX2DEC(LEFT(AJ$1,2))*2, 2)</f>
        <v>00000000 0x00</v>
      </c>
      <c r="AK67" s="1" t="str">
        <f>HEX2BIN(MID(Table1[[#This Row],[statusRaw]],1+HEX2DEC(LEFT(AK$1,2))*2, 2),8) &amp; " 0x" &amp;MID(Table1[[#This Row],[statusRaw]],1+HEX2DEC(LEFT(AK$1,2))*2, 2)</f>
        <v>01100000 0x60</v>
      </c>
      <c r="AL67" s="1" t="str">
        <f>VLOOKUP(Table1[[#This Row],[40 trend]],'Arrow status mapping'!$A$1:$B$8,2,FALSE)</f>
        <v>No arrows</v>
      </c>
      <c r="AM67" s="3" t="str">
        <f>HEX2BIN(MID(Table1[[#This Row],[statusRaw]],1+HEX2DEC(LEFT(AM$1,2))*2, 2),8) &amp; " 0x" &amp;MID(Table1[[#This Row],[statusRaw]],1+HEX2DEC(LEFT(AM$1,2))*2, 2)</f>
        <v>00010000 0x10</v>
      </c>
      <c r="AN67" s="3" t="str">
        <f>HEX2BIN(MID(Table1[[#This Row],[statusRaw]],1+HEX2DEC(LEFT(AN$1,2))*2, 2),8) &amp; " 0x" &amp;MID(Table1[[#This Row],[statusRaw]],1+HEX2DEC(LEFT(AN$1,2))*2, 2)</f>
        <v>00000000 0x00</v>
      </c>
      <c r="AO67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0x01C7 455</v>
      </c>
      <c r="AP67" s="1" t="str">
        <f>HEX2BIN(MID(Table1[[#This Row],[statusRaw]],1+HEX2DEC(LEFT(AP$1,2))*2, 2),8) &amp; " 0x" &amp;MID(Table1[[#This Row],[statusRaw]],1+HEX2DEC(LEFT(AP$1,2))*2, 2)</f>
        <v>00101011 0x2B</v>
      </c>
      <c r="AQ67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0x003E 62</v>
      </c>
      <c r="AR67" s="3">
        <f>TRUNC(_xlfn.NUMBERVALUE(RIGHT(Table1[[#This Row],[46 rate of change (2)]],LEN(Table1[[#This Row],[46 rate of change (2)]])-7))/100)</f>
        <v>0</v>
      </c>
      <c r="AS67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67" s="3" t="b">
        <f>Table1[[#This Row],[calc arrow]]=Table1[[#This Row],[trend]]</f>
        <v>1</v>
      </c>
      <c r="AU67" s="3" t="str">
        <f>HEX2BIN(MID(Table1[[#This Row],[statusRaw]],1+HEX2DEC(LEFT(AU$1,2))*2, 2),8) &amp; " 0x" &amp;MID(Table1[[#This Row],[statusRaw]],1+HEX2DEC(LEFT(AU$1,2))*2, 2)</f>
        <v>00000000 0x00</v>
      </c>
      <c r="AV67" s="3">
        <f>HEX2DEC(MID(Table1[[#This Row],[statusRaw]],1+HEX2DEC(LEFT(AV$1,2))*2, 4))</f>
        <v>0</v>
      </c>
      <c r="AW67" s="3" t="str">
        <f>HEX2BIN(MID(Table1[[#This Row],[statusRaw]],1+HEX2DEC(LEFT(AW$1,2))*2, 2),8) &amp; " 0x" &amp;MID(Table1[[#This Row],[statusRaw]],1+HEX2DEC(LEFT(AW$1,2))*2, 2)</f>
        <v>00000000 0x00</v>
      </c>
      <c r="AX67" s="3" t="str">
        <f>HEX2BIN(MID(Table1[[#This Row],[statusRaw]],1+HEX2DEC(LEFT(AX$1,2))*2, 2),8) &amp; " 0x" &amp;MID(Table1[[#This Row],[statusRaw]],1+HEX2DEC(LEFT(AX$1,2))*2, 2)</f>
        <v>00000000 0x00</v>
      </c>
      <c r="AY67" s="3" t="str">
        <f>MID(Table1[[#This Row],[statusRaw]],1+HEX2DEC(LEFT(AY$1,2))*2, 8)</f>
        <v>00000000</v>
      </c>
      <c r="AZ67" s="3" t="str">
        <f>MID(Table1[[#This Row],[statusRaw]],1+HEX2DEC(LEFT(AZ$1,2))*2, 8)</f>
        <v>00000000</v>
      </c>
      <c r="BA67" s="3" t="str">
        <f>HEX2BIN(MID(Table1[[#This Row],[statusRaw]],1+HEX2DEC(LEFT(BA$1,2))*2, 2),8) &amp; " 0x" &amp;MID(Table1[[#This Row],[statusRaw]],1+HEX2DEC(LEFT(BA$1,2))*2, 2)</f>
        <v>00000000 0x00</v>
      </c>
      <c r="BB67" s="3" t="str">
        <f>HEX2BIN(MID(Table1[[#This Row],[statusRaw]],1+HEX2DEC(LEFT(BB$1,2))*2, 2),8) &amp; " 0x" &amp;MID(Table1[[#This Row],[statusRaw]],1+HEX2DEC(LEFT(BB$1,2))*2, 2)</f>
        <v>00000000 0x00</v>
      </c>
      <c r="BC67" s="3" t="str">
        <f>HEX2BIN(MID(Table1[[#This Row],[statusRaw]],1+HEX2DEC(LEFT(BC$1,2))*2, 2),8) &amp; " 0x" &amp;MID(Table1[[#This Row],[statusRaw]],1+HEX2DEC(LEFT(BC$1,2))*2, 2)</f>
        <v>00000000 0x00</v>
      </c>
      <c r="BD67" s="3" t="str">
        <f>MID(Table1[[#This Row],[statusRaw]],1+HEX2DEC(LEFT(BD$1,2))*2, 8)</f>
        <v>000008C5</v>
      </c>
      <c r="BE67" s="3" t="str">
        <f>MID(Table1[[#This Row],[statusRaw]],1+HEX2DEC(LEFT(BE$1,2))*2, 8)</f>
        <v>000008C5</v>
      </c>
      <c r="BF67" s="9"/>
    </row>
    <row r="68" spans="1:58" x14ac:dyDescent="0.25">
      <c r="A68" s="1" t="s">
        <v>204</v>
      </c>
      <c r="B68" s="1" t="s">
        <v>205</v>
      </c>
      <c r="C68" s="1" t="s">
        <v>7</v>
      </c>
      <c r="D68" s="1" t="s">
        <v>206</v>
      </c>
      <c r="E68" s="1">
        <v>17</v>
      </c>
      <c r="F68" s="3" t="str">
        <f>HEX2BIN(MID(Table1[[#This Row],[statusRaw]],1+HEX2DEC(LEFT(F$1,2))*2, 2),8) &amp; " 0x" &amp;MID(Table1[[#This Row],[statusRaw]],1+HEX2DEC(LEFT(F$1,2))*2, 2)</f>
        <v>01010000 0x50</v>
      </c>
      <c r="G68" s="3" t="b">
        <f>MID(Table1[[#This Row],[03 - pump status (1)]],1,1)="1"</f>
        <v>0</v>
      </c>
      <c r="H68" s="3" t="b">
        <f>MID(Table1[[#This Row],[03 - pump status (1)]],2,1)="1"</f>
        <v>1</v>
      </c>
      <c r="I68" s="3" t="b">
        <f>MID(Table1[[#This Row],[03 - pump status (1)]],3,1)="1"</f>
        <v>0</v>
      </c>
      <c r="J68" s="3" t="b">
        <f>MID(Table1[[#This Row],[03 - pump status (1)]],4,1)="1"</f>
        <v>1</v>
      </c>
      <c r="K68" s="3" t="b">
        <f>MID(Table1[[#This Row],[03 - pump status (1)]],5,1)="1"</f>
        <v>0</v>
      </c>
      <c r="L68" s="3" t="b">
        <f>MID(Table1[[#This Row],[03 - pump status (1)]],6,1)="1"</f>
        <v>0</v>
      </c>
      <c r="M68" s="3" t="b">
        <f>MID(Table1[[#This Row],[03 - pump status (1)]],7,1)="1"</f>
        <v>0</v>
      </c>
      <c r="N68" s="3" t="b">
        <f>MID(Table1[[#This Row],[03 - pump status (1)]],8,1)="1"</f>
        <v>0</v>
      </c>
      <c r="O68" s="3" t="str">
        <f>MID(Table1[[#This Row],[statusRaw]],1+HEX2DEC(LEFT(O$1,2))*2, 8)</f>
        <v>00000000</v>
      </c>
      <c r="P68" s="3" t="str">
        <f>MID(Table1[[#This Row],[statusRaw]],1+HEX2DEC(LEFT(P$1,2))*2, 8)</f>
        <v>00000000</v>
      </c>
      <c r="Q68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68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68" s="3">
        <f>HEX2DEC(MID(Table1[[#This Row],[statusRaw]],1+HEX2DEC(LEFT(S$1,2))*2, 8))/10000</f>
        <v>1</v>
      </c>
      <c r="T68" s="3" t="str">
        <f>MID(Table1[[#This Row],[statusRaw]],1+HEX2DEC(LEFT(T$1,2))*2, 8)</f>
        <v>2789ECB3</v>
      </c>
      <c r="U68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68" s="3" t="str">
        <f>HEX2BIN(MID(Table1[[#This Row],[statusRaw]],1+HEX2DEC(LEFT(V$1,2))*2, 2),8) &amp; " 0x" &amp;MID(Table1[[#This Row],[statusRaw]],1+HEX2DEC(LEFT(V$1,2))*2, 2)</f>
        <v>00000001 0x01</v>
      </c>
      <c r="W68" s="3">
        <f>HEX2DEC(MID(Table1[[#This Row],[statusRaw]],1+HEX2DEC(LEFT(W$1,2))*2, 8))/10000</f>
        <v>0.6</v>
      </c>
      <c r="X68" s="3">
        <f>HEX2DEC(MID(Table1[[#This Row],[statusRaw]],1+HEX2DEC(LEFT(X$1,2))*2, 8))/10000</f>
        <v>0</v>
      </c>
      <c r="Y68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68" s="3">
        <f>HEX2DEC(MID(Table1[[#This Row],[statusRaw]],1+HEX2DEC(LEFT(Z$1,2))*2, 8))/10000</f>
        <v>8.0749999999999993</v>
      </c>
      <c r="AA68" s="3">
        <f>HEX2DEC(MID(Table1[[#This Row],[statusRaw]],1+HEX2DEC(LEFT(AA$1,2))*2, 2))</f>
        <v>50</v>
      </c>
      <c r="AB68" s="3">
        <f>HEX2DEC(MID(Table1[[#This Row],[statusRaw]],1+HEX2DEC(LEFT(AB$1,2))*2, 8))/10000</f>
        <v>79.400000000000006</v>
      </c>
      <c r="AC68" s="3">
        <f>HEX2DEC(MID(Table1[[#This Row],[statusRaw]],1+HEX2DEC(LEFT(AC$1,2))*2, 2))</f>
        <v>25</v>
      </c>
      <c r="AD68" s="3">
        <f>HEX2DEC(MID(Table1[[#This Row],[statusRaw]],1+HEX2DEC(LEFT(AD$1,2))*2, 2))</f>
        <v>0</v>
      </c>
      <c r="AE68" s="3">
        <f>HEX2DEC(MID(Table1[[#This Row],[statusRaw]],1+HEX2DEC(LEFT(AE$1,2))*2, 8))/10000</f>
        <v>0.7</v>
      </c>
      <c r="AF68" s="3">
        <f>IF(AND(Table1[[#This Row],[cgm]],NOT(Table1[[#This Row],[35 - SGV special bit (2)]])), _xlfn.BITAND(HEX2DEC(MID(Table1[[#This Row],[statusRaw]],1+HEX2DEC(LEFT(AF$1,2))*2, 4)),HEX2DEC("1FF")),"")</f>
        <v>120</v>
      </c>
      <c r="AG68" s="3" t="b">
        <f>_xlfn.BITAND(HEX2DEC(MID(Table1[[#This Row],[statusRaw]],1+HEX2DEC(LEFT(AG$1,2))*2, 4)),512)=512</f>
        <v>0</v>
      </c>
      <c r="AH68" s="3" t="str">
        <f>MID(Table1[[#This Row],[statusRaw]],1+HEX2DEC(LEFT(AF$1,2))*2, 8)</f>
        <v>00788674</v>
      </c>
      <c r="AI68" s="3" t="str">
        <f>MID(Table1[[#This Row],[statusRaw]],1+HEX2DEC(LEFT(AH$1,2))*2, 8)</f>
        <v>867408AA</v>
      </c>
      <c r="AJ68" s="3" t="str">
        <f>HEX2BIN(MID(Table1[[#This Row],[statusRaw]],1+HEX2DEC(LEFT(AJ$1,2))*2, 2),8) &amp; " 0x" &amp;MID(Table1[[#This Row],[statusRaw]],1+HEX2DEC(LEFT(AJ$1,2))*2, 2)</f>
        <v>00000000 0x00</v>
      </c>
      <c r="AK68" s="1" t="str">
        <f>HEX2BIN(MID(Table1[[#This Row],[statusRaw]],1+HEX2DEC(LEFT(AK$1,2))*2, 2),8) &amp; " 0x" &amp;MID(Table1[[#This Row],[statusRaw]],1+HEX2DEC(LEFT(AK$1,2))*2, 2)</f>
        <v>01100000 0x60</v>
      </c>
      <c r="AL68" s="1" t="str">
        <f>VLOOKUP(Table1[[#This Row],[40 trend]],'Arrow status mapping'!$A$1:$B$8,2,FALSE)</f>
        <v>No arrows</v>
      </c>
      <c r="AM68" s="3" t="str">
        <f>HEX2BIN(MID(Table1[[#This Row],[statusRaw]],1+HEX2DEC(LEFT(AM$1,2))*2, 2),8) &amp; " 0x" &amp;MID(Table1[[#This Row],[statusRaw]],1+HEX2DEC(LEFT(AM$1,2))*2, 2)</f>
        <v>00010000 0x10</v>
      </c>
      <c r="AN68" s="3" t="str">
        <f>HEX2BIN(MID(Table1[[#This Row],[statusRaw]],1+HEX2DEC(LEFT(AN$1,2))*2, 2),8) &amp; " 0x" &amp;MID(Table1[[#This Row],[statusRaw]],1+HEX2DEC(LEFT(AN$1,2))*2, 2)</f>
        <v>00000000 0x00</v>
      </c>
      <c r="AO68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0x01CC 460</v>
      </c>
      <c r="AP68" s="1" t="str">
        <f>HEX2BIN(MID(Table1[[#This Row],[statusRaw]],1+HEX2DEC(LEFT(AP$1,2))*2, 2),8) &amp; " 0x" &amp;MID(Table1[[#This Row],[statusRaw]],1+HEX2DEC(LEFT(AP$1,2))*2, 2)</f>
        <v>00101011 0x2B</v>
      </c>
      <c r="AQ68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0x002F 47</v>
      </c>
      <c r="AR68" s="3">
        <f>TRUNC(_xlfn.NUMBERVALUE(RIGHT(Table1[[#This Row],[46 rate of change (2)]],LEN(Table1[[#This Row],[46 rate of change (2)]])-7))/100)</f>
        <v>0</v>
      </c>
      <c r="AS68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68" s="3" t="b">
        <f>Table1[[#This Row],[calc arrow]]=Table1[[#This Row],[trend]]</f>
        <v>1</v>
      </c>
      <c r="AU68" s="3" t="str">
        <f>HEX2BIN(MID(Table1[[#This Row],[statusRaw]],1+HEX2DEC(LEFT(AU$1,2))*2, 2),8) &amp; " 0x" &amp;MID(Table1[[#This Row],[statusRaw]],1+HEX2DEC(LEFT(AU$1,2))*2, 2)</f>
        <v>00000000 0x00</v>
      </c>
      <c r="AV68" s="3">
        <f>HEX2DEC(MID(Table1[[#This Row],[statusRaw]],1+HEX2DEC(LEFT(AV$1,2))*2, 4))</f>
        <v>0</v>
      </c>
      <c r="AW68" s="3" t="str">
        <f>HEX2BIN(MID(Table1[[#This Row],[statusRaw]],1+HEX2DEC(LEFT(AW$1,2))*2, 2),8) &amp; " 0x" &amp;MID(Table1[[#This Row],[statusRaw]],1+HEX2DEC(LEFT(AW$1,2))*2, 2)</f>
        <v>00000000 0x00</v>
      </c>
      <c r="AX68" s="3" t="str">
        <f>HEX2BIN(MID(Table1[[#This Row],[statusRaw]],1+HEX2DEC(LEFT(AX$1,2))*2, 2),8) &amp; " 0x" &amp;MID(Table1[[#This Row],[statusRaw]],1+HEX2DEC(LEFT(AX$1,2))*2, 2)</f>
        <v>00000000 0x00</v>
      </c>
      <c r="AY68" s="3" t="str">
        <f>MID(Table1[[#This Row],[statusRaw]],1+HEX2DEC(LEFT(AY$1,2))*2, 8)</f>
        <v>00000000</v>
      </c>
      <c r="AZ68" s="3" t="str">
        <f>MID(Table1[[#This Row],[statusRaw]],1+HEX2DEC(LEFT(AZ$1,2))*2, 8)</f>
        <v>00000000</v>
      </c>
      <c r="BA68" s="3" t="str">
        <f>HEX2BIN(MID(Table1[[#This Row],[statusRaw]],1+HEX2DEC(LEFT(BA$1,2))*2, 2),8) &amp; " 0x" &amp;MID(Table1[[#This Row],[statusRaw]],1+HEX2DEC(LEFT(BA$1,2))*2, 2)</f>
        <v>00000000 0x00</v>
      </c>
      <c r="BB68" s="3" t="str">
        <f>HEX2BIN(MID(Table1[[#This Row],[statusRaw]],1+HEX2DEC(LEFT(BB$1,2))*2, 2),8) &amp; " 0x" &amp;MID(Table1[[#This Row],[statusRaw]],1+HEX2DEC(LEFT(BB$1,2))*2, 2)</f>
        <v>00000000 0x00</v>
      </c>
      <c r="BC68" s="3" t="str">
        <f>HEX2BIN(MID(Table1[[#This Row],[statusRaw]],1+HEX2DEC(LEFT(BC$1,2))*2, 2),8) &amp; " 0x" &amp;MID(Table1[[#This Row],[statusRaw]],1+HEX2DEC(LEFT(BC$1,2))*2, 2)</f>
        <v>00000000 0x00</v>
      </c>
      <c r="BD68" s="3" t="str">
        <f>MID(Table1[[#This Row],[statusRaw]],1+HEX2DEC(LEFT(BD$1,2))*2, 8)</f>
        <v>000008C5</v>
      </c>
      <c r="BE68" s="3" t="str">
        <f>MID(Table1[[#This Row],[statusRaw]],1+HEX2DEC(LEFT(BE$1,2))*2, 8)</f>
        <v>000008C5</v>
      </c>
      <c r="BF68" s="9"/>
    </row>
    <row r="69" spans="1:58" x14ac:dyDescent="0.25">
      <c r="A69" s="1" t="s">
        <v>207</v>
      </c>
      <c r="B69" s="1" t="s">
        <v>208</v>
      </c>
      <c r="C69" s="1" t="s">
        <v>7</v>
      </c>
      <c r="D69" s="1" t="s">
        <v>209</v>
      </c>
      <c r="E69" s="1">
        <v>17</v>
      </c>
      <c r="F69" s="3" t="str">
        <f>HEX2BIN(MID(Table1[[#This Row],[statusRaw]],1+HEX2DEC(LEFT(F$1,2))*2, 2),8) &amp; " 0x" &amp;MID(Table1[[#This Row],[statusRaw]],1+HEX2DEC(LEFT(F$1,2))*2, 2)</f>
        <v>01010000 0x50</v>
      </c>
      <c r="G69" s="3" t="b">
        <f>MID(Table1[[#This Row],[03 - pump status (1)]],1,1)="1"</f>
        <v>0</v>
      </c>
      <c r="H69" s="3" t="b">
        <f>MID(Table1[[#This Row],[03 - pump status (1)]],2,1)="1"</f>
        <v>1</v>
      </c>
      <c r="I69" s="3" t="b">
        <f>MID(Table1[[#This Row],[03 - pump status (1)]],3,1)="1"</f>
        <v>0</v>
      </c>
      <c r="J69" s="3" t="b">
        <f>MID(Table1[[#This Row],[03 - pump status (1)]],4,1)="1"</f>
        <v>1</v>
      </c>
      <c r="K69" s="3" t="b">
        <f>MID(Table1[[#This Row],[03 - pump status (1)]],5,1)="1"</f>
        <v>0</v>
      </c>
      <c r="L69" s="3" t="b">
        <f>MID(Table1[[#This Row],[03 - pump status (1)]],6,1)="1"</f>
        <v>0</v>
      </c>
      <c r="M69" s="3" t="b">
        <f>MID(Table1[[#This Row],[03 - pump status (1)]],7,1)="1"</f>
        <v>0</v>
      </c>
      <c r="N69" s="3" t="b">
        <f>MID(Table1[[#This Row],[03 - pump status (1)]],8,1)="1"</f>
        <v>0</v>
      </c>
      <c r="O69" s="3" t="str">
        <f>MID(Table1[[#This Row],[statusRaw]],1+HEX2DEC(LEFT(O$1,2))*2, 8)</f>
        <v>00000000</v>
      </c>
      <c r="P69" s="3" t="str">
        <f>MID(Table1[[#This Row],[statusRaw]],1+HEX2DEC(LEFT(P$1,2))*2, 8)</f>
        <v>00000000</v>
      </c>
      <c r="Q69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69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69" s="3">
        <f>HEX2DEC(MID(Table1[[#This Row],[statusRaw]],1+HEX2DEC(LEFT(S$1,2))*2, 8))/10000</f>
        <v>1</v>
      </c>
      <c r="T69" s="3" t="str">
        <f>MID(Table1[[#This Row],[statusRaw]],1+HEX2DEC(LEFT(T$1,2))*2, 8)</f>
        <v>2789ECB3</v>
      </c>
      <c r="U69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69" s="3" t="str">
        <f>HEX2BIN(MID(Table1[[#This Row],[statusRaw]],1+HEX2DEC(LEFT(V$1,2))*2, 2),8) &amp; " 0x" &amp;MID(Table1[[#This Row],[statusRaw]],1+HEX2DEC(LEFT(V$1,2))*2, 2)</f>
        <v>00000001 0x01</v>
      </c>
      <c r="W69" s="3">
        <f>HEX2DEC(MID(Table1[[#This Row],[statusRaw]],1+HEX2DEC(LEFT(W$1,2))*2, 8))/10000</f>
        <v>0.6</v>
      </c>
      <c r="X69" s="3">
        <f>HEX2DEC(MID(Table1[[#This Row],[statusRaw]],1+HEX2DEC(LEFT(X$1,2))*2, 8))/10000</f>
        <v>0</v>
      </c>
      <c r="Y69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69" s="3">
        <f>HEX2DEC(MID(Table1[[#This Row],[statusRaw]],1+HEX2DEC(LEFT(Z$1,2))*2, 8))/10000</f>
        <v>8.0250000000000004</v>
      </c>
      <c r="AA69" s="3">
        <f>HEX2DEC(MID(Table1[[#This Row],[statusRaw]],1+HEX2DEC(LEFT(AA$1,2))*2, 2))</f>
        <v>50</v>
      </c>
      <c r="AB69" s="3">
        <f>HEX2DEC(MID(Table1[[#This Row],[statusRaw]],1+HEX2DEC(LEFT(AB$1,2))*2, 8))/10000</f>
        <v>79.45</v>
      </c>
      <c r="AC69" s="3">
        <f>HEX2DEC(MID(Table1[[#This Row],[statusRaw]],1+HEX2DEC(LEFT(AC$1,2))*2, 2))</f>
        <v>25</v>
      </c>
      <c r="AD69" s="3">
        <f>HEX2DEC(MID(Table1[[#This Row],[statusRaw]],1+HEX2DEC(LEFT(AD$1,2))*2, 2))</f>
        <v>0</v>
      </c>
      <c r="AE69" s="3">
        <f>HEX2DEC(MID(Table1[[#This Row],[statusRaw]],1+HEX2DEC(LEFT(AE$1,2))*2, 8))/10000</f>
        <v>0.8</v>
      </c>
      <c r="AF69" s="3">
        <f>IF(AND(Table1[[#This Row],[cgm]],NOT(Table1[[#This Row],[35 - SGV special bit (2)]])), _xlfn.BITAND(HEX2DEC(MID(Table1[[#This Row],[statusRaw]],1+HEX2DEC(LEFT(AF$1,2))*2, 4)),HEX2DEC("1FF")),"")</f>
        <v>114</v>
      </c>
      <c r="AG69" s="3" t="b">
        <f>_xlfn.BITAND(HEX2DEC(MID(Table1[[#This Row],[statusRaw]],1+HEX2DEC(LEFT(AG$1,2))*2, 4)),512)=512</f>
        <v>0</v>
      </c>
      <c r="AH69" s="3" t="str">
        <f>MID(Table1[[#This Row],[statusRaw]],1+HEX2DEC(LEFT(AF$1,2))*2, 8)</f>
        <v>00728674</v>
      </c>
      <c r="AI69" s="3" t="str">
        <f>MID(Table1[[#This Row],[statusRaw]],1+HEX2DEC(LEFT(AH$1,2))*2, 8)</f>
        <v>8674077E</v>
      </c>
      <c r="AJ69" s="3" t="str">
        <f>HEX2BIN(MID(Table1[[#This Row],[statusRaw]],1+HEX2DEC(LEFT(AJ$1,2))*2, 2),8) &amp; " 0x" &amp;MID(Table1[[#This Row],[statusRaw]],1+HEX2DEC(LEFT(AJ$1,2))*2, 2)</f>
        <v>00000000 0x00</v>
      </c>
      <c r="AK69" s="1" t="str">
        <f>HEX2BIN(MID(Table1[[#This Row],[statusRaw]],1+HEX2DEC(LEFT(AK$1,2))*2, 2),8) &amp; " 0x" &amp;MID(Table1[[#This Row],[statusRaw]],1+HEX2DEC(LEFT(AK$1,2))*2, 2)</f>
        <v>01100000 0x60</v>
      </c>
      <c r="AL69" s="1" t="str">
        <f>VLOOKUP(Table1[[#This Row],[40 trend]],'Arrow status mapping'!$A$1:$B$8,2,FALSE)</f>
        <v>No arrows</v>
      </c>
      <c r="AM69" s="3" t="str">
        <f>HEX2BIN(MID(Table1[[#This Row],[statusRaw]],1+HEX2DEC(LEFT(AM$1,2))*2, 2),8) &amp; " 0x" &amp;MID(Table1[[#This Row],[statusRaw]],1+HEX2DEC(LEFT(AM$1,2))*2, 2)</f>
        <v>00010000 0x10</v>
      </c>
      <c r="AN69" s="3" t="str">
        <f>HEX2BIN(MID(Table1[[#This Row],[statusRaw]],1+HEX2DEC(LEFT(AN$1,2))*2, 2),8) &amp; " 0x" &amp;MID(Table1[[#This Row],[statusRaw]],1+HEX2DEC(LEFT(AN$1,2))*2, 2)</f>
        <v>00000000 0x00</v>
      </c>
      <c r="AO69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0x01D1 465</v>
      </c>
      <c r="AP69" s="1" t="str">
        <f>HEX2BIN(MID(Table1[[#This Row],[statusRaw]],1+HEX2DEC(LEFT(AP$1,2))*2, 2),8) &amp; " 0x" &amp;MID(Table1[[#This Row],[statusRaw]],1+HEX2DEC(LEFT(AP$1,2))*2, 2)</f>
        <v>00101011 0x2B</v>
      </c>
      <c r="AQ69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69" s="3">
        <f>TRUNC(_xlfn.NUMBERVALUE(RIGHT(Table1[[#This Row],[46 rate of change (2)]],LEN(Table1[[#This Row],[46 rate of change (2)]])-7))/100)</f>
        <v>0</v>
      </c>
      <c r="AS69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69" s="3" t="b">
        <f>Table1[[#This Row],[calc arrow]]=Table1[[#This Row],[trend]]</f>
        <v>1</v>
      </c>
      <c r="AU69" s="3" t="str">
        <f>HEX2BIN(MID(Table1[[#This Row],[statusRaw]],1+HEX2DEC(LEFT(AU$1,2))*2, 2),8) &amp; " 0x" &amp;MID(Table1[[#This Row],[statusRaw]],1+HEX2DEC(LEFT(AU$1,2))*2, 2)</f>
        <v>00000000 0x00</v>
      </c>
      <c r="AV69" s="3">
        <f>HEX2DEC(MID(Table1[[#This Row],[statusRaw]],1+HEX2DEC(LEFT(AV$1,2))*2, 4))</f>
        <v>0</v>
      </c>
      <c r="AW69" s="3" t="str">
        <f>HEX2BIN(MID(Table1[[#This Row],[statusRaw]],1+HEX2DEC(LEFT(AW$1,2))*2, 2),8) &amp; " 0x" &amp;MID(Table1[[#This Row],[statusRaw]],1+HEX2DEC(LEFT(AW$1,2))*2, 2)</f>
        <v>00000000 0x00</v>
      </c>
      <c r="AX69" s="3" t="str">
        <f>HEX2BIN(MID(Table1[[#This Row],[statusRaw]],1+HEX2DEC(LEFT(AX$1,2))*2, 2),8) &amp; " 0x" &amp;MID(Table1[[#This Row],[statusRaw]],1+HEX2DEC(LEFT(AX$1,2))*2, 2)</f>
        <v>00000000 0x00</v>
      </c>
      <c r="AY69" s="3" t="str">
        <f>MID(Table1[[#This Row],[statusRaw]],1+HEX2DEC(LEFT(AY$1,2))*2, 8)</f>
        <v>00000000</v>
      </c>
      <c r="AZ69" s="3" t="str">
        <f>MID(Table1[[#This Row],[statusRaw]],1+HEX2DEC(LEFT(AZ$1,2))*2, 8)</f>
        <v>00000000</v>
      </c>
      <c r="BA69" s="3" t="str">
        <f>HEX2BIN(MID(Table1[[#This Row],[statusRaw]],1+HEX2DEC(LEFT(BA$1,2))*2, 2),8) &amp; " 0x" &amp;MID(Table1[[#This Row],[statusRaw]],1+HEX2DEC(LEFT(BA$1,2))*2, 2)</f>
        <v>00000000 0x00</v>
      </c>
      <c r="BB69" s="3" t="str">
        <f>HEX2BIN(MID(Table1[[#This Row],[statusRaw]],1+HEX2DEC(LEFT(BB$1,2))*2, 2),8) &amp; " 0x" &amp;MID(Table1[[#This Row],[statusRaw]],1+HEX2DEC(LEFT(BB$1,2))*2, 2)</f>
        <v>00000000 0x00</v>
      </c>
      <c r="BC69" s="3" t="str">
        <f>HEX2BIN(MID(Table1[[#This Row],[statusRaw]],1+HEX2DEC(LEFT(BC$1,2))*2, 2),8) &amp; " 0x" &amp;MID(Table1[[#This Row],[statusRaw]],1+HEX2DEC(LEFT(BC$1,2))*2, 2)</f>
        <v>00000000 0x00</v>
      </c>
      <c r="BD69" s="3" t="str">
        <f>MID(Table1[[#This Row],[statusRaw]],1+HEX2DEC(LEFT(BD$1,2))*2, 8)</f>
        <v>000008C5</v>
      </c>
      <c r="BE69" s="3" t="str">
        <f>MID(Table1[[#This Row],[statusRaw]],1+HEX2DEC(LEFT(BE$1,2))*2, 8)</f>
        <v>000008C5</v>
      </c>
      <c r="BF69" s="9"/>
    </row>
    <row r="70" spans="1:58" x14ac:dyDescent="0.25">
      <c r="A70" s="1" t="s">
        <v>210</v>
      </c>
      <c r="B70" s="1" t="s">
        <v>211</v>
      </c>
      <c r="C70" s="1" t="s">
        <v>7</v>
      </c>
      <c r="D70" s="1" t="s">
        <v>212</v>
      </c>
      <c r="E70" s="1">
        <v>17</v>
      </c>
      <c r="F70" s="3" t="str">
        <f>HEX2BIN(MID(Table1[[#This Row],[statusRaw]],1+HEX2DEC(LEFT(F$1,2))*2, 2),8) &amp; " 0x" &amp;MID(Table1[[#This Row],[statusRaw]],1+HEX2DEC(LEFT(F$1,2))*2, 2)</f>
        <v>01010000 0x50</v>
      </c>
      <c r="G70" s="3" t="b">
        <f>MID(Table1[[#This Row],[03 - pump status (1)]],1,1)="1"</f>
        <v>0</v>
      </c>
      <c r="H70" s="3" t="b">
        <f>MID(Table1[[#This Row],[03 - pump status (1)]],2,1)="1"</f>
        <v>1</v>
      </c>
      <c r="I70" s="3" t="b">
        <f>MID(Table1[[#This Row],[03 - pump status (1)]],3,1)="1"</f>
        <v>0</v>
      </c>
      <c r="J70" s="3" t="b">
        <f>MID(Table1[[#This Row],[03 - pump status (1)]],4,1)="1"</f>
        <v>1</v>
      </c>
      <c r="K70" s="3" t="b">
        <f>MID(Table1[[#This Row],[03 - pump status (1)]],5,1)="1"</f>
        <v>0</v>
      </c>
      <c r="L70" s="3" t="b">
        <f>MID(Table1[[#This Row],[03 - pump status (1)]],6,1)="1"</f>
        <v>0</v>
      </c>
      <c r="M70" s="3" t="b">
        <f>MID(Table1[[#This Row],[03 - pump status (1)]],7,1)="1"</f>
        <v>0</v>
      </c>
      <c r="N70" s="3" t="b">
        <f>MID(Table1[[#This Row],[03 - pump status (1)]],8,1)="1"</f>
        <v>0</v>
      </c>
      <c r="O70" s="3" t="str">
        <f>MID(Table1[[#This Row],[statusRaw]],1+HEX2DEC(LEFT(O$1,2))*2, 8)</f>
        <v>00000000</v>
      </c>
      <c r="P70" s="3" t="str">
        <f>MID(Table1[[#This Row],[statusRaw]],1+HEX2DEC(LEFT(P$1,2))*2, 8)</f>
        <v>00000000</v>
      </c>
      <c r="Q70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70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70" s="3">
        <f>HEX2DEC(MID(Table1[[#This Row],[statusRaw]],1+HEX2DEC(LEFT(S$1,2))*2, 8))/10000</f>
        <v>1</v>
      </c>
      <c r="T70" s="3" t="str">
        <f>MID(Table1[[#This Row],[statusRaw]],1+HEX2DEC(LEFT(T$1,2))*2, 8)</f>
        <v>2789ECB3</v>
      </c>
      <c r="U70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70" s="3" t="str">
        <f>HEX2BIN(MID(Table1[[#This Row],[statusRaw]],1+HEX2DEC(LEFT(V$1,2))*2, 2),8) &amp; " 0x" &amp;MID(Table1[[#This Row],[statusRaw]],1+HEX2DEC(LEFT(V$1,2))*2, 2)</f>
        <v>00000001 0x01</v>
      </c>
      <c r="W70" s="3">
        <f>HEX2DEC(MID(Table1[[#This Row],[statusRaw]],1+HEX2DEC(LEFT(W$1,2))*2, 8))/10000</f>
        <v>0.6</v>
      </c>
      <c r="X70" s="3">
        <f>HEX2DEC(MID(Table1[[#This Row],[statusRaw]],1+HEX2DEC(LEFT(X$1,2))*2, 8))/10000</f>
        <v>0</v>
      </c>
      <c r="Y70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70" s="3">
        <f>HEX2DEC(MID(Table1[[#This Row],[statusRaw]],1+HEX2DEC(LEFT(Z$1,2))*2, 8))/10000</f>
        <v>7.9249999999999998</v>
      </c>
      <c r="AA70" s="3">
        <f>HEX2DEC(MID(Table1[[#This Row],[statusRaw]],1+HEX2DEC(LEFT(AA$1,2))*2, 2))</f>
        <v>50</v>
      </c>
      <c r="AB70" s="3">
        <f>HEX2DEC(MID(Table1[[#This Row],[statusRaw]],1+HEX2DEC(LEFT(AB$1,2))*2, 8))/10000</f>
        <v>79.55</v>
      </c>
      <c r="AC70" s="3">
        <f>HEX2DEC(MID(Table1[[#This Row],[statusRaw]],1+HEX2DEC(LEFT(AC$1,2))*2, 2))</f>
        <v>25</v>
      </c>
      <c r="AD70" s="3">
        <f>HEX2DEC(MID(Table1[[#This Row],[statusRaw]],1+HEX2DEC(LEFT(AD$1,2))*2, 2))</f>
        <v>0</v>
      </c>
      <c r="AE70" s="3">
        <f>HEX2DEC(MID(Table1[[#This Row],[statusRaw]],1+HEX2DEC(LEFT(AE$1,2))*2, 8))/10000</f>
        <v>0.9</v>
      </c>
      <c r="AF70" s="3">
        <f>IF(AND(Table1[[#This Row],[cgm]],NOT(Table1[[#This Row],[35 - SGV special bit (2)]])), _xlfn.BITAND(HEX2DEC(MID(Table1[[#This Row],[statusRaw]],1+HEX2DEC(LEFT(AF$1,2))*2, 4)),HEX2DEC("1FF")),"")</f>
        <v>111</v>
      </c>
      <c r="AG70" s="3" t="b">
        <f>_xlfn.BITAND(HEX2DEC(MID(Table1[[#This Row],[statusRaw]],1+HEX2DEC(LEFT(AG$1,2))*2, 4)),512)=512</f>
        <v>0</v>
      </c>
      <c r="AH70" s="3" t="str">
        <f>MID(Table1[[#This Row],[statusRaw]],1+HEX2DEC(LEFT(AF$1,2))*2, 8)</f>
        <v>006F8674</v>
      </c>
      <c r="AI70" s="3" t="str">
        <f>MID(Table1[[#This Row],[statusRaw]],1+HEX2DEC(LEFT(AH$1,2))*2, 8)</f>
        <v>86740526</v>
      </c>
      <c r="AJ70" s="3" t="str">
        <f>HEX2BIN(MID(Table1[[#This Row],[statusRaw]],1+HEX2DEC(LEFT(AJ$1,2))*2, 2),8) &amp; " 0x" &amp;MID(Table1[[#This Row],[statusRaw]],1+HEX2DEC(LEFT(AJ$1,2))*2, 2)</f>
        <v>00000000 0x00</v>
      </c>
      <c r="AK70" s="1" t="str">
        <f>HEX2BIN(MID(Table1[[#This Row],[statusRaw]],1+HEX2DEC(LEFT(AK$1,2))*2, 2),8) &amp; " 0x" &amp;MID(Table1[[#This Row],[statusRaw]],1+HEX2DEC(LEFT(AK$1,2))*2, 2)</f>
        <v>01000000 0x40</v>
      </c>
      <c r="AL70" s="1" t="str">
        <f>VLOOKUP(Table1[[#This Row],[40 trend]],'Arrow status mapping'!$A$1:$B$8,2,FALSE)</f>
        <v>1 arrows down</v>
      </c>
      <c r="AM70" s="3" t="str">
        <f>HEX2BIN(MID(Table1[[#This Row],[statusRaw]],1+HEX2DEC(LEFT(AM$1,2))*2, 2),8) &amp; " 0x" &amp;MID(Table1[[#This Row],[statusRaw]],1+HEX2DEC(LEFT(AM$1,2))*2, 2)</f>
        <v>00010000 0x10</v>
      </c>
      <c r="AN70" s="3" t="str">
        <f>HEX2BIN(MID(Table1[[#This Row],[statusRaw]],1+HEX2DEC(LEFT(AN$1,2))*2, 2),8) &amp; " 0x" &amp;MID(Table1[[#This Row],[statusRaw]],1+HEX2DEC(LEFT(AN$1,2))*2, 2)</f>
        <v>00000000 0x00</v>
      </c>
      <c r="AO70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0x01DB 475</v>
      </c>
      <c r="AP70" s="1" t="str">
        <f>HEX2BIN(MID(Table1[[#This Row],[statusRaw]],1+HEX2DEC(LEFT(AP$1,2))*2, 2),8) &amp; " 0x" &amp;MID(Table1[[#This Row],[statusRaw]],1+HEX2DEC(LEFT(AP$1,2))*2, 2)</f>
        <v>00101011 0x2B</v>
      </c>
      <c r="AQ70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0xFF90 -112</v>
      </c>
      <c r="AR70" s="3">
        <f>TRUNC(_xlfn.NUMBERVALUE(RIGHT(Table1[[#This Row],[46 rate of change (2)]],LEN(Table1[[#This Row],[46 rate of change (2)]])-7))/100)</f>
        <v>-1</v>
      </c>
      <c r="AS70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down</v>
      </c>
      <c r="AT70" s="3" t="b">
        <f>Table1[[#This Row],[calc arrow]]=Table1[[#This Row],[trend]]</f>
        <v>1</v>
      </c>
      <c r="AU70" s="3" t="str">
        <f>HEX2BIN(MID(Table1[[#This Row],[statusRaw]],1+HEX2DEC(LEFT(AU$1,2))*2, 2),8) &amp; " 0x" &amp;MID(Table1[[#This Row],[statusRaw]],1+HEX2DEC(LEFT(AU$1,2))*2, 2)</f>
        <v>00000000 0x00</v>
      </c>
      <c r="AV70" s="3">
        <f>HEX2DEC(MID(Table1[[#This Row],[statusRaw]],1+HEX2DEC(LEFT(AV$1,2))*2, 4))</f>
        <v>0</v>
      </c>
      <c r="AW70" s="3" t="str">
        <f>HEX2BIN(MID(Table1[[#This Row],[statusRaw]],1+HEX2DEC(LEFT(AW$1,2))*2, 2),8) &amp; " 0x" &amp;MID(Table1[[#This Row],[statusRaw]],1+HEX2DEC(LEFT(AW$1,2))*2, 2)</f>
        <v>00000000 0x00</v>
      </c>
      <c r="AX70" s="3" t="str">
        <f>HEX2BIN(MID(Table1[[#This Row],[statusRaw]],1+HEX2DEC(LEFT(AX$1,2))*2, 2),8) &amp; " 0x" &amp;MID(Table1[[#This Row],[statusRaw]],1+HEX2DEC(LEFT(AX$1,2))*2, 2)</f>
        <v>00000000 0x00</v>
      </c>
      <c r="AY70" s="3" t="str">
        <f>MID(Table1[[#This Row],[statusRaw]],1+HEX2DEC(LEFT(AY$1,2))*2, 8)</f>
        <v>00000000</v>
      </c>
      <c r="AZ70" s="3" t="str">
        <f>MID(Table1[[#This Row],[statusRaw]],1+HEX2DEC(LEFT(AZ$1,2))*2, 8)</f>
        <v>00000000</v>
      </c>
      <c r="BA70" s="3" t="str">
        <f>HEX2BIN(MID(Table1[[#This Row],[statusRaw]],1+HEX2DEC(LEFT(BA$1,2))*2, 2),8) &amp; " 0x" &amp;MID(Table1[[#This Row],[statusRaw]],1+HEX2DEC(LEFT(BA$1,2))*2, 2)</f>
        <v>00000000 0x00</v>
      </c>
      <c r="BB70" s="3" t="str">
        <f>HEX2BIN(MID(Table1[[#This Row],[statusRaw]],1+HEX2DEC(LEFT(BB$1,2))*2, 2),8) &amp; " 0x" &amp;MID(Table1[[#This Row],[statusRaw]],1+HEX2DEC(LEFT(BB$1,2))*2, 2)</f>
        <v>00000000 0x00</v>
      </c>
      <c r="BC70" s="3" t="str">
        <f>HEX2BIN(MID(Table1[[#This Row],[statusRaw]],1+HEX2DEC(LEFT(BC$1,2))*2, 2),8) &amp; " 0x" &amp;MID(Table1[[#This Row],[statusRaw]],1+HEX2DEC(LEFT(BC$1,2))*2, 2)</f>
        <v>00000000 0x00</v>
      </c>
      <c r="BD70" s="3" t="str">
        <f>MID(Table1[[#This Row],[statusRaw]],1+HEX2DEC(LEFT(BD$1,2))*2, 8)</f>
        <v>000008C5</v>
      </c>
      <c r="BE70" s="3" t="str">
        <f>MID(Table1[[#This Row],[statusRaw]],1+HEX2DEC(LEFT(BE$1,2))*2, 8)</f>
        <v>000008C5</v>
      </c>
      <c r="BF70" s="9"/>
    </row>
    <row r="71" spans="1:58" x14ac:dyDescent="0.25">
      <c r="A71" s="1" t="s">
        <v>213</v>
      </c>
      <c r="B71" s="1" t="s">
        <v>214</v>
      </c>
      <c r="C71" s="1" t="s">
        <v>7</v>
      </c>
      <c r="D71" s="1" t="s">
        <v>215</v>
      </c>
      <c r="E71" s="1">
        <v>16</v>
      </c>
      <c r="F71" s="3" t="str">
        <f>HEX2BIN(MID(Table1[[#This Row],[statusRaw]],1+HEX2DEC(LEFT(F$1,2))*2, 2),8) &amp; " 0x" &amp;MID(Table1[[#This Row],[statusRaw]],1+HEX2DEC(LEFT(F$1,2))*2, 2)</f>
        <v>01010000 0x50</v>
      </c>
      <c r="G71" s="3" t="b">
        <f>MID(Table1[[#This Row],[03 - pump status (1)]],1,1)="1"</f>
        <v>0</v>
      </c>
      <c r="H71" s="3" t="b">
        <f>MID(Table1[[#This Row],[03 - pump status (1)]],2,1)="1"</f>
        <v>1</v>
      </c>
      <c r="I71" s="3" t="b">
        <f>MID(Table1[[#This Row],[03 - pump status (1)]],3,1)="1"</f>
        <v>0</v>
      </c>
      <c r="J71" s="3" t="b">
        <f>MID(Table1[[#This Row],[03 - pump status (1)]],4,1)="1"</f>
        <v>1</v>
      </c>
      <c r="K71" s="3" t="b">
        <f>MID(Table1[[#This Row],[03 - pump status (1)]],5,1)="1"</f>
        <v>0</v>
      </c>
      <c r="L71" s="3" t="b">
        <f>MID(Table1[[#This Row],[03 - pump status (1)]],6,1)="1"</f>
        <v>0</v>
      </c>
      <c r="M71" s="3" t="b">
        <f>MID(Table1[[#This Row],[03 - pump status (1)]],7,1)="1"</f>
        <v>0</v>
      </c>
      <c r="N71" s="3" t="b">
        <f>MID(Table1[[#This Row],[03 - pump status (1)]],8,1)="1"</f>
        <v>0</v>
      </c>
      <c r="O71" s="3" t="str">
        <f>MID(Table1[[#This Row],[statusRaw]],1+HEX2DEC(LEFT(O$1,2))*2, 8)</f>
        <v>00000000</v>
      </c>
      <c r="P71" s="3" t="str">
        <f>MID(Table1[[#This Row],[statusRaw]],1+HEX2DEC(LEFT(P$1,2))*2, 8)</f>
        <v>00000000</v>
      </c>
      <c r="Q71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71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71" s="3">
        <f>HEX2DEC(MID(Table1[[#This Row],[statusRaw]],1+HEX2DEC(LEFT(S$1,2))*2, 8))/10000</f>
        <v>1</v>
      </c>
      <c r="T71" s="3" t="str">
        <f>MID(Table1[[#This Row],[statusRaw]],1+HEX2DEC(LEFT(T$1,2))*2, 8)</f>
        <v>2789ECB3</v>
      </c>
      <c r="U71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71" s="3" t="str">
        <f>HEX2BIN(MID(Table1[[#This Row],[statusRaw]],1+HEX2DEC(LEFT(V$1,2))*2, 2),8) &amp; " 0x" &amp;MID(Table1[[#This Row],[statusRaw]],1+HEX2DEC(LEFT(V$1,2))*2, 2)</f>
        <v>00000001 0x01</v>
      </c>
      <c r="W71" s="3">
        <f>HEX2DEC(MID(Table1[[#This Row],[statusRaw]],1+HEX2DEC(LEFT(W$1,2))*2, 8))/10000</f>
        <v>0.5</v>
      </c>
      <c r="X71" s="3">
        <f>HEX2DEC(MID(Table1[[#This Row],[statusRaw]],1+HEX2DEC(LEFT(X$1,2))*2, 8))/10000</f>
        <v>0</v>
      </c>
      <c r="Y71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71" s="3">
        <f>HEX2DEC(MID(Table1[[#This Row],[statusRaw]],1+HEX2DEC(LEFT(Z$1,2))*2, 8))/10000</f>
        <v>7.5750000000000002</v>
      </c>
      <c r="AA71" s="3">
        <f>HEX2DEC(MID(Table1[[#This Row],[statusRaw]],1+HEX2DEC(LEFT(AA$1,2))*2, 2))</f>
        <v>50</v>
      </c>
      <c r="AB71" s="3">
        <f>HEX2DEC(MID(Table1[[#This Row],[statusRaw]],1+HEX2DEC(LEFT(AB$1,2))*2, 8))/10000</f>
        <v>79.900000000000006</v>
      </c>
      <c r="AC71" s="3">
        <f>HEX2DEC(MID(Table1[[#This Row],[statusRaw]],1+HEX2DEC(LEFT(AC$1,2))*2, 2))</f>
        <v>25</v>
      </c>
      <c r="AD71" s="3">
        <f>HEX2DEC(MID(Table1[[#This Row],[statusRaw]],1+HEX2DEC(LEFT(AD$1,2))*2, 2))</f>
        <v>0</v>
      </c>
      <c r="AE71" s="3">
        <f>HEX2DEC(MID(Table1[[#This Row],[statusRaw]],1+HEX2DEC(LEFT(AE$1,2))*2, 8))/10000</f>
        <v>1.3</v>
      </c>
      <c r="AF71" s="3">
        <f>IF(AND(Table1[[#This Row],[cgm]],NOT(Table1[[#This Row],[35 - SGV special bit (2)]])), _xlfn.BITAND(HEX2DEC(MID(Table1[[#This Row],[statusRaw]],1+HEX2DEC(LEFT(AF$1,2))*2, 4)),HEX2DEC("1FF")),"")</f>
        <v>190</v>
      </c>
      <c r="AG71" s="3" t="b">
        <f>_xlfn.BITAND(HEX2DEC(MID(Table1[[#This Row],[statusRaw]],1+HEX2DEC(LEFT(AG$1,2))*2, 4)),512)=512</f>
        <v>0</v>
      </c>
      <c r="AH71" s="3" t="str">
        <f>MID(Table1[[#This Row],[statusRaw]],1+HEX2DEC(LEFT(AF$1,2))*2, 8)</f>
        <v>00BE8673</v>
      </c>
      <c r="AI71" s="3" t="str">
        <f>MID(Table1[[#This Row],[statusRaw]],1+HEX2DEC(LEFT(AH$1,2))*2, 8)</f>
        <v>8673FBC6</v>
      </c>
      <c r="AJ71" s="3" t="str">
        <f>HEX2BIN(MID(Table1[[#This Row],[statusRaw]],1+HEX2DEC(LEFT(AJ$1,2))*2, 2),8) &amp; " 0x" &amp;MID(Table1[[#This Row],[statusRaw]],1+HEX2DEC(LEFT(AJ$1,2))*2, 2)</f>
        <v>00000100 0x04</v>
      </c>
      <c r="AK71" s="1" t="str">
        <f>HEX2BIN(MID(Table1[[#This Row],[statusRaw]],1+HEX2DEC(LEFT(AK$1,2))*2, 2),8) &amp; " 0x" &amp;MID(Table1[[#This Row],[statusRaw]],1+HEX2DEC(LEFT(AK$1,2))*2, 2)</f>
        <v>01100000 0x60</v>
      </c>
      <c r="AL71" s="1" t="str">
        <f>VLOOKUP(Table1[[#This Row],[40 trend]],'Arrow status mapping'!$A$1:$B$8,2,FALSE)</f>
        <v>No arrows</v>
      </c>
      <c r="AM71" s="3" t="str">
        <f>HEX2BIN(MID(Table1[[#This Row],[statusRaw]],1+HEX2DEC(LEFT(AM$1,2))*2, 2),8) &amp; " 0x" &amp;MID(Table1[[#This Row],[statusRaw]],1+HEX2DEC(LEFT(AM$1,2))*2, 2)</f>
        <v>00010000 0x10</v>
      </c>
      <c r="AN71" s="3" t="str">
        <f>HEX2BIN(MID(Table1[[#This Row],[statusRaw]],1+HEX2DEC(LEFT(AN$1,2))*2, 2),8) &amp; " 0x" &amp;MID(Table1[[#This Row],[statusRaw]],1+HEX2DEC(LEFT(AN$1,2))*2, 2)</f>
        <v>00000000 0x00</v>
      </c>
      <c r="AO71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0x0203 515</v>
      </c>
      <c r="AP71" s="1" t="str">
        <f>HEX2BIN(MID(Table1[[#This Row],[statusRaw]],1+HEX2DEC(LEFT(AP$1,2))*2, 2),8) &amp; " 0x" &amp;MID(Table1[[#This Row],[statusRaw]],1+HEX2DEC(LEFT(AP$1,2))*2, 2)</f>
        <v>00101011 0x2B</v>
      </c>
      <c r="AQ71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0x0055 85</v>
      </c>
      <c r="AR71" s="3">
        <f>TRUNC(_xlfn.NUMBERVALUE(RIGHT(Table1[[#This Row],[46 rate of change (2)]],LEN(Table1[[#This Row],[46 rate of change (2)]])-7))/100)</f>
        <v>0</v>
      </c>
      <c r="AS71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71" s="3" t="b">
        <f>Table1[[#This Row],[calc arrow]]=Table1[[#This Row],[trend]]</f>
        <v>1</v>
      </c>
      <c r="AU71" s="3" t="str">
        <f>HEX2BIN(MID(Table1[[#This Row],[statusRaw]],1+HEX2DEC(LEFT(AU$1,2))*2, 2),8) &amp; " 0x" &amp;MID(Table1[[#This Row],[statusRaw]],1+HEX2DEC(LEFT(AU$1,2))*2, 2)</f>
        <v>00000000 0x00</v>
      </c>
      <c r="AV71" s="3">
        <f>HEX2DEC(MID(Table1[[#This Row],[statusRaw]],1+HEX2DEC(LEFT(AV$1,2))*2, 4))</f>
        <v>0</v>
      </c>
      <c r="AW71" s="3" t="str">
        <f>HEX2BIN(MID(Table1[[#This Row],[statusRaw]],1+HEX2DEC(LEFT(AW$1,2))*2, 2),8) &amp; " 0x" &amp;MID(Table1[[#This Row],[statusRaw]],1+HEX2DEC(LEFT(AW$1,2))*2, 2)</f>
        <v>00000000 0x00</v>
      </c>
      <c r="AX71" s="3" t="str">
        <f>HEX2BIN(MID(Table1[[#This Row],[statusRaw]],1+HEX2DEC(LEFT(AX$1,2))*2, 2),8) &amp; " 0x" &amp;MID(Table1[[#This Row],[statusRaw]],1+HEX2DEC(LEFT(AX$1,2))*2, 2)</f>
        <v>00000000 0x00</v>
      </c>
      <c r="AY71" s="3" t="str">
        <f>MID(Table1[[#This Row],[statusRaw]],1+HEX2DEC(LEFT(AY$1,2))*2, 8)</f>
        <v>00000000</v>
      </c>
      <c r="AZ71" s="3" t="str">
        <f>MID(Table1[[#This Row],[statusRaw]],1+HEX2DEC(LEFT(AZ$1,2))*2, 8)</f>
        <v>00000000</v>
      </c>
      <c r="BA71" s="3" t="str">
        <f>HEX2BIN(MID(Table1[[#This Row],[statusRaw]],1+HEX2DEC(LEFT(BA$1,2))*2, 2),8) &amp; " 0x" &amp;MID(Table1[[#This Row],[statusRaw]],1+HEX2DEC(LEFT(BA$1,2))*2, 2)</f>
        <v>00000000 0x00</v>
      </c>
      <c r="BB71" s="3" t="str">
        <f>HEX2BIN(MID(Table1[[#This Row],[statusRaw]],1+HEX2DEC(LEFT(BB$1,2))*2, 2),8) &amp; " 0x" &amp;MID(Table1[[#This Row],[statusRaw]],1+HEX2DEC(LEFT(BB$1,2))*2, 2)</f>
        <v>00000000 0x00</v>
      </c>
      <c r="BC71" s="3" t="str">
        <f>HEX2BIN(MID(Table1[[#This Row],[statusRaw]],1+HEX2DEC(LEFT(BC$1,2))*2, 2),8) &amp; " 0x" &amp;MID(Table1[[#This Row],[statusRaw]],1+HEX2DEC(LEFT(BC$1,2))*2, 2)</f>
        <v>00000000 0x00</v>
      </c>
      <c r="BD71" s="3" t="str">
        <f>MID(Table1[[#This Row],[statusRaw]],1+HEX2DEC(LEFT(BD$1,2))*2, 8)</f>
        <v>000008C5</v>
      </c>
      <c r="BE71" s="3" t="str">
        <f>MID(Table1[[#This Row],[statusRaw]],1+HEX2DEC(LEFT(BE$1,2))*2, 8)</f>
        <v>000008C5</v>
      </c>
      <c r="BF71" s="9"/>
    </row>
    <row r="72" spans="1:58" x14ac:dyDescent="0.25">
      <c r="A72" s="1" t="s">
        <v>216</v>
      </c>
      <c r="B72" s="1" t="s">
        <v>217</v>
      </c>
      <c r="C72" s="1" t="s">
        <v>7</v>
      </c>
      <c r="D72" s="1" t="s">
        <v>218</v>
      </c>
      <c r="E72" s="1">
        <v>16</v>
      </c>
      <c r="F72" s="3" t="str">
        <f>HEX2BIN(MID(Table1[[#This Row],[statusRaw]],1+HEX2DEC(LEFT(F$1,2))*2, 2),8) &amp; " 0x" &amp;MID(Table1[[#This Row],[statusRaw]],1+HEX2DEC(LEFT(F$1,2))*2, 2)</f>
        <v>01010000 0x50</v>
      </c>
      <c r="G72" s="3" t="b">
        <f>MID(Table1[[#This Row],[03 - pump status (1)]],1,1)="1"</f>
        <v>0</v>
      </c>
      <c r="H72" s="3" t="b">
        <f>MID(Table1[[#This Row],[03 - pump status (1)]],2,1)="1"</f>
        <v>1</v>
      </c>
      <c r="I72" s="3" t="b">
        <f>MID(Table1[[#This Row],[03 - pump status (1)]],3,1)="1"</f>
        <v>0</v>
      </c>
      <c r="J72" s="3" t="b">
        <f>MID(Table1[[#This Row],[03 - pump status (1)]],4,1)="1"</f>
        <v>1</v>
      </c>
      <c r="K72" s="3" t="b">
        <f>MID(Table1[[#This Row],[03 - pump status (1)]],5,1)="1"</f>
        <v>0</v>
      </c>
      <c r="L72" s="3" t="b">
        <f>MID(Table1[[#This Row],[03 - pump status (1)]],6,1)="1"</f>
        <v>0</v>
      </c>
      <c r="M72" s="3" t="b">
        <f>MID(Table1[[#This Row],[03 - pump status (1)]],7,1)="1"</f>
        <v>0</v>
      </c>
      <c r="N72" s="3" t="b">
        <f>MID(Table1[[#This Row],[03 - pump status (1)]],8,1)="1"</f>
        <v>0</v>
      </c>
      <c r="O72" s="3" t="str">
        <f>MID(Table1[[#This Row],[statusRaw]],1+HEX2DEC(LEFT(O$1,2))*2, 8)</f>
        <v>00000000</v>
      </c>
      <c r="P72" s="3" t="str">
        <f>MID(Table1[[#This Row],[statusRaw]],1+HEX2DEC(LEFT(P$1,2))*2, 8)</f>
        <v>00000000</v>
      </c>
      <c r="Q72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72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72" s="3">
        <f>HEX2DEC(MID(Table1[[#This Row],[statusRaw]],1+HEX2DEC(LEFT(S$1,2))*2, 8))/10000</f>
        <v>1</v>
      </c>
      <c r="T72" s="3" t="str">
        <f>MID(Table1[[#This Row],[statusRaw]],1+HEX2DEC(LEFT(T$1,2))*2, 8)</f>
        <v>2789ECB3</v>
      </c>
      <c r="U72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72" s="3" t="str">
        <f>HEX2BIN(MID(Table1[[#This Row],[statusRaw]],1+HEX2DEC(LEFT(V$1,2))*2, 2),8) &amp; " 0x" &amp;MID(Table1[[#This Row],[statusRaw]],1+HEX2DEC(LEFT(V$1,2))*2, 2)</f>
        <v>00000001 0x01</v>
      </c>
      <c r="W72" s="3">
        <f>HEX2DEC(MID(Table1[[#This Row],[statusRaw]],1+HEX2DEC(LEFT(W$1,2))*2, 8))/10000</f>
        <v>0.5</v>
      </c>
      <c r="X72" s="3">
        <f>HEX2DEC(MID(Table1[[#This Row],[statusRaw]],1+HEX2DEC(LEFT(X$1,2))*2, 8))/10000</f>
        <v>0</v>
      </c>
      <c r="Y72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72" s="3">
        <f>HEX2DEC(MID(Table1[[#This Row],[statusRaw]],1+HEX2DEC(LEFT(Z$1,2))*2, 8))/10000</f>
        <v>7.55</v>
      </c>
      <c r="AA72" s="3">
        <f>HEX2DEC(MID(Table1[[#This Row],[statusRaw]],1+HEX2DEC(LEFT(AA$1,2))*2, 2))</f>
        <v>50</v>
      </c>
      <c r="AB72" s="3">
        <f>HEX2DEC(MID(Table1[[#This Row],[statusRaw]],1+HEX2DEC(LEFT(AB$1,2))*2, 8))/10000</f>
        <v>79.924999999999997</v>
      </c>
      <c r="AC72" s="3">
        <f>HEX2DEC(MID(Table1[[#This Row],[statusRaw]],1+HEX2DEC(LEFT(AC$1,2))*2, 2))</f>
        <v>25</v>
      </c>
      <c r="AD72" s="3">
        <f>HEX2DEC(MID(Table1[[#This Row],[statusRaw]],1+HEX2DEC(LEFT(AD$1,2))*2, 2))</f>
        <v>0</v>
      </c>
      <c r="AE72" s="3">
        <f>HEX2DEC(MID(Table1[[#This Row],[statusRaw]],1+HEX2DEC(LEFT(AE$1,2))*2, 8))/10000</f>
        <v>1.4</v>
      </c>
      <c r="AF72" s="3">
        <f>IF(AND(Table1[[#This Row],[cgm]],NOT(Table1[[#This Row],[35 - SGV special bit (2)]])), _xlfn.BITAND(HEX2DEC(MID(Table1[[#This Row],[statusRaw]],1+HEX2DEC(LEFT(AF$1,2))*2, 4)),HEX2DEC("1FF")),"")</f>
        <v>174</v>
      </c>
      <c r="AG72" s="3" t="b">
        <f>_xlfn.BITAND(HEX2DEC(MID(Table1[[#This Row],[statusRaw]],1+HEX2DEC(LEFT(AG$1,2))*2, 4)),512)=512</f>
        <v>0</v>
      </c>
      <c r="AH72" s="3" t="str">
        <f>MID(Table1[[#This Row],[statusRaw]],1+HEX2DEC(LEFT(AF$1,2))*2, 8)</f>
        <v>00AE8673</v>
      </c>
      <c r="AI72" s="3" t="str">
        <f>MID(Table1[[#This Row],[statusRaw]],1+HEX2DEC(LEFT(AH$1,2))*2, 8)</f>
        <v>8673FA9A</v>
      </c>
      <c r="AJ72" s="3" t="str">
        <f>HEX2BIN(MID(Table1[[#This Row],[statusRaw]],1+HEX2DEC(LEFT(AJ$1,2))*2, 2),8) &amp; " 0x" &amp;MID(Table1[[#This Row],[statusRaw]],1+HEX2DEC(LEFT(AJ$1,2))*2, 2)</f>
        <v>00000000 0x00</v>
      </c>
      <c r="AK72" s="1" t="str">
        <f>HEX2BIN(MID(Table1[[#This Row],[statusRaw]],1+HEX2DEC(LEFT(AK$1,2))*2, 2),8) &amp; " 0x" &amp;MID(Table1[[#This Row],[statusRaw]],1+HEX2DEC(LEFT(AK$1,2))*2, 2)</f>
        <v>01100000 0x60</v>
      </c>
      <c r="AL72" s="1" t="str">
        <f>VLOOKUP(Table1[[#This Row],[40 trend]],'Arrow status mapping'!$A$1:$B$8,2,FALSE)</f>
        <v>No arrows</v>
      </c>
      <c r="AM72" s="3" t="str">
        <f>HEX2BIN(MID(Table1[[#This Row],[statusRaw]],1+HEX2DEC(LEFT(AM$1,2))*2, 2),8) &amp; " 0x" &amp;MID(Table1[[#This Row],[statusRaw]],1+HEX2DEC(LEFT(AM$1,2))*2, 2)</f>
        <v>00010000 0x10</v>
      </c>
      <c r="AN72" s="3" t="str">
        <f>HEX2BIN(MID(Table1[[#This Row],[statusRaw]],1+HEX2DEC(LEFT(AN$1,2))*2, 2),8) &amp; " 0x" &amp;MID(Table1[[#This Row],[statusRaw]],1+HEX2DEC(LEFT(AN$1,2))*2, 2)</f>
        <v>00000000 0x00</v>
      </c>
      <c r="AO72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0x0208 520</v>
      </c>
      <c r="AP72" s="1" t="str">
        <f>HEX2BIN(MID(Table1[[#This Row],[statusRaw]],1+HEX2DEC(LEFT(AP$1,2))*2, 2),8) &amp; " 0x" &amp;MID(Table1[[#This Row],[statusRaw]],1+HEX2DEC(LEFT(AP$1,2))*2, 2)</f>
        <v>00101011 0x2B</v>
      </c>
      <c r="AQ72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72" s="3">
        <f>TRUNC(_xlfn.NUMBERVALUE(RIGHT(Table1[[#This Row],[46 rate of change (2)]],LEN(Table1[[#This Row],[46 rate of change (2)]])-7))/100)</f>
        <v>0</v>
      </c>
      <c r="AS72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72" s="3" t="b">
        <f>Table1[[#This Row],[calc arrow]]=Table1[[#This Row],[trend]]</f>
        <v>1</v>
      </c>
      <c r="AU72" s="3" t="str">
        <f>HEX2BIN(MID(Table1[[#This Row],[statusRaw]],1+HEX2DEC(LEFT(AU$1,2))*2, 2),8) &amp; " 0x" &amp;MID(Table1[[#This Row],[statusRaw]],1+HEX2DEC(LEFT(AU$1,2))*2, 2)</f>
        <v>00000000 0x00</v>
      </c>
      <c r="AV72" s="3">
        <f>HEX2DEC(MID(Table1[[#This Row],[statusRaw]],1+HEX2DEC(LEFT(AV$1,2))*2, 4))</f>
        <v>0</v>
      </c>
      <c r="AW72" s="3" t="str">
        <f>HEX2BIN(MID(Table1[[#This Row],[statusRaw]],1+HEX2DEC(LEFT(AW$1,2))*2, 2),8) &amp; " 0x" &amp;MID(Table1[[#This Row],[statusRaw]],1+HEX2DEC(LEFT(AW$1,2))*2, 2)</f>
        <v>00000000 0x00</v>
      </c>
      <c r="AX72" s="3" t="str">
        <f>HEX2BIN(MID(Table1[[#This Row],[statusRaw]],1+HEX2DEC(LEFT(AX$1,2))*2, 2),8) &amp; " 0x" &amp;MID(Table1[[#This Row],[statusRaw]],1+HEX2DEC(LEFT(AX$1,2))*2, 2)</f>
        <v>00000000 0x00</v>
      </c>
      <c r="AY72" s="3" t="str">
        <f>MID(Table1[[#This Row],[statusRaw]],1+HEX2DEC(LEFT(AY$1,2))*2, 8)</f>
        <v>00000000</v>
      </c>
      <c r="AZ72" s="3" t="str">
        <f>MID(Table1[[#This Row],[statusRaw]],1+HEX2DEC(LEFT(AZ$1,2))*2, 8)</f>
        <v>00000000</v>
      </c>
      <c r="BA72" s="3" t="str">
        <f>HEX2BIN(MID(Table1[[#This Row],[statusRaw]],1+HEX2DEC(LEFT(BA$1,2))*2, 2),8) &amp; " 0x" &amp;MID(Table1[[#This Row],[statusRaw]],1+HEX2DEC(LEFT(BA$1,2))*2, 2)</f>
        <v>00000000 0x00</v>
      </c>
      <c r="BB72" s="3" t="str">
        <f>HEX2BIN(MID(Table1[[#This Row],[statusRaw]],1+HEX2DEC(LEFT(BB$1,2))*2, 2),8) &amp; " 0x" &amp;MID(Table1[[#This Row],[statusRaw]],1+HEX2DEC(LEFT(BB$1,2))*2, 2)</f>
        <v>00000000 0x00</v>
      </c>
      <c r="BC72" s="3" t="str">
        <f>HEX2BIN(MID(Table1[[#This Row],[statusRaw]],1+HEX2DEC(LEFT(BC$1,2))*2, 2),8) &amp; " 0x" &amp;MID(Table1[[#This Row],[statusRaw]],1+HEX2DEC(LEFT(BC$1,2))*2, 2)</f>
        <v>00000000 0x00</v>
      </c>
      <c r="BD72" s="3" t="str">
        <f>MID(Table1[[#This Row],[statusRaw]],1+HEX2DEC(LEFT(BD$1,2))*2, 8)</f>
        <v>000008C5</v>
      </c>
      <c r="BE72" s="3" t="str">
        <f>MID(Table1[[#This Row],[statusRaw]],1+HEX2DEC(LEFT(BE$1,2))*2, 8)</f>
        <v>000008C5</v>
      </c>
      <c r="BF72" s="9"/>
    </row>
    <row r="73" spans="1:58" x14ac:dyDescent="0.25">
      <c r="A73" s="1" t="s">
        <v>219</v>
      </c>
      <c r="B73" s="1" t="s">
        <v>220</v>
      </c>
      <c r="C73" s="1" t="s">
        <v>7</v>
      </c>
      <c r="D73" s="1" t="s">
        <v>221</v>
      </c>
      <c r="E73" s="1">
        <v>16</v>
      </c>
      <c r="F73" s="3" t="str">
        <f>HEX2BIN(MID(Table1[[#This Row],[statusRaw]],1+HEX2DEC(LEFT(F$1,2))*2, 2),8) &amp; " 0x" &amp;MID(Table1[[#This Row],[statusRaw]],1+HEX2DEC(LEFT(F$1,2))*2, 2)</f>
        <v>01010000 0x50</v>
      </c>
      <c r="G73" s="3" t="b">
        <f>MID(Table1[[#This Row],[03 - pump status (1)]],1,1)="1"</f>
        <v>0</v>
      </c>
      <c r="H73" s="3" t="b">
        <f>MID(Table1[[#This Row],[03 - pump status (1)]],2,1)="1"</f>
        <v>1</v>
      </c>
      <c r="I73" s="3" t="b">
        <f>MID(Table1[[#This Row],[03 - pump status (1)]],3,1)="1"</f>
        <v>0</v>
      </c>
      <c r="J73" s="3" t="b">
        <f>MID(Table1[[#This Row],[03 - pump status (1)]],4,1)="1"</f>
        <v>1</v>
      </c>
      <c r="K73" s="3" t="b">
        <f>MID(Table1[[#This Row],[03 - pump status (1)]],5,1)="1"</f>
        <v>0</v>
      </c>
      <c r="L73" s="3" t="b">
        <f>MID(Table1[[#This Row],[03 - pump status (1)]],6,1)="1"</f>
        <v>0</v>
      </c>
      <c r="M73" s="3" t="b">
        <f>MID(Table1[[#This Row],[03 - pump status (1)]],7,1)="1"</f>
        <v>0</v>
      </c>
      <c r="N73" s="3" t="b">
        <f>MID(Table1[[#This Row],[03 - pump status (1)]],8,1)="1"</f>
        <v>0</v>
      </c>
      <c r="O73" s="3" t="str">
        <f>MID(Table1[[#This Row],[statusRaw]],1+HEX2DEC(LEFT(O$1,2))*2, 8)</f>
        <v>00000000</v>
      </c>
      <c r="P73" s="3" t="str">
        <f>MID(Table1[[#This Row],[statusRaw]],1+HEX2DEC(LEFT(P$1,2))*2, 8)</f>
        <v>00000000</v>
      </c>
      <c r="Q73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73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73" s="3">
        <f>HEX2DEC(MID(Table1[[#This Row],[statusRaw]],1+HEX2DEC(LEFT(S$1,2))*2, 8))/10000</f>
        <v>1</v>
      </c>
      <c r="T73" s="3" t="str">
        <f>MID(Table1[[#This Row],[statusRaw]],1+HEX2DEC(LEFT(T$1,2))*2, 8)</f>
        <v>2789ECB3</v>
      </c>
      <c r="U73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73" s="3" t="str">
        <f>HEX2BIN(MID(Table1[[#This Row],[statusRaw]],1+HEX2DEC(LEFT(V$1,2))*2, 2),8) &amp; " 0x" &amp;MID(Table1[[#This Row],[statusRaw]],1+HEX2DEC(LEFT(V$1,2))*2, 2)</f>
        <v>00000001 0x01</v>
      </c>
      <c r="W73" s="3">
        <f>HEX2DEC(MID(Table1[[#This Row],[statusRaw]],1+HEX2DEC(LEFT(W$1,2))*2, 8))/10000</f>
        <v>0.5</v>
      </c>
      <c r="X73" s="3">
        <f>HEX2DEC(MID(Table1[[#This Row],[statusRaw]],1+HEX2DEC(LEFT(X$1,2))*2, 8))/10000</f>
        <v>0</v>
      </c>
      <c r="Y73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73" s="3">
        <f>HEX2DEC(MID(Table1[[#This Row],[statusRaw]],1+HEX2DEC(LEFT(Z$1,2))*2, 8))/10000</f>
        <v>7.45</v>
      </c>
      <c r="AA73" s="3">
        <f>HEX2DEC(MID(Table1[[#This Row],[statusRaw]],1+HEX2DEC(LEFT(AA$1,2))*2, 2))</f>
        <v>50</v>
      </c>
      <c r="AB73" s="3">
        <f>HEX2DEC(MID(Table1[[#This Row],[statusRaw]],1+HEX2DEC(LEFT(AB$1,2))*2, 8))/10000</f>
        <v>80.025000000000006</v>
      </c>
      <c r="AC73" s="3">
        <f>HEX2DEC(MID(Table1[[#This Row],[statusRaw]],1+HEX2DEC(LEFT(AC$1,2))*2, 2))</f>
        <v>25</v>
      </c>
      <c r="AD73" s="3">
        <f>HEX2DEC(MID(Table1[[#This Row],[statusRaw]],1+HEX2DEC(LEFT(AD$1,2))*2, 2))</f>
        <v>0</v>
      </c>
      <c r="AE73" s="3">
        <f>HEX2DEC(MID(Table1[[#This Row],[statusRaw]],1+HEX2DEC(LEFT(AE$1,2))*2, 8))/10000</f>
        <v>1.5</v>
      </c>
      <c r="AF73" s="3">
        <f>IF(AND(Table1[[#This Row],[cgm]],NOT(Table1[[#This Row],[35 - SGV special bit (2)]])), _xlfn.BITAND(HEX2DEC(MID(Table1[[#This Row],[statusRaw]],1+HEX2DEC(LEFT(AF$1,2))*2, 4)),HEX2DEC("1FF")),"")</f>
        <v>176</v>
      </c>
      <c r="AG73" s="3" t="b">
        <f>_xlfn.BITAND(HEX2DEC(MID(Table1[[#This Row],[statusRaw]],1+HEX2DEC(LEFT(AG$1,2))*2, 4)),512)=512</f>
        <v>0</v>
      </c>
      <c r="AH73" s="3" t="str">
        <f>MID(Table1[[#This Row],[statusRaw]],1+HEX2DEC(LEFT(AF$1,2))*2, 8)</f>
        <v>00B08673</v>
      </c>
      <c r="AI73" s="3" t="str">
        <f>MID(Table1[[#This Row],[statusRaw]],1+HEX2DEC(LEFT(AH$1,2))*2, 8)</f>
        <v>8673F842</v>
      </c>
      <c r="AJ73" s="3" t="str">
        <f>HEX2BIN(MID(Table1[[#This Row],[statusRaw]],1+HEX2DEC(LEFT(AJ$1,2))*2, 2),8) &amp; " 0x" &amp;MID(Table1[[#This Row],[statusRaw]],1+HEX2DEC(LEFT(AJ$1,2))*2, 2)</f>
        <v>00000000 0x00</v>
      </c>
      <c r="AK73" s="1" t="str">
        <f>HEX2BIN(MID(Table1[[#This Row],[statusRaw]],1+HEX2DEC(LEFT(AK$1,2))*2, 2),8) &amp; " 0x" &amp;MID(Table1[[#This Row],[statusRaw]],1+HEX2DEC(LEFT(AK$1,2))*2, 2)</f>
        <v>10000000 0x80</v>
      </c>
      <c r="AL73" s="1" t="str">
        <f>VLOOKUP(Table1[[#This Row],[40 trend]],'Arrow status mapping'!$A$1:$B$8,2,FALSE)</f>
        <v>1 arrows up</v>
      </c>
      <c r="AM73" s="3" t="str">
        <f>HEX2BIN(MID(Table1[[#This Row],[statusRaw]],1+HEX2DEC(LEFT(AM$1,2))*2, 2),8) &amp; " 0x" &amp;MID(Table1[[#This Row],[statusRaw]],1+HEX2DEC(LEFT(AM$1,2))*2, 2)</f>
        <v>00010000 0x10</v>
      </c>
      <c r="AN73" s="3" t="str">
        <f>HEX2BIN(MID(Table1[[#This Row],[statusRaw]],1+HEX2DEC(LEFT(AN$1,2))*2, 2),8) &amp; " 0x" &amp;MID(Table1[[#This Row],[statusRaw]],1+HEX2DEC(LEFT(AN$1,2))*2, 2)</f>
        <v>00000000 0x00</v>
      </c>
      <c r="AO73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0x0212 530</v>
      </c>
      <c r="AP73" s="1" t="str">
        <f>HEX2BIN(MID(Table1[[#This Row],[statusRaw]],1+HEX2DEC(LEFT(AP$1,2))*2, 2),8) &amp; " 0x" &amp;MID(Table1[[#This Row],[statusRaw]],1+HEX2DEC(LEFT(AP$1,2))*2, 2)</f>
        <v>00101011 0x2B</v>
      </c>
      <c r="AQ73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0x008C 140</v>
      </c>
      <c r="AR73" s="3">
        <f>TRUNC(_xlfn.NUMBERVALUE(RIGHT(Table1[[#This Row],[46 rate of change (2)]],LEN(Table1[[#This Row],[46 rate of change (2)]])-7))/100)</f>
        <v>1</v>
      </c>
      <c r="AS73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up</v>
      </c>
      <c r="AT73" s="3" t="b">
        <f>Table1[[#This Row],[calc arrow]]=Table1[[#This Row],[trend]]</f>
        <v>1</v>
      </c>
      <c r="AU73" s="3" t="str">
        <f>HEX2BIN(MID(Table1[[#This Row],[statusRaw]],1+HEX2DEC(LEFT(AU$1,2))*2, 2),8) &amp; " 0x" &amp;MID(Table1[[#This Row],[statusRaw]],1+HEX2DEC(LEFT(AU$1,2))*2, 2)</f>
        <v>00000000 0x00</v>
      </c>
      <c r="AV73" s="3">
        <f>HEX2DEC(MID(Table1[[#This Row],[statusRaw]],1+HEX2DEC(LEFT(AV$1,2))*2, 4))</f>
        <v>0</v>
      </c>
      <c r="AW73" s="3" t="str">
        <f>HEX2BIN(MID(Table1[[#This Row],[statusRaw]],1+HEX2DEC(LEFT(AW$1,2))*2, 2),8) &amp; " 0x" &amp;MID(Table1[[#This Row],[statusRaw]],1+HEX2DEC(LEFT(AW$1,2))*2, 2)</f>
        <v>00000000 0x00</v>
      </c>
      <c r="AX73" s="3" t="str">
        <f>HEX2BIN(MID(Table1[[#This Row],[statusRaw]],1+HEX2DEC(LEFT(AX$1,2))*2, 2),8) &amp; " 0x" &amp;MID(Table1[[#This Row],[statusRaw]],1+HEX2DEC(LEFT(AX$1,2))*2, 2)</f>
        <v>00000000 0x00</v>
      </c>
      <c r="AY73" s="3" t="str">
        <f>MID(Table1[[#This Row],[statusRaw]],1+HEX2DEC(LEFT(AY$1,2))*2, 8)</f>
        <v>00000000</v>
      </c>
      <c r="AZ73" s="3" t="str">
        <f>MID(Table1[[#This Row],[statusRaw]],1+HEX2DEC(LEFT(AZ$1,2))*2, 8)</f>
        <v>00000000</v>
      </c>
      <c r="BA73" s="3" t="str">
        <f>HEX2BIN(MID(Table1[[#This Row],[statusRaw]],1+HEX2DEC(LEFT(BA$1,2))*2, 2),8) &amp; " 0x" &amp;MID(Table1[[#This Row],[statusRaw]],1+HEX2DEC(LEFT(BA$1,2))*2, 2)</f>
        <v>00000000 0x00</v>
      </c>
      <c r="BB73" s="3" t="str">
        <f>HEX2BIN(MID(Table1[[#This Row],[statusRaw]],1+HEX2DEC(LEFT(BB$1,2))*2, 2),8) &amp; " 0x" &amp;MID(Table1[[#This Row],[statusRaw]],1+HEX2DEC(LEFT(BB$1,2))*2, 2)</f>
        <v>00000000 0x00</v>
      </c>
      <c r="BC73" s="3" t="str">
        <f>HEX2BIN(MID(Table1[[#This Row],[statusRaw]],1+HEX2DEC(LEFT(BC$1,2))*2, 2),8) &amp; " 0x" &amp;MID(Table1[[#This Row],[statusRaw]],1+HEX2DEC(LEFT(BC$1,2))*2, 2)</f>
        <v>00000000 0x00</v>
      </c>
      <c r="BD73" s="3" t="str">
        <f>MID(Table1[[#This Row],[statusRaw]],1+HEX2DEC(LEFT(BD$1,2))*2, 8)</f>
        <v>000008C5</v>
      </c>
      <c r="BE73" s="3" t="str">
        <f>MID(Table1[[#This Row],[statusRaw]],1+HEX2DEC(LEFT(BE$1,2))*2, 8)</f>
        <v>000008C5</v>
      </c>
      <c r="BF73" s="9"/>
    </row>
    <row r="74" spans="1:58" x14ac:dyDescent="0.25">
      <c r="A74" s="1" t="s">
        <v>222</v>
      </c>
      <c r="B74" s="1" t="s">
        <v>223</v>
      </c>
      <c r="C74" s="1" t="s">
        <v>7</v>
      </c>
      <c r="D74" s="1" t="s">
        <v>224</v>
      </c>
      <c r="E74" s="1">
        <v>16</v>
      </c>
      <c r="F74" s="3" t="str">
        <f>HEX2BIN(MID(Table1[[#This Row],[statusRaw]],1+HEX2DEC(LEFT(F$1,2))*2, 2),8) &amp; " 0x" &amp;MID(Table1[[#This Row],[statusRaw]],1+HEX2DEC(LEFT(F$1,2))*2, 2)</f>
        <v>01010000 0x50</v>
      </c>
      <c r="G74" s="3" t="b">
        <f>MID(Table1[[#This Row],[03 - pump status (1)]],1,1)="1"</f>
        <v>0</v>
      </c>
      <c r="H74" s="3" t="b">
        <f>MID(Table1[[#This Row],[03 - pump status (1)]],2,1)="1"</f>
        <v>1</v>
      </c>
      <c r="I74" s="3" t="b">
        <f>MID(Table1[[#This Row],[03 - pump status (1)]],3,1)="1"</f>
        <v>0</v>
      </c>
      <c r="J74" s="3" t="b">
        <f>MID(Table1[[#This Row],[03 - pump status (1)]],4,1)="1"</f>
        <v>1</v>
      </c>
      <c r="K74" s="3" t="b">
        <f>MID(Table1[[#This Row],[03 - pump status (1)]],5,1)="1"</f>
        <v>0</v>
      </c>
      <c r="L74" s="3" t="b">
        <f>MID(Table1[[#This Row],[03 - pump status (1)]],6,1)="1"</f>
        <v>0</v>
      </c>
      <c r="M74" s="3" t="b">
        <f>MID(Table1[[#This Row],[03 - pump status (1)]],7,1)="1"</f>
        <v>0</v>
      </c>
      <c r="N74" s="3" t="b">
        <f>MID(Table1[[#This Row],[03 - pump status (1)]],8,1)="1"</f>
        <v>0</v>
      </c>
      <c r="O74" s="3" t="str">
        <f>MID(Table1[[#This Row],[statusRaw]],1+HEX2DEC(LEFT(O$1,2))*2, 8)</f>
        <v>00000000</v>
      </c>
      <c r="P74" s="3" t="str">
        <f>MID(Table1[[#This Row],[statusRaw]],1+HEX2DEC(LEFT(P$1,2))*2, 8)</f>
        <v>00000000</v>
      </c>
      <c r="Q74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74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74" s="3">
        <f>HEX2DEC(MID(Table1[[#This Row],[statusRaw]],1+HEX2DEC(LEFT(S$1,2))*2, 8))/10000</f>
        <v>1</v>
      </c>
      <c r="T74" s="3" t="str">
        <f>MID(Table1[[#This Row],[statusRaw]],1+HEX2DEC(LEFT(T$1,2))*2, 8)</f>
        <v>2789ECB3</v>
      </c>
      <c r="U74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74" s="3" t="str">
        <f>HEX2BIN(MID(Table1[[#This Row],[statusRaw]],1+HEX2DEC(LEFT(V$1,2))*2, 2),8) &amp; " 0x" &amp;MID(Table1[[#This Row],[statusRaw]],1+HEX2DEC(LEFT(V$1,2))*2, 2)</f>
        <v>00000001 0x01</v>
      </c>
      <c r="W74" s="3">
        <f>HEX2DEC(MID(Table1[[#This Row],[statusRaw]],1+HEX2DEC(LEFT(W$1,2))*2, 8))/10000</f>
        <v>0.5</v>
      </c>
      <c r="X74" s="3">
        <f>HEX2DEC(MID(Table1[[#This Row],[statusRaw]],1+HEX2DEC(LEFT(X$1,2))*2, 8))/10000</f>
        <v>0</v>
      </c>
      <c r="Y74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74" s="3">
        <f>HEX2DEC(MID(Table1[[#This Row],[statusRaw]],1+HEX2DEC(LEFT(Z$1,2))*2, 8))/10000</f>
        <v>7.4249999999999998</v>
      </c>
      <c r="AA74" s="3">
        <f>HEX2DEC(MID(Table1[[#This Row],[statusRaw]],1+HEX2DEC(LEFT(AA$1,2))*2, 2))</f>
        <v>50</v>
      </c>
      <c r="AB74" s="3">
        <f>HEX2DEC(MID(Table1[[#This Row],[statusRaw]],1+HEX2DEC(LEFT(AB$1,2))*2, 8))/10000</f>
        <v>80.05</v>
      </c>
      <c r="AC74" s="3">
        <f>HEX2DEC(MID(Table1[[#This Row],[statusRaw]],1+HEX2DEC(LEFT(AC$1,2))*2, 2))</f>
        <v>25</v>
      </c>
      <c r="AD74" s="3">
        <f>HEX2DEC(MID(Table1[[#This Row],[statusRaw]],1+HEX2DEC(LEFT(AD$1,2))*2, 2))</f>
        <v>0</v>
      </c>
      <c r="AE74" s="3">
        <f>HEX2DEC(MID(Table1[[#This Row],[statusRaw]],1+HEX2DEC(LEFT(AE$1,2))*2, 8))/10000</f>
        <v>1.6</v>
      </c>
      <c r="AF74" s="3">
        <f>IF(AND(Table1[[#This Row],[cgm]],NOT(Table1[[#This Row],[35 - SGV special bit (2)]])), _xlfn.BITAND(HEX2DEC(MID(Table1[[#This Row],[statusRaw]],1+HEX2DEC(LEFT(AF$1,2))*2, 4)),HEX2DEC("1FF")),"")</f>
        <v>168</v>
      </c>
      <c r="AG74" s="3" t="b">
        <f>_xlfn.BITAND(HEX2DEC(MID(Table1[[#This Row],[statusRaw]],1+HEX2DEC(LEFT(AG$1,2))*2, 4)),512)=512</f>
        <v>0</v>
      </c>
      <c r="AH74" s="3" t="str">
        <f>MID(Table1[[#This Row],[statusRaw]],1+HEX2DEC(LEFT(AF$1,2))*2, 8)</f>
        <v>00A88673</v>
      </c>
      <c r="AI74" s="3" t="str">
        <f>MID(Table1[[#This Row],[statusRaw]],1+HEX2DEC(LEFT(AH$1,2))*2, 8)</f>
        <v>8673F716</v>
      </c>
      <c r="AJ74" s="3" t="str">
        <f>HEX2BIN(MID(Table1[[#This Row],[statusRaw]],1+HEX2DEC(LEFT(AJ$1,2))*2, 2),8) &amp; " 0x" &amp;MID(Table1[[#This Row],[statusRaw]],1+HEX2DEC(LEFT(AJ$1,2))*2, 2)</f>
        <v>00000000 0x00</v>
      </c>
      <c r="AK74" s="1" t="str">
        <f>HEX2BIN(MID(Table1[[#This Row],[statusRaw]],1+HEX2DEC(LEFT(AK$1,2))*2, 2),8) &amp; " 0x" &amp;MID(Table1[[#This Row],[statusRaw]],1+HEX2DEC(LEFT(AK$1,2))*2, 2)</f>
        <v>10000000 0x80</v>
      </c>
      <c r="AL74" s="1" t="str">
        <f>VLOOKUP(Table1[[#This Row],[40 trend]],'Arrow status mapping'!$A$1:$B$8,2,FALSE)</f>
        <v>1 arrows up</v>
      </c>
      <c r="AM74" s="3" t="str">
        <f>HEX2BIN(MID(Table1[[#This Row],[statusRaw]],1+HEX2DEC(LEFT(AM$1,2))*2, 2),8) &amp; " 0x" &amp;MID(Table1[[#This Row],[statusRaw]],1+HEX2DEC(LEFT(AM$1,2))*2, 2)</f>
        <v>00010000 0x10</v>
      </c>
      <c r="AN74" s="3" t="str">
        <f>HEX2BIN(MID(Table1[[#This Row],[statusRaw]],1+HEX2DEC(LEFT(AN$1,2))*2, 2),8) &amp; " 0x" &amp;MID(Table1[[#This Row],[statusRaw]],1+HEX2DEC(LEFT(AN$1,2))*2, 2)</f>
        <v>00000000 0x00</v>
      </c>
      <c r="AO74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0x0217 535</v>
      </c>
      <c r="AP74" s="1" t="str">
        <f>HEX2BIN(MID(Table1[[#This Row],[statusRaw]],1+HEX2DEC(LEFT(AP$1,2))*2, 2),8) &amp; " 0x" &amp;MID(Table1[[#This Row],[statusRaw]],1+HEX2DEC(LEFT(AP$1,2))*2, 2)</f>
        <v>00101011 0x2B</v>
      </c>
      <c r="AQ74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0x008C 140</v>
      </c>
      <c r="AR74" s="3">
        <f>TRUNC(_xlfn.NUMBERVALUE(RIGHT(Table1[[#This Row],[46 rate of change (2)]],LEN(Table1[[#This Row],[46 rate of change (2)]])-7))/100)</f>
        <v>1</v>
      </c>
      <c r="AS74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up</v>
      </c>
      <c r="AT74" s="3" t="b">
        <f>Table1[[#This Row],[calc arrow]]=Table1[[#This Row],[trend]]</f>
        <v>1</v>
      </c>
      <c r="AU74" s="3" t="str">
        <f>HEX2BIN(MID(Table1[[#This Row],[statusRaw]],1+HEX2DEC(LEFT(AU$1,2))*2, 2),8) &amp; " 0x" &amp;MID(Table1[[#This Row],[statusRaw]],1+HEX2DEC(LEFT(AU$1,2))*2, 2)</f>
        <v>00000000 0x00</v>
      </c>
      <c r="AV74" s="3">
        <f>HEX2DEC(MID(Table1[[#This Row],[statusRaw]],1+HEX2DEC(LEFT(AV$1,2))*2, 4))</f>
        <v>0</v>
      </c>
      <c r="AW74" s="3" t="str">
        <f>HEX2BIN(MID(Table1[[#This Row],[statusRaw]],1+HEX2DEC(LEFT(AW$1,2))*2, 2),8) &amp; " 0x" &amp;MID(Table1[[#This Row],[statusRaw]],1+HEX2DEC(LEFT(AW$1,2))*2, 2)</f>
        <v>00000000 0x00</v>
      </c>
      <c r="AX74" s="3" t="str">
        <f>HEX2BIN(MID(Table1[[#This Row],[statusRaw]],1+HEX2DEC(LEFT(AX$1,2))*2, 2),8) &amp; " 0x" &amp;MID(Table1[[#This Row],[statusRaw]],1+HEX2DEC(LEFT(AX$1,2))*2, 2)</f>
        <v>00000000 0x00</v>
      </c>
      <c r="AY74" s="3" t="str">
        <f>MID(Table1[[#This Row],[statusRaw]],1+HEX2DEC(LEFT(AY$1,2))*2, 8)</f>
        <v>00000000</v>
      </c>
      <c r="AZ74" s="3" t="str">
        <f>MID(Table1[[#This Row],[statusRaw]],1+HEX2DEC(LEFT(AZ$1,2))*2, 8)</f>
        <v>00000000</v>
      </c>
      <c r="BA74" s="3" t="str">
        <f>HEX2BIN(MID(Table1[[#This Row],[statusRaw]],1+HEX2DEC(LEFT(BA$1,2))*2, 2),8) &amp; " 0x" &amp;MID(Table1[[#This Row],[statusRaw]],1+HEX2DEC(LEFT(BA$1,2))*2, 2)</f>
        <v>00000000 0x00</v>
      </c>
      <c r="BB74" s="3" t="str">
        <f>HEX2BIN(MID(Table1[[#This Row],[statusRaw]],1+HEX2DEC(LEFT(BB$1,2))*2, 2),8) &amp; " 0x" &amp;MID(Table1[[#This Row],[statusRaw]],1+HEX2DEC(LEFT(BB$1,2))*2, 2)</f>
        <v>00000000 0x00</v>
      </c>
      <c r="BC74" s="3" t="str">
        <f>HEX2BIN(MID(Table1[[#This Row],[statusRaw]],1+HEX2DEC(LEFT(BC$1,2))*2, 2),8) &amp; " 0x" &amp;MID(Table1[[#This Row],[statusRaw]],1+HEX2DEC(LEFT(BC$1,2))*2, 2)</f>
        <v>00000000 0x00</v>
      </c>
      <c r="BD74" s="3" t="str">
        <f>MID(Table1[[#This Row],[statusRaw]],1+HEX2DEC(LEFT(BD$1,2))*2, 8)</f>
        <v>000008C5</v>
      </c>
      <c r="BE74" s="3" t="str">
        <f>MID(Table1[[#This Row],[statusRaw]],1+HEX2DEC(LEFT(BE$1,2))*2, 8)</f>
        <v>000008C5</v>
      </c>
      <c r="BF74" s="9"/>
    </row>
    <row r="75" spans="1:58" x14ac:dyDescent="0.25">
      <c r="A75" s="1" t="s">
        <v>225</v>
      </c>
      <c r="B75" s="1" t="s">
        <v>226</v>
      </c>
      <c r="C75" s="1" t="s">
        <v>7</v>
      </c>
      <c r="D75" s="1" t="s">
        <v>227</v>
      </c>
      <c r="E75" s="1">
        <v>15</v>
      </c>
      <c r="F75" s="3" t="str">
        <f>HEX2BIN(MID(Table1[[#This Row],[statusRaw]],1+HEX2DEC(LEFT(F$1,2))*2, 2),8) &amp; " 0x" &amp;MID(Table1[[#This Row],[statusRaw]],1+HEX2DEC(LEFT(F$1,2))*2, 2)</f>
        <v>01010000 0x50</v>
      </c>
      <c r="G75" s="3" t="b">
        <f>MID(Table1[[#This Row],[03 - pump status (1)]],1,1)="1"</f>
        <v>0</v>
      </c>
      <c r="H75" s="3" t="b">
        <f>MID(Table1[[#This Row],[03 - pump status (1)]],2,1)="1"</f>
        <v>1</v>
      </c>
      <c r="I75" s="3" t="b">
        <f>MID(Table1[[#This Row],[03 - pump status (1)]],3,1)="1"</f>
        <v>0</v>
      </c>
      <c r="J75" s="3" t="b">
        <f>MID(Table1[[#This Row],[03 - pump status (1)]],4,1)="1"</f>
        <v>1</v>
      </c>
      <c r="K75" s="3" t="b">
        <f>MID(Table1[[#This Row],[03 - pump status (1)]],5,1)="1"</f>
        <v>0</v>
      </c>
      <c r="L75" s="3" t="b">
        <f>MID(Table1[[#This Row],[03 - pump status (1)]],6,1)="1"</f>
        <v>0</v>
      </c>
      <c r="M75" s="3" t="b">
        <f>MID(Table1[[#This Row],[03 - pump status (1)]],7,1)="1"</f>
        <v>0</v>
      </c>
      <c r="N75" s="3" t="b">
        <f>MID(Table1[[#This Row],[03 - pump status (1)]],8,1)="1"</f>
        <v>0</v>
      </c>
      <c r="O75" s="3" t="str">
        <f>MID(Table1[[#This Row],[statusRaw]],1+HEX2DEC(LEFT(O$1,2))*2, 8)</f>
        <v>00000000</v>
      </c>
      <c r="P75" s="3" t="str">
        <f>MID(Table1[[#This Row],[statusRaw]],1+HEX2DEC(LEFT(P$1,2))*2, 8)</f>
        <v>00000000</v>
      </c>
      <c r="Q75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75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75" s="3">
        <f>HEX2DEC(MID(Table1[[#This Row],[statusRaw]],1+HEX2DEC(LEFT(S$1,2))*2, 8))/10000</f>
        <v>0.5</v>
      </c>
      <c r="T75" s="3" t="str">
        <f>MID(Table1[[#This Row],[statusRaw]],1+HEX2DEC(LEFT(T$1,2))*2, 8)</f>
        <v>2789E791</v>
      </c>
      <c r="U75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0x2800 10240</v>
      </c>
      <c r="V75" s="3" t="str">
        <f>HEX2BIN(MID(Table1[[#This Row],[statusRaw]],1+HEX2DEC(LEFT(V$1,2))*2, 2),8) &amp; " 0x" &amp;MID(Table1[[#This Row],[statusRaw]],1+HEX2DEC(LEFT(V$1,2))*2, 2)</f>
        <v>00000001 0x01</v>
      </c>
      <c r="W75" s="3">
        <f>HEX2DEC(MID(Table1[[#This Row],[statusRaw]],1+HEX2DEC(LEFT(W$1,2))*2, 8))/10000</f>
        <v>0.57499999999999996</v>
      </c>
      <c r="X75" s="3">
        <f>HEX2DEC(MID(Table1[[#This Row],[statusRaw]],1+HEX2DEC(LEFT(X$1,2))*2, 8))/10000</f>
        <v>0</v>
      </c>
      <c r="Y75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75" s="3">
        <f>HEX2DEC(MID(Table1[[#This Row],[statusRaw]],1+HEX2DEC(LEFT(Z$1,2))*2, 8))/10000</f>
        <v>7.3250000000000002</v>
      </c>
      <c r="AA75" s="3">
        <f>HEX2DEC(MID(Table1[[#This Row],[statusRaw]],1+HEX2DEC(LEFT(AA$1,2))*2, 2))</f>
        <v>50</v>
      </c>
      <c r="AB75" s="3">
        <f>HEX2DEC(MID(Table1[[#This Row],[statusRaw]],1+HEX2DEC(LEFT(AB$1,2))*2, 8))/10000</f>
        <v>81.150000000000006</v>
      </c>
      <c r="AC75" s="3">
        <f>HEX2DEC(MID(Table1[[#This Row],[statusRaw]],1+HEX2DEC(LEFT(AC$1,2))*2, 2))</f>
        <v>25</v>
      </c>
      <c r="AD75" s="3">
        <f>HEX2DEC(MID(Table1[[#This Row],[statusRaw]],1+HEX2DEC(LEFT(AD$1,2))*2, 2))</f>
        <v>0</v>
      </c>
      <c r="AE75" s="3">
        <f>HEX2DEC(MID(Table1[[#This Row],[statusRaw]],1+HEX2DEC(LEFT(AE$1,2))*2, 8))/10000</f>
        <v>0.6</v>
      </c>
      <c r="AF75" s="3">
        <f>IF(AND(Table1[[#This Row],[cgm]],NOT(Table1[[#This Row],[35 - SGV special bit (2)]])), _xlfn.BITAND(HEX2DEC(MID(Table1[[#This Row],[statusRaw]],1+HEX2DEC(LEFT(AF$1,2))*2, 4)),HEX2DEC("1FF")),"")</f>
        <v>148</v>
      </c>
      <c r="AG75" s="3" t="b">
        <f>_xlfn.BITAND(HEX2DEC(MID(Table1[[#This Row],[statusRaw]],1+HEX2DEC(LEFT(AG$1,2))*2, 4)),512)=512</f>
        <v>0</v>
      </c>
      <c r="AH75" s="3" t="str">
        <f>MID(Table1[[#This Row],[statusRaw]],1+HEX2DEC(LEFT(AF$1,2))*2, 8)</f>
        <v>00948673</v>
      </c>
      <c r="AI75" s="3" t="str">
        <f>MID(Table1[[#This Row],[statusRaw]],1+HEX2DEC(LEFT(AH$1,2))*2, 8)</f>
        <v>8673F4BE</v>
      </c>
      <c r="AJ75" s="3" t="str">
        <f>HEX2BIN(MID(Table1[[#This Row],[statusRaw]],1+HEX2DEC(LEFT(AJ$1,2))*2, 2),8) &amp; " 0x" &amp;MID(Table1[[#This Row],[statusRaw]],1+HEX2DEC(LEFT(AJ$1,2))*2, 2)</f>
        <v>00000000 0x00</v>
      </c>
      <c r="AK75" s="1" t="str">
        <f>HEX2BIN(MID(Table1[[#This Row],[statusRaw]],1+HEX2DEC(LEFT(AK$1,2))*2, 2),8) &amp; " 0x" &amp;MID(Table1[[#This Row],[statusRaw]],1+HEX2DEC(LEFT(AK$1,2))*2, 2)</f>
        <v>01100000 0x60</v>
      </c>
      <c r="AL75" s="1" t="str">
        <f>VLOOKUP(Table1[[#This Row],[40 trend]],'Arrow status mapping'!$A$1:$B$8,2,FALSE)</f>
        <v>No arrows</v>
      </c>
      <c r="AM75" s="3" t="str">
        <f>HEX2BIN(MID(Table1[[#This Row],[statusRaw]],1+HEX2DEC(LEFT(AM$1,2))*2, 2),8) &amp; " 0x" &amp;MID(Table1[[#This Row],[statusRaw]],1+HEX2DEC(LEFT(AM$1,2))*2, 2)</f>
        <v>00010000 0x10</v>
      </c>
      <c r="AN75" s="3" t="str">
        <f>HEX2BIN(MID(Table1[[#This Row],[statusRaw]],1+HEX2DEC(LEFT(AN$1,2))*2, 2),8) &amp; " 0x" &amp;MID(Table1[[#This Row],[statusRaw]],1+HEX2DEC(LEFT(AN$1,2))*2, 2)</f>
        <v>00000000 0x00</v>
      </c>
      <c r="AO75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0x0221 545</v>
      </c>
      <c r="AP75" s="1" t="str">
        <f>HEX2BIN(MID(Table1[[#This Row],[statusRaw]],1+HEX2DEC(LEFT(AP$1,2))*2, 2),8) &amp; " 0x" &amp;MID(Table1[[#This Row],[statusRaw]],1+HEX2DEC(LEFT(AP$1,2))*2, 2)</f>
        <v>00101011 0x2B</v>
      </c>
      <c r="AQ75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0x0037 55</v>
      </c>
      <c r="AR75" s="3">
        <f>TRUNC(_xlfn.NUMBERVALUE(RIGHT(Table1[[#This Row],[46 rate of change (2)]],LEN(Table1[[#This Row],[46 rate of change (2)]])-7))/100)</f>
        <v>0</v>
      </c>
      <c r="AS75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75" s="3" t="b">
        <f>Table1[[#This Row],[calc arrow]]=Table1[[#This Row],[trend]]</f>
        <v>1</v>
      </c>
      <c r="AU75" s="3" t="str">
        <f>HEX2BIN(MID(Table1[[#This Row],[statusRaw]],1+HEX2DEC(LEFT(AU$1,2))*2, 2),8) &amp; " 0x" &amp;MID(Table1[[#This Row],[statusRaw]],1+HEX2DEC(LEFT(AU$1,2))*2, 2)</f>
        <v>00000000 0x00</v>
      </c>
      <c r="AV75" s="3">
        <f>HEX2DEC(MID(Table1[[#This Row],[statusRaw]],1+HEX2DEC(LEFT(AV$1,2))*2, 4))</f>
        <v>0</v>
      </c>
      <c r="AW75" s="3" t="str">
        <f>HEX2BIN(MID(Table1[[#This Row],[statusRaw]],1+HEX2DEC(LEFT(AW$1,2))*2, 2),8) &amp; " 0x" &amp;MID(Table1[[#This Row],[statusRaw]],1+HEX2DEC(LEFT(AW$1,2))*2, 2)</f>
        <v>00000000 0x00</v>
      </c>
      <c r="AX75" s="3" t="str">
        <f>HEX2BIN(MID(Table1[[#This Row],[statusRaw]],1+HEX2DEC(LEFT(AX$1,2))*2, 2),8) &amp; " 0x" &amp;MID(Table1[[#This Row],[statusRaw]],1+HEX2DEC(LEFT(AX$1,2))*2, 2)</f>
        <v>00000000 0x00</v>
      </c>
      <c r="AY75" s="3" t="str">
        <f>MID(Table1[[#This Row],[statusRaw]],1+HEX2DEC(LEFT(AY$1,2))*2, 8)</f>
        <v>00000000</v>
      </c>
      <c r="AZ75" s="3" t="str">
        <f>MID(Table1[[#This Row],[statusRaw]],1+HEX2DEC(LEFT(AZ$1,2))*2, 8)</f>
        <v>00000000</v>
      </c>
      <c r="BA75" s="3" t="str">
        <f>HEX2BIN(MID(Table1[[#This Row],[statusRaw]],1+HEX2DEC(LEFT(BA$1,2))*2, 2),8) &amp; " 0x" &amp;MID(Table1[[#This Row],[statusRaw]],1+HEX2DEC(LEFT(BA$1,2))*2, 2)</f>
        <v>00000000 0x00</v>
      </c>
      <c r="BB75" s="3" t="str">
        <f>HEX2BIN(MID(Table1[[#This Row],[statusRaw]],1+HEX2DEC(LEFT(BB$1,2))*2, 2),8) &amp; " 0x" &amp;MID(Table1[[#This Row],[statusRaw]],1+HEX2DEC(LEFT(BB$1,2))*2, 2)</f>
        <v>00000000 0x00</v>
      </c>
      <c r="BC75" s="3" t="str">
        <f>HEX2BIN(MID(Table1[[#This Row],[statusRaw]],1+HEX2DEC(LEFT(BC$1,2))*2, 2),8) &amp; " 0x" &amp;MID(Table1[[#This Row],[statusRaw]],1+HEX2DEC(LEFT(BC$1,2))*2, 2)</f>
        <v>00000000 0x00</v>
      </c>
      <c r="BD75" s="3" t="str">
        <f>MID(Table1[[#This Row],[statusRaw]],1+HEX2DEC(LEFT(BD$1,2))*2, 8)</f>
        <v>000008C5</v>
      </c>
      <c r="BE75" s="3" t="str">
        <f>MID(Table1[[#This Row],[statusRaw]],1+HEX2DEC(LEFT(BE$1,2))*2, 8)</f>
        <v>000008C5</v>
      </c>
      <c r="BF75" s="9"/>
    </row>
    <row r="76" spans="1:58" x14ac:dyDescent="0.25">
      <c r="A76" s="1" t="s">
        <v>228</v>
      </c>
      <c r="B76" s="1" t="s">
        <v>229</v>
      </c>
      <c r="C76" s="1" t="s">
        <v>7</v>
      </c>
      <c r="D76" s="1" t="s">
        <v>230</v>
      </c>
      <c r="E76" s="1">
        <v>15</v>
      </c>
      <c r="F76" s="3" t="str">
        <f>HEX2BIN(MID(Table1[[#This Row],[statusRaw]],1+HEX2DEC(LEFT(F$1,2))*2, 2),8) &amp; " 0x" &amp;MID(Table1[[#This Row],[statusRaw]],1+HEX2DEC(LEFT(F$1,2))*2, 2)</f>
        <v>01010000 0x50</v>
      </c>
      <c r="G76" s="3" t="b">
        <f>MID(Table1[[#This Row],[03 - pump status (1)]],1,1)="1"</f>
        <v>0</v>
      </c>
      <c r="H76" s="3" t="b">
        <f>MID(Table1[[#This Row],[03 - pump status (1)]],2,1)="1"</f>
        <v>1</v>
      </c>
      <c r="I76" s="3" t="b">
        <f>MID(Table1[[#This Row],[03 - pump status (1)]],3,1)="1"</f>
        <v>0</v>
      </c>
      <c r="J76" s="3" t="b">
        <f>MID(Table1[[#This Row],[03 - pump status (1)]],4,1)="1"</f>
        <v>1</v>
      </c>
      <c r="K76" s="3" t="b">
        <f>MID(Table1[[#This Row],[03 - pump status (1)]],5,1)="1"</f>
        <v>0</v>
      </c>
      <c r="L76" s="3" t="b">
        <f>MID(Table1[[#This Row],[03 - pump status (1)]],6,1)="1"</f>
        <v>0</v>
      </c>
      <c r="M76" s="3" t="b">
        <f>MID(Table1[[#This Row],[03 - pump status (1)]],7,1)="1"</f>
        <v>0</v>
      </c>
      <c r="N76" s="3" t="b">
        <f>MID(Table1[[#This Row],[03 - pump status (1)]],8,1)="1"</f>
        <v>0</v>
      </c>
      <c r="O76" s="3" t="str">
        <f>MID(Table1[[#This Row],[statusRaw]],1+HEX2DEC(LEFT(O$1,2))*2, 8)</f>
        <v>00000000</v>
      </c>
      <c r="P76" s="3" t="str">
        <f>MID(Table1[[#This Row],[statusRaw]],1+HEX2DEC(LEFT(P$1,2))*2, 8)</f>
        <v>00000000</v>
      </c>
      <c r="Q76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76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76" s="3">
        <f>HEX2DEC(MID(Table1[[#This Row],[statusRaw]],1+HEX2DEC(LEFT(S$1,2))*2, 8))/10000</f>
        <v>0.5</v>
      </c>
      <c r="T76" s="3" t="str">
        <f>MID(Table1[[#This Row],[statusRaw]],1+HEX2DEC(LEFT(T$1,2))*2, 8)</f>
        <v>2789E791</v>
      </c>
      <c r="U76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0x2800 10240</v>
      </c>
      <c r="V76" s="3" t="str">
        <f>HEX2BIN(MID(Table1[[#This Row],[statusRaw]],1+HEX2DEC(LEFT(V$1,2))*2, 2),8) &amp; " 0x" &amp;MID(Table1[[#This Row],[statusRaw]],1+HEX2DEC(LEFT(V$1,2))*2, 2)</f>
        <v>00000001 0x01</v>
      </c>
      <c r="W76" s="3">
        <f>HEX2DEC(MID(Table1[[#This Row],[statusRaw]],1+HEX2DEC(LEFT(W$1,2))*2, 8))/10000</f>
        <v>0.57499999999999996</v>
      </c>
      <c r="X76" s="3">
        <f>HEX2DEC(MID(Table1[[#This Row],[statusRaw]],1+HEX2DEC(LEFT(X$1,2))*2, 8))/10000</f>
        <v>0</v>
      </c>
      <c r="Y76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76" s="3">
        <f>HEX2DEC(MID(Table1[[#This Row],[statusRaw]],1+HEX2DEC(LEFT(Z$1,2))*2, 8))/10000</f>
        <v>7.3</v>
      </c>
      <c r="AA76" s="3">
        <f>HEX2DEC(MID(Table1[[#This Row],[statusRaw]],1+HEX2DEC(LEFT(AA$1,2))*2, 2))</f>
        <v>50</v>
      </c>
      <c r="AB76" s="3">
        <f>HEX2DEC(MID(Table1[[#This Row],[statusRaw]],1+HEX2DEC(LEFT(AB$1,2))*2, 8))/10000</f>
        <v>81.174999999999997</v>
      </c>
      <c r="AC76" s="3">
        <f>HEX2DEC(MID(Table1[[#This Row],[statusRaw]],1+HEX2DEC(LEFT(AC$1,2))*2, 2))</f>
        <v>25</v>
      </c>
      <c r="AD76" s="3">
        <f>HEX2DEC(MID(Table1[[#This Row],[statusRaw]],1+HEX2DEC(LEFT(AD$1,2))*2, 2))</f>
        <v>0</v>
      </c>
      <c r="AE76" s="3">
        <f>HEX2DEC(MID(Table1[[#This Row],[statusRaw]],1+HEX2DEC(LEFT(AE$1,2))*2, 8))/10000</f>
        <v>0.7</v>
      </c>
      <c r="AF76" s="3">
        <f>IF(AND(Table1[[#This Row],[cgm]],NOT(Table1[[#This Row],[35 - SGV special bit (2)]])), _xlfn.BITAND(HEX2DEC(MID(Table1[[#This Row],[statusRaw]],1+HEX2DEC(LEFT(AF$1,2))*2, 4)),HEX2DEC("1FF")),"")</f>
        <v>139</v>
      </c>
      <c r="AG76" s="3" t="b">
        <f>_xlfn.BITAND(HEX2DEC(MID(Table1[[#This Row],[statusRaw]],1+HEX2DEC(LEFT(AG$1,2))*2, 4)),512)=512</f>
        <v>0</v>
      </c>
      <c r="AH76" s="3" t="str">
        <f>MID(Table1[[#This Row],[statusRaw]],1+HEX2DEC(LEFT(AF$1,2))*2, 8)</f>
        <v>008B8673</v>
      </c>
      <c r="AI76" s="3" t="str">
        <f>MID(Table1[[#This Row],[statusRaw]],1+HEX2DEC(LEFT(AH$1,2))*2, 8)</f>
        <v>8673F392</v>
      </c>
      <c r="AJ76" s="3" t="str">
        <f>HEX2BIN(MID(Table1[[#This Row],[statusRaw]],1+HEX2DEC(LEFT(AJ$1,2))*2, 2),8) &amp; " 0x" &amp;MID(Table1[[#This Row],[statusRaw]],1+HEX2DEC(LEFT(AJ$1,2))*2, 2)</f>
        <v>00000000 0x00</v>
      </c>
      <c r="AK76" s="1" t="str">
        <f>HEX2BIN(MID(Table1[[#This Row],[statusRaw]],1+HEX2DEC(LEFT(AK$1,2))*2, 2),8) &amp; " 0x" &amp;MID(Table1[[#This Row],[statusRaw]],1+HEX2DEC(LEFT(AK$1,2))*2, 2)</f>
        <v>01100000 0x60</v>
      </c>
      <c r="AL76" s="1" t="str">
        <f>VLOOKUP(Table1[[#This Row],[40 trend]],'Arrow status mapping'!$A$1:$B$8,2,FALSE)</f>
        <v>No arrows</v>
      </c>
      <c r="AM76" s="3" t="str">
        <f>HEX2BIN(MID(Table1[[#This Row],[statusRaw]],1+HEX2DEC(LEFT(AM$1,2))*2, 2),8) &amp; " 0x" &amp;MID(Table1[[#This Row],[statusRaw]],1+HEX2DEC(LEFT(AM$1,2))*2, 2)</f>
        <v>00010000 0x10</v>
      </c>
      <c r="AN76" s="3" t="str">
        <f>HEX2BIN(MID(Table1[[#This Row],[statusRaw]],1+HEX2DEC(LEFT(AN$1,2))*2, 2),8) &amp; " 0x" &amp;MID(Table1[[#This Row],[statusRaw]],1+HEX2DEC(LEFT(AN$1,2))*2, 2)</f>
        <v>00000000 0x00</v>
      </c>
      <c r="AO76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0x0226 550</v>
      </c>
      <c r="AP76" s="1" t="str">
        <f>HEX2BIN(MID(Table1[[#This Row],[statusRaw]],1+HEX2DEC(LEFT(AP$1,2))*2, 2),8) &amp; " 0x" &amp;MID(Table1[[#This Row],[statusRaw]],1+HEX2DEC(LEFT(AP$1,2))*2, 2)</f>
        <v>00101011 0x2B</v>
      </c>
      <c r="AQ76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76" s="3">
        <f>TRUNC(_xlfn.NUMBERVALUE(RIGHT(Table1[[#This Row],[46 rate of change (2)]],LEN(Table1[[#This Row],[46 rate of change (2)]])-7))/100)</f>
        <v>0</v>
      </c>
      <c r="AS76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76" s="3" t="b">
        <f>Table1[[#This Row],[calc arrow]]=Table1[[#This Row],[trend]]</f>
        <v>1</v>
      </c>
      <c r="AU76" s="3" t="str">
        <f>HEX2BIN(MID(Table1[[#This Row],[statusRaw]],1+HEX2DEC(LEFT(AU$1,2))*2, 2),8) &amp; " 0x" &amp;MID(Table1[[#This Row],[statusRaw]],1+HEX2DEC(LEFT(AU$1,2))*2, 2)</f>
        <v>00000000 0x00</v>
      </c>
      <c r="AV76" s="3">
        <f>HEX2DEC(MID(Table1[[#This Row],[statusRaw]],1+HEX2DEC(LEFT(AV$1,2))*2, 4))</f>
        <v>0</v>
      </c>
      <c r="AW76" s="3" t="str">
        <f>HEX2BIN(MID(Table1[[#This Row],[statusRaw]],1+HEX2DEC(LEFT(AW$1,2))*2, 2),8) &amp; " 0x" &amp;MID(Table1[[#This Row],[statusRaw]],1+HEX2DEC(LEFT(AW$1,2))*2, 2)</f>
        <v>00000000 0x00</v>
      </c>
      <c r="AX76" s="3" t="str">
        <f>HEX2BIN(MID(Table1[[#This Row],[statusRaw]],1+HEX2DEC(LEFT(AX$1,2))*2, 2),8) &amp; " 0x" &amp;MID(Table1[[#This Row],[statusRaw]],1+HEX2DEC(LEFT(AX$1,2))*2, 2)</f>
        <v>00000000 0x00</v>
      </c>
      <c r="AY76" s="3" t="str">
        <f>MID(Table1[[#This Row],[statusRaw]],1+HEX2DEC(LEFT(AY$1,2))*2, 8)</f>
        <v>00000000</v>
      </c>
      <c r="AZ76" s="3" t="str">
        <f>MID(Table1[[#This Row],[statusRaw]],1+HEX2DEC(LEFT(AZ$1,2))*2, 8)</f>
        <v>00000000</v>
      </c>
      <c r="BA76" s="3" t="str">
        <f>HEX2BIN(MID(Table1[[#This Row],[statusRaw]],1+HEX2DEC(LEFT(BA$1,2))*2, 2),8) &amp; " 0x" &amp;MID(Table1[[#This Row],[statusRaw]],1+HEX2DEC(LEFT(BA$1,2))*2, 2)</f>
        <v>00000000 0x00</v>
      </c>
      <c r="BB76" s="3" t="str">
        <f>HEX2BIN(MID(Table1[[#This Row],[statusRaw]],1+HEX2DEC(LEFT(BB$1,2))*2, 2),8) &amp; " 0x" &amp;MID(Table1[[#This Row],[statusRaw]],1+HEX2DEC(LEFT(BB$1,2))*2, 2)</f>
        <v>00000000 0x00</v>
      </c>
      <c r="BC76" s="3" t="str">
        <f>HEX2BIN(MID(Table1[[#This Row],[statusRaw]],1+HEX2DEC(LEFT(BC$1,2))*2, 2),8) &amp; " 0x" &amp;MID(Table1[[#This Row],[statusRaw]],1+HEX2DEC(LEFT(BC$1,2))*2, 2)</f>
        <v>00000000 0x00</v>
      </c>
      <c r="BD76" s="3" t="str">
        <f>MID(Table1[[#This Row],[statusRaw]],1+HEX2DEC(LEFT(BD$1,2))*2, 8)</f>
        <v>000008C5</v>
      </c>
      <c r="BE76" s="3" t="str">
        <f>MID(Table1[[#This Row],[statusRaw]],1+HEX2DEC(LEFT(BE$1,2))*2, 8)</f>
        <v>000008C5</v>
      </c>
      <c r="BF76" s="9"/>
    </row>
    <row r="77" spans="1:58" x14ac:dyDescent="0.25">
      <c r="A77" s="1" t="s">
        <v>231</v>
      </c>
      <c r="B77" s="1" t="s">
        <v>232</v>
      </c>
      <c r="C77" s="1" t="s">
        <v>7</v>
      </c>
      <c r="D77" s="1" t="s">
        <v>233</v>
      </c>
      <c r="E77" s="1">
        <v>15</v>
      </c>
      <c r="F77" s="3" t="str">
        <f>HEX2BIN(MID(Table1[[#This Row],[statusRaw]],1+HEX2DEC(LEFT(F$1,2))*2, 2),8) &amp; " 0x" &amp;MID(Table1[[#This Row],[statusRaw]],1+HEX2DEC(LEFT(F$1,2))*2, 2)</f>
        <v>01010000 0x50</v>
      </c>
      <c r="G77" s="3" t="b">
        <f>MID(Table1[[#This Row],[03 - pump status (1)]],1,1)="1"</f>
        <v>0</v>
      </c>
      <c r="H77" s="3" t="b">
        <f>MID(Table1[[#This Row],[03 - pump status (1)]],2,1)="1"</f>
        <v>1</v>
      </c>
      <c r="I77" s="3" t="b">
        <f>MID(Table1[[#This Row],[03 - pump status (1)]],3,1)="1"</f>
        <v>0</v>
      </c>
      <c r="J77" s="3" t="b">
        <f>MID(Table1[[#This Row],[03 - pump status (1)]],4,1)="1"</f>
        <v>1</v>
      </c>
      <c r="K77" s="3" t="b">
        <f>MID(Table1[[#This Row],[03 - pump status (1)]],5,1)="1"</f>
        <v>0</v>
      </c>
      <c r="L77" s="3" t="b">
        <f>MID(Table1[[#This Row],[03 - pump status (1)]],6,1)="1"</f>
        <v>0</v>
      </c>
      <c r="M77" s="3" t="b">
        <f>MID(Table1[[#This Row],[03 - pump status (1)]],7,1)="1"</f>
        <v>0</v>
      </c>
      <c r="N77" s="3" t="b">
        <f>MID(Table1[[#This Row],[03 - pump status (1)]],8,1)="1"</f>
        <v>0</v>
      </c>
      <c r="O77" s="3" t="str">
        <f>MID(Table1[[#This Row],[statusRaw]],1+HEX2DEC(LEFT(O$1,2))*2, 8)</f>
        <v>00000000</v>
      </c>
      <c r="P77" s="3" t="str">
        <f>MID(Table1[[#This Row],[statusRaw]],1+HEX2DEC(LEFT(P$1,2))*2, 8)</f>
        <v>00000000</v>
      </c>
      <c r="Q77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77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77" s="3">
        <f>HEX2DEC(MID(Table1[[#This Row],[statusRaw]],1+HEX2DEC(LEFT(S$1,2))*2, 8))/10000</f>
        <v>0.5</v>
      </c>
      <c r="T77" s="3" t="str">
        <f>MID(Table1[[#This Row],[statusRaw]],1+HEX2DEC(LEFT(T$1,2))*2, 8)</f>
        <v>2789E791</v>
      </c>
      <c r="U77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0x2800 10240</v>
      </c>
      <c r="V77" s="3" t="str">
        <f>HEX2BIN(MID(Table1[[#This Row],[statusRaw]],1+HEX2DEC(LEFT(V$1,2))*2, 2),8) &amp; " 0x" &amp;MID(Table1[[#This Row],[statusRaw]],1+HEX2DEC(LEFT(V$1,2))*2, 2)</f>
        <v>00000001 0x01</v>
      </c>
      <c r="W77" s="3">
        <f>HEX2DEC(MID(Table1[[#This Row],[statusRaw]],1+HEX2DEC(LEFT(W$1,2))*2, 8))/10000</f>
        <v>0.57499999999999996</v>
      </c>
      <c r="X77" s="3">
        <f>HEX2DEC(MID(Table1[[#This Row],[statusRaw]],1+HEX2DEC(LEFT(X$1,2))*2, 8))/10000</f>
        <v>0</v>
      </c>
      <c r="Y77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77" s="3">
        <f>HEX2DEC(MID(Table1[[#This Row],[statusRaw]],1+HEX2DEC(LEFT(Z$1,2))*2, 8))/10000</f>
        <v>7.25</v>
      </c>
      <c r="AA77" s="3">
        <f>HEX2DEC(MID(Table1[[#This Row],[statusRaw]],1+HEX2DEC(LEFT(AA$1,2))*2, 2))</f>
        <v>50</v>
      </c>
      <c r="AB77" s="3">
        <f>HEX2DEC(MID(Table1[[#This Row],[statusRaw]],1+HEX2DEC(LEFT(AB$1,2))*2, 8))/10000</f>
        <v>81.224999999999994</v>
      </c>
      <c r="AC77" s="3">
        <f>HEX2DEC(MID(Table1[[#This Row],[statusRaw]],1+HEX2DEC(LEFT(AC$1,2))*2, 2))</f>
        <v>25</v>
      </c>
      <c r="AD77" s="3">
        <f>HEX2DEC(MID(Table1[[#This Row],[statusRaw]],1+HEX2DEC(LEFT(AD$1,2))*2, 2))</f>
        <v>0</v>
      </c>
      <c r="AE77" s="3">
        <f>HEX2DEC(MID(Table1[[#This Row],[statusRaw]],1+HEX2DEC(LEFT(AE$1,2))*2, 8))/10000</f>
        <v>0.7</v>
      </c>
      <c r="AF77" s="3">
        <f>IF(AND(Table1[[#This Row],[cgm]],NOT(Table1[[#This Row],[35 - SGV special bit (2)]])), _xlfn.BITAND(HEX2DEC(MID(Table1[[#This Row],[statusRaw]],1+HEX2DEC(LEFT(AF$1,2))*2, 4)),HEX2DEC("1FF")),"")</f>
        <v>136</v>
      </c>
      <c r="AG77" s="3" t="b">
        <f>_xlfn.BITAND(HEX2DEC(MID(Table1[[#This Row],[statusRaw]],1+HEX2DEC(LEFT(AG$1,2))*2, 4)),512)=512</f>
        <v>0</v>
      </c>
      <c r="AH77" s="3" t="str">
        <f>MID(Table1[[#This Row],[statusRaw]],1+HEX2DEC(LEFT(AF$1,2))*2, 8)</f>
        <v>00888673</v>
      </c>
      <c r="AI77" s="3" t="str">
        <f>MID(Table1[[#This Row],[statusRaw]],1+HEX2DEC(LEFT(AH$1,2))*2, 8)</f>
        <v>8673F266</v>
      </c>
      <c r="AJ77" s="3" t="str">
        <f>HEX2BIN(MID(Table1[[#This Row],[statusRaw]],1+HEX2DEC(LEFT(AJ$1,2))*2, 2),8) &amp; " 0x" &amp;MID(Table1[[#This Row],[statusRaw]],1+HEX2DEC(LEFT(AJ$1,2))*2, 2)</f>
        <v>00000000 0x00</v>
      </c>
      <c r="AK77" s="1" t="str">
        <f>HEX2BIN(MID(Table1[[#This Row],[statusRaw]],1+HEX2DEC(LEFT(AK$1,2))*2, 2),8) &amp; " 0x" &amp;MID(Table1[[#This Row],[statusRaw]],1+HEX2DEC(LEFT(AK$1,2))*2, 2)</f>
        <v>01100000 0x60</v>
      </c>
      <c r="AL77" s="1" t="str">
        <f>VLOOKUP(Table1[[#This Row],[40 trend]],'Arrow status mapping'!$A$1:$B$8,2,FALSE)</f>
        <v>No arrows</v>
      </c>
      <c r="AM77" s="3" t="str">
        <f>HEX2BIN(MID(Table1[[#This Row],[statusRaw]],1+HEX2DEC(LEFT(AM$1,2))*2, 2),8) &amp; " 0x" &amp;MID(Table1[[#This Row],[statusRaw]],1+HEX2DEC(LEFT(AM$1,2))*2, 2)</f>
        <v>00010000 0x10</v>
      </c>
      <c r="AN77" s="3" t="str">
        <f>HEX2BIN(MID(Table1[[#This Row],[statusRaw]],1+HEX2DEC(LEFT(AN$1,2))*2, 2),8) &amp; " 0x" &amp;MID(Table1[[#This Row],[statusRaw]],1+HEX2DEC(LEFT(AN$1,2))*2, 2)</f>
        <v>00000000 0x00</v>
      </c>
      <c r="AO77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0x022B 555</v>
      </c>
      <c r="AP77" s="1" t="str">
        <f>HEX2BIN(MID(Table1[[#This Row],[statusRaw]],1+HEX2DEC(LEFT(AP$1,2))*2, 2),8) &amp; " 0x" &amp;MID(Table1[[#This Row],[statusRaw]],1+HEX2DEC(LEFT(AP$1,2))*2, 2)</f>
        <v>00101011 0x2B</v>
      </c>
      <c r="AQ77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0xFFE9 -23</v>
      </c>
      <c r="AR77" s="3">
        <f>TRUNC(_xlfn.NUMBERVALUE(RIGHT(Table1[[#This Row],[46 rate of change (2)]],LEN(Table1[[#This Row],[46 rate of change (2)]])-7))/100)</f>
        <v>0</v>
      </c>
      <c r="AS77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77" s="3" t="b">
        <f>Table1[[#This Row],[calc arrow]]=Table1[[#This Row],[trend]]</f>
        <v>1</v>
      </c>
      <c r="AU77" s="3" t="str">
        <f>HEX2BIN(MID(Table1[[#This Row],[statusRaw]],1+HEX2DEC(LEFT(AU$1,2))*2, 2),8) &amp; " 0x" &amp;MID(Table1[[#This Row],[statusRaw]],1+HEX2DEC(LEFT(AU$1,2))*2, 2)</f>
        <v>00000000 0x00</v>
      </c>
      <c r="AV77" s="3">
        <f>HEX2DEC(MID(Table1[[#This Row],[statusRaw]],1+HEX2DEC(LEFT(AV$1,2))*2, 4))</f>
        <v>0</v>
      </c>
      <c r="AW77" s="3" t="str">
        <f>HEX2BIN(MID(Table1[[#This Row],[statusRaw]],1+HEX2DEC(LEFT(AW$1,2))*2, 2),8) &amp; " 0x" &amp;MID(Table1[[#This Row],[statusRaw]],1+HEX2DEC(LEFT(AW$1,2))*2, 2)</f>
        <v>00000000 0x00</v>
      </c>
      <c r="AX77" s="3" t="str">
        <f>HEX2BIN(MID(Table1[[#This Row],[statusRaw]],1+HEX2DEC(LEFT(AX$1,2))*2, 2),8) &amp; " 0x" &amp;MID(Table1[[#This Row],[statusRaw]],1+HEX2DEC(LEFT(AX$1,2))*2, 2)</f>
        <v>00000000 0x00</v>
      </c>
      <c r="AY77" s="3" t="str">
        <f>MID(Table1[[#This Row],[statusRaw]],1+HEX2DEC(LEFT(AY$1,2))*2, 8)</f>
        <v>00000000</v>
      </c>
      <c r="AZ77" s="3" t="str">
        <f>MID(Table1[[#This Row],[statusRaw]],1+HEX2DEC(LEFT(AZ$1,2))*2, 8)</f>
        <v>00000000</v>
      </c>
      <c r="BA77" s="3" t="str">
        <f>HEX2BIN(MID(Table1[[#This Row],[statusRaw]],1+HEX2DEC(LEFT(BA$1,2))*2, 2),8) &amp; " 0x" &amp;MID(Table1[[#This Row],[statusRaw]],1+HEX2DEC(LEFT(BA$1,2))*2, 2)</f>
        <v>00000000 0x00</v>
      </c>
      <c r="BB77" s="3" t="str">
        <f>HEX2BIN(MID(Table1[[#This Row],[statusRaw]],1+HEX2DEC(LEFT(BB$1,2))*2, 2),8) &amp; " 0x" &amp;MID(Table1[[#This Row],[statusRaw]],1+HEX2DEC(LEFT(BB$1,2))*2, 2)</f>
        <v>00000000 0x00</v>
      </c>
      <c r="BC77" s="3" t="str">
        <f>HEX2BIN(MID(Table1[[#This Row],[statusRaw]],1+HEX2DEC(LEFT(BC$1,2))*2, 2),8) &amp; " 0x" &amp;MID(Table1[[#This Row],[statusRaw]],1+HEX2DEC(LEFT(BC$1,2))*2, 2)</f>
        <v>00000000 0x00</v>
      </c>
      <c r="BD77" s="3" t="str">
        <f>MID(Table1[[#This Row],[statusRaw]],1+HEX2DEC(LEFT(BD$1,2))*2, 8)</f>
        <v>000008C5</v>
      </c>
      <c r="BE77" s="3" t="str">
        <f>MID(Table1[[#This Row],[statusRaw]],1+HEX2DEC(LEFT(BE$1,2))*2, 8)</f>
        <v>000008C5</v>
      </c>
      <c r="BF77" s="9"/>
    </row>
    <row r="78" spans="1:58" x14ac:dyDescent="0.25">
      <c r="A78" s="1" t="s">
        <v>234</v>
      </c>
      <c r="B78" s="1" t="s">
        <v>235</v>
      </c>
      <c r="C78" s="1" t="s">
        <v>7</v>
      </c>
      <c r="D78" s="1" t="s">
        <v>236</v>
      </c>
      <c r="E78" s="1">
        <v>15</v>
      </c>
      <c r="F78" s="3" t="str">
        <f>HEX2BIN(MID(Table1[[#This Row],[statusRaw]],1+HEX2DEC(LEFT(F$1,2))*2, 2),8) &amp; " 0x" &amp;MID(Table1[[#This Row],[statusRaw]],1+HEX2DEC(LEFT(F$1,2))*2, 2)</f>
        <v>01010000 0x50</v>
      </c>
      <c r="G78" s="3" t="b">
        <f>MID(Table1[[#This Row],[03 - pump status (1)]],1,1)="1"</f>
        <v>0</v>
      </c>
      <c r="H78" s="3" t="b">
        <f>MID(Table1[[#This Row],[03 - pump status (1)]],2,1)="1"</f>
        <v>1</v>
      </c>
      <c r="I78" s="3" t="b">
        <f>MID(Table1[[#This Row],[03 - pump status (1)]],3,1)="1"</f>
        <v>0</v>
      </c>
      <c r="J78" s="3" t="b">
        <f>MID(Table1[[#This Row],[03 - pump status (1)]],4,1)="1"</f>
        <v>1</v>
      </c>
      <c r="K78" s="3" t="b">
        <f>MID(Table1[[#This Row],[03 - pump status (1)]],5,1)="1"</f>
        <v>0</v>
      </c>
      <c r="L78" s="3" t="b">
        <f>MID(Table1[[#This Row],[03 - pump status (1)]],6,1)="1"</f>
        <v>0</v>
      </c>
      <c r="M78" s="3" t="b">
        <f>MID(Table1[[#This Row],[03 - pump status (1)]],7,1)="1"</f>
        <v>0</v>
      </c>
      <c r="N78" s="3" t="b">
        <f>MID(Table1[[#This Row],[03 - pump status (1)]],8,1)="1"</f>
        <v>0</v>
      </c>
      <c r="O78" s="3" t="str">
        <f>MID(Table1[[#This Row],[statusRaw]],1+HEX2DEC(LEFT(O$1,2))*2, 8)</f>
        <v>00000000</v>
      </c>
      <c r="P78" s="3" t="str">
        <f>MID(Table1[[#This Row],[statusRaw]],1+HEX2DEC(LEFT(P$1,2))*2, 8)</f>
        <v>00000000</v>
      </c>
      <c r="Q78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78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78" s="3">
        <f>HEX2DEC(MID(Table1[[#This Row],[statusRaw]],1+HEX2DEC(LEFT(S$1,2))*2, 8))/10000</f>
        <v>0.5</v>
      </c>
      <c r="T78" s="3" t="str">
        <f>MID(Table1[[#This Row],[statusRaw]],1+HEX2DEC(LEFT(T$1,2))*2, 8)</f>
        <v>2789E791</v>
      </c>
      <c r="U78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0x2800 10240</v>
      </c>
      <c r="V78" s="3" t="str">
        <f>HEX2BIN(MID(Table1[[#This Row],[statusRaw]],1+HEX2DEC(LEFT(V$1,2))*2, 2),8) &amp; " 0x" &amp;MID(Table1[[#This Row],[statusRaw]],1+HEX2DEC(LEFT(V$1,2))*2, 2)</f>
        <v>00000001 0x01</v>
      </c>
      <c r="W78" s="3">
        <f>HEX2DEC(MID(Table1[[#This Row],[statusRaw]],1+HEX2DEC(LEFT(W$1,2))*2, 8))/10000</f>
        <v>0.57499999999999996</v>
      </c>
      <c r="X78" s="3">
        <f>HEX2DEC(MID(Table1[[#This Row],[statusRaw]],1+HEX2DEC(LEFT(X$1,2))*2, 8))/10000</f>
        <v>0</v>
      </c>
      <c r="Y78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78" s="3">
        <f>HEX2DEC(MID(Table1[[#This Row],[statusRaw]],1+HEX2DEC(LEFT(Z$1,2))*2, 8))/10000</f>
        <v>7.2</v>
      </c>
      <c r="AA78" s="3">
        <f>HEX2DEC(MID(Table1[[#This Row],[statusRaw]],1+HEX2DEC(LEFT(AA$1,2))*2, 2))</f>
        <v>50</v>
      </c>
      <c r="AB78" s="3">
        <f>HEX2DEC(MID(Table1[[#This Row],[statusRaw]],1+HEX2DEC(LEFT(AB$1,2))*2, 8))/10000</f>
        <v>81.275000000000006</v>
      </c>
      <c r="AC78" s="3">
        <f>HEX2DEC(MID(Table1[[#This Row],[statusRaw]],1+HEX2DEC(LEFT(AC$1,2))*2, 2))</f>
        <v>25</v>
      </c>
      <c r="AD78" s="3">
        <f>HEX2DEC(MID(Table1[[#This Row],[statusRaw]],1+HEX2DEC(LEFT(AD$1,2))*2, 2))</f>
        <v>0</v>
      </c>
      <c r="AE78" s="3">
        <f>HEX2DEC(MID(Table1[[#This Row],[statusRaw]],1+HEX2DEC(LEFT(AE$1,2))*2, 8))/10000</f>
        <v>0.7</v>
      </c>
      <c r="AF78" s="3">
        <f>IF(AND(Table1[[#This Row],[cgm]],NOT(Table1[[#This Row],[35 - SGV special bit (2)]])), _xlfn.BITAND(HEX2DEC(MID(Table1[[#This Row],[statusRaw]],1+HEX2DEC(LEFT(AF$1,2))*2, 4)),HEX2DEC("1FF")),"")</f>
        <v>136</v>
      </c>
      <c r="AG78" s="3" t="b">
        <f>_xlfn.BITAND(HEX2DEC(MID(Table1[[#This Row],[statusRaw]],1+HEX2DEC(LEFT(AG$1,2))*2, 4)),512)=512</f>
        <v>0</v>
      </c>
      <c r="AH78" s="3" t="str">
        <f>MID(Table1[[#This Row],[statusRaw]],1+HEX2DEC(LEFT(AF$1,2))*2, 8)</f>
        <v>00888673</v>
      </c>
      <c r="AI78" s="3" t="str">
        <f>MID(Table1[[#This Row],[statusRaw]],1+HEX2DEC(LEFT(AH$1,2))*2, 8)</f>
        <v>8673F13A</v>
      </c>
      <c r="AJ78" s="3" t="str">
        <f>HEX2BIN(MID(Table1[[#This Row],[statusRaw]],1+HEX2DEC(LEFT(AJ$1,2))*2, 2),8) &amp; " 0x" &amp;MID(Table1[[#This Row],[statusRaw]],1+HEX2DEC(LEFT(AJ$1,2))*2, 2)</f>
        <v>00000000 0x00</v>
      </c>
      <c r="AK78" s="1" t="str">
        <f>HEX2BIN(MID(Table1[[#This Row],[statusRaw]],1+HEX2DEC(LEFT(AK$1,2))*2, 2),8) &amp; " 0x" &amp;MID(Table1[[#This Row],[statusRaw]],1+HEX2DEC(LEFT(AK$1,2))*2, 2)</f>
        <v>01100000 0x60</v>
      </c>
      <c r="AL78" s="1" t="str">
        <f>VLOOKUP(Table1[[#This Row],[40 trend]],'Arrow status mapping'!$A$1:$B$8,2,FALSE)</f>
        <v>No arrows</v>
      </c>
      <c r="AM78" s="3" t="str">
        <f>HEX2BIN(MID(Table1[[#This Row],[statusRaw]],1+HEX2DEC(LEFT(AM$1,2))*2, 2),8) &amp; " 0x" &amp;MID(Table1[[#This Row],[statusRaw]],1+HEX2DEC(LEFT(AM$1,2))*2, 2)</f>
        <v>00010000 0x10</v>
      </c>
      <c r="AN78" s="3" t="str">
        <f>HEX2BIN(MID(Table1[[#This Row],[statusRaw]],1+HEX2DEC(LEFT(AN$1,2))*2, 2),8) &amp; " 0x" &amp;MID(Table1[[#This Row],[statusRaw]],1+HEX2DEC(LEFT(AN$1,2))*2, 2)</f>
        <v>00000000 0x00</v>
      </c>
      <c r="AO78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0x0230 560</v>
      </c>
      <c r="AP78" s="1" t="str">
        <f>HEX2BIN(MID(Table1[[#This Row],[statusRaw]],1+HEX2DEC(LEFT(AP$1,2))*2, 2),8) &amp; " 0x" &amp;MID(Table1[[#This Row],[statusRaw]],1+HEX2DEC(LEFT(AP$1,2))*2, 2)</f>
        <v>00101011 0x2B</v>
      </c>
      <c r="AQ78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78" s="3">
        <f>TRUNC(_xlfn.NUMBERVALUE(RIGHT(Table1[[#This Row],[46 rate of change (2)]],LEN(Table1[[#This Row],[46 rate of change (2)]])-7))/100)</f>
        <v>0</v>
      </c>
      <c r="AS78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78" s="3" t="b">
        <f>Table1[[#This Row],[calc arrow]]=Table1[[#This Row],[trend]]</f>
        <v>1</v>
      </c>
      <c r="AU78" s="3" t="str">
        <f>HEX2BIN(MID(Table1[[#This Row],[statusRaw]],1+HEX2DEC(LEFT(AU$1,2))*2, 2),8) &amp; " 0x" &amp;MID(Table1[[#This Row],[statusRaw]],1+HEX2DEC(LEFT(AU$1,2))*2, 2)</f>
        <v>00000000 0x00</v>
      </c>
      <c r="AV78" s="3">
        <f>HEX2DEC(MID(Table1[[#This Row],[statusRaw]],1+HEX2DEC(LEFT(AV$1,2))*2, 4))</f>
        <v>0</v>
      </c>
      <c r="AW78" s="3" t="str">
        <f>HEX2BIN(MID(Table1[[#This Row],[statusRaw]],1+HEX2DEC(LEFT(AW$1,2))*2, 2),8) &amp; " 0x" &amp;MID(Table1[[#This Row],[statusRaw]],1+HEX2DEC(LEFT(AW$1,2))*2, 2)</f>
        <v>00000000 0x00</v>
      </c>
      <c r="AX78" s="3" t="str">
        <f>HEX2BIN(MID(Table1[[#This Row],[statusRaw]],1+HEX2DEC(LEFT(AX$1,2))*2, 2),8) &amp; " 0x" &amp;MID(Table1[[#This Row],[statusRaw]],1+HEX2DEC(LEFT(AX$1,2))*2, 2)</f>
        <v>00000000 0x00</v>
      </c>
      <c r="AY78" s="3" t="str">
        <f>MID(Table1[[#This Row],[statusRaw]],1+HEX2DEC(LEFT(AY$1,2))*2, 8)</f>
        <v>00000000</v>
      </c>
      <c r="AZ78" s="3" t="str">
        <f>MID(Table1[[#This Row],[statusRaw]],1+HEX2DEC(LEFT(AZ$1,2))*2, 8)</f>
        <v>00000000</v>
      </c>
      <c r="BA78" s="3" t="str">
        <f>HEX2BIN(MID(Table1[[#This Row],[statusRaw]],1+HEX2DEC(LEFT(BA$1,2))*2, 2),8) &amp; " 0x" &amp;MID(Table1[[#This Row],[statusRaw]],1+HEX2DEC(LEFT(BA$1,2))*2, 2)</f>
        <v>00000000 0x00</v>
      </c>
      <c r="BB78" s="3" t="str">
        <f>HEX2BIN(MID(Table1[[#This Row],[statusRaw]],1+HEX2DEC(LEFT(BB$1,2))*2, 2),8) &amp; " 0x" &amp;MID(Table1[[#This Row],[statusRaw]],1+HEX2DEC(LEFT(BB$1,2))*2, 2)</f>
        <v>00000000 0x00</v>
      </c>
      <c r="BC78" s="3" t="str">
        <f>HEX2BIN(MID(Table1[[#This Row],[statusRaw]],1+HEX2DEC(LEFT(BC$1,2))*2, 2),8) &amp; " 0x" &amp;MID(Table1[[#This Row],[statusRaw]],1+HEX2DEC(LEFT(BC$1,2))*2, 2)</f>
        <v>00000000 0x00</v>
      </c>
      <c r="BD78" s="3" t="str">
        <f>MID(Table1[[#This Row],[statusRaw]],1+HEX2DEC(LEFT(BD$1,2))*2, 8)</f>
        <v>000008C5</v>
      </c>
      <c r="BE78" s="3" t="str">
        <f>MID(Table1[[#This Row],[statusRaw]],1+HEX2DEC(LEFT(BE$1,2))*2, 8)</f>
        <v>000008C5</v>
      </c>
      <c r="BF78" s="9"/>
    </row>
    <row r="79" spans="1:58" x14ac:dyDescent="0.25">
      <c r="A79" s="1" t="s">
        <v>237</v>
      </c>
      <c r="B79" s="1" t="s">
        <v>238</v>
      </c>
      <c r="C79" s="1" t="s">
        <v>7</v>
      </c>
      <c r="D79" s="1" t="s">
        <v>239</v>
      </c>
      <c r="E79" s="1">
        <v>15</v>
      </c>
      <c r="F79" s="3" t="str">
        <f>HEX2BIN(MID(Table1[[#This Row],[statusRaw]],1+HEX2DEC(LEFT(F$1,2))*2, 2),8) &amp; " 0x" &amp;MID(Table1[[#This Row],[statusRaw]],1+HEX2DEC(LEFT(F$1,2))*2, 2)</f>
        <v>01010000 0x50</v>
      </c>
      <c r="G79" s="3" t="b">
        <f>MID(Table1[[#This Row],[03 - pump status (1)]],1,1)="1"</f>
        <v>0</v>
      </c>
      <c r="H79" s="3" t="b">
        <f>MID(Table1[[#This Row],[03 - pump status (1)]],2,1)="1"</f>
        <v>1</v>
      </c>
      <c r="I79" s="3" t="b">
        <f>MID(Table1[[#This Row],[03 - pump status (1)]],3,1)="1"</f>
        <v>0</v>
      </c>
      <c r="J79" s="3" t="b">
        <f>MID(Table1[[#This Row],[03 - pump status (1)]],4,1)="1"</f>
        <v>1</v>
      </c>
      <c r="K79" s="3" t="b">
        <f>MID(Table1[[#This Row],[03 - pump status (1)]],5,1)="1"</f>
        <v>0</v>
      </c>
      <c r="L79" s="3" t="b">
        <f>MID(Table1[[#This Row],[03 - pump status (1)]],6,1)="1"</f>
        <v>0</v>
      </c>
      <c r="M79" s="3" t="b">
        <f>MID(Table1[[#This Row],[03 - pump status (1)]],7,1)="1"</f>
        <v>0</v>
      </c>
      <c r="N79" s="3" t="b">
        <f>MID(Table1[[#This Row],[03 - pump status (1)]],8,1)="1"</f>
        <v>0</v>
      </c>
      <c r="O79" s="3" t="str">
        <f>MID(Table1[[#This Row],[statusRaw]],1+HEX2DEC(LEFT(O$1,2))*2, 8)</f>
        <v>00000000</v>
      </c>
      <c r="P79" s="3" t="str">
        <f>MID(Table1[[#This Row],[statusRaw]],1+HEX2DEC(LEFT(P$1,2))*2, 8)</f>
        <v>00000000</v>
      </c>
      <c r="Q79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79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79" s="3">
        <f>HEX2DEC(MID(Table1[[#This Row],[statusRaw]],1+HEX2DEC(LEFT(S$1,2))*2, 8))/10000</f>
        <v>1.3</v>
      </c>
      <c r="T79" s="3" t="str">
        <f>MID(Table1[[#This Row],[statusRaw]],1+HEX2DEC(LEFT(T$1,2))*2, 8)</f>
        <v>2789C7BF</v>
      </c>
      <c r="U79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79" s="3" t="str">
        <f>HEX2BIN(MID(Table1[[#This Row],[statusRaw]],1+HEX2DEC(LEFT(V$1,2))*2, 2),8) &amp; " 0x" &amp;MID(Table1[[#This Row],[statusRaw]],1+HEX2DEC(LEFT(V$1,2))*2, 2)</f>
        <v>00000001 0x01</v>
      </c>
      <c r="W79" s="3">
        <f>HEX2DEC(MID(Table1[[#This Row],[statusRaw]],1+HEX2DEC(LEFT(W$1,2))*2, 8))/10000</f>
        <v>0.57499999999999996</v>
      </c>
      <c r="X79" s="3">
        <f>HEX2DEC(MID(Table1[[#This Row],[statusRaw]],1+HEX2DEC(LEFT(X$1,2))*2, 8))/10000</f>
        <v>0</v>
      </c>
      <c r="Y79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79" s="3">
        <f>HEX2DEC(MID(Table1[[#This Row],[statusRaw]],1+HEX2DEC(LEFT(Z$1,2))*2, 8))/10000</f>
        <v>7</v>
      </c>
      <c r="AA79" s="3">
        <f>HEX2DEC(MID(Table1[[#This Row],[statusRaw]],1+HEX2DEC(LEFT(AA$1,2))*2, 2))</f>
        <v>50</v>
      </c>
      <c r="AB79" s="3">
        <f>HEX2DEC(MID(Table1[[#This Row],[statusRaw]],1+HEX2DEC(LEFT(AB$1,2))*2, 8))/10000</f>
        <v>81.974999999999994</v>
      </c>
      <c r="AC79" s="3">
        <f>HEX2DEC(MID(Table1[[#This Row],[statusRaw]],1+HEX2DEC(LEFT(AC$1,2))*2, 2))</f>
        <v>25</v>
      </c>
      <c r="AD79" s="3">
        <f>HEX2DEC(MID(Table1[[#This Row],[statusRaw]],1+HEX2DEC(LEFT(AD$1,2))*2, 2))</f>
        <v>0</v>
      </c>
      <c r="AE79" s="3">
        <f>HEX2DEC(MID(Table1[[#This Row],[statusRaw]],1+HEX2DEC(LEFT(AE$1,2))*2, 8))/10000</f>
        <v>0.4</v>
      </c>
      <c r="AF79" s="3">
        <f>IF(AND(Table1[[#This Row],[cgm]],NOT(Table1[[#This Row],[35 - SGV special bit (2)]])), _xlfn.BITAND(HEX2DEC(MID(Table1[[#This Row],[statusRaw]],1+HEX2DEC(LEFT(AF$1,2))*2, 4)),HEX2DEC("1FF")),"")</f>
        <v>138</v>
      </c>
      <c r="AG79" s="3" t="b">
        <f>_xlfn.BITAND(HEX2DEC(MID(Table1[[#This Row],[statusRaw]],1+HEX2DEC(LEFT(AG$1,2))*2, 4)),512)=512</f>
        <v>0</v>
      </c>
      <c r="AH79" s="3" t="str">
        <f>MID(Table1[[#This Row],[statusRaw]],1+HEX2DEC(LEFT(AF$1,2))*2, 8)</f>
        <v>008A8673</v>
      </c>
      <c r="AI79" s="3" t="str">
        <f>MID(Table1[[#This Row],[statusRaw]],1+HEX2DEC(LEFT(AH$1,2))*2, 8)</f>
        <v>8673EC8A</v>
      </c>
      <c r="AJ79" s="3" t="str">
        <f>HEX2BIN(MID(Table1[[#This Row],[statusRaw]],1+HEX2DEC(LEFT(AJ$1,2))*2, 2),8) &amp; " 0x" &amp;MID(Table1[[#This Row],[statusRaw]],1+HEX2DEC(LEFT(AJ$1,2))*2, 2)</f>
        <v>00000000 0x00</v>
      </c>
      <c r="AK79" s="1" t="str">
        <f>HEX2BIN(MID(Table1[[#This Row],[statusRaw]],1+HEX2DEC(LEFT(AK$1,2))*2, 2),8) &amp; " 0x" &amp;MID(Table1[[#This Row],[statusRaw]],1+HEX2DEC(LEFT(AK$1,2))*2, 2)</f>
        <v>01000000 0x40</v>
      </c>
      <c r="AL79" s="1" t="str">
        <f>VLOOKUP(Table1[[#This Row],[40 trend]],'Arrow status mapping'!$A$1:$B$8,2,FALSE)</f>
        <v>1 arrows down</v>
      </c>
      <c r="AM79" s="3" t="str">
        <f>HEX2BIN(MID(Table1[[#This Row],[statusRaw]],1+HEX2DEC(LEFT(AM$1,2))*2, 2),8) &amp; " 0x" &amp;MID(Table1[[#This Row],[statusRaw]],1+HEX2DEC(LEFT(AM$1,2))*2, 2)</f>
        <v>00010000 0x10</v>
      </c>
      <c r="AN79" s="3" t="str">
        <f>HEX2BIN(MID(Table1[[#This Row],[statusRaw]],1+HEX2DEC(LEFT(AN$1,2))*2, 2),8) &amp; " 0x" &amp;MID(Table1[[#This Row],[statusRaw]],1+HEX2DEC(LEFT(AN$1,2))*2, 2)</f>
        <v>00000000 0x00</v>
      </c>
      <c r="AO79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0x0244 580</v>
      </c>
      <c r="AP79" s="1" t="str">
        <f>HEX2BIN(MID(Table1[[#This Row],[statusRaw]],1+HEX2DEC(LEFT(AP$1,2))*2, 2),8) &amp; " 0x" &amp;MID(Table1[[#This Row],[statusRaw]],1+HEX2DEC(LEFT(AP$1,2))*2, 2)</f>
        <v>00101011 0x2B</v>
      </c>
      <c r="AQ79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0xFF3F -193</v>
      </c>
      <c r="AR79" s="3">
        <f>TRUNC(_xlfn.NUMBERVALUE(RIGHT(Table1[[#This Row],[46 rate of change (2)]],LEN(Table1[[#This Row],[46 rate of change (2)]])-7))/100)</f>
        <v>-1</v>
      </c>
      <c r="AS79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down</v>
      </c>
      <c r="AT79" s="3" t="b">
        <f>Table1[[#This Row],[calc arrow]]=Table1[[#This Row],[trend]]</f>
        <v>1</v>
      </c>
      <c r="AU79" s="3" t="str">
        <f>HEX2BIN(MID(Table1[[#This Row],[statusRaw]],1+HEX2DEC(LEFT(AU$1,2))*2, 2),8) &amp; " 0x" &amp;MID(Table1[[#This Row],[statusRaw]],1+HEX2DEC(LEFT(AU$1,2))*2, 2)</f>
        <v>00000000 0x00</v>
      </c>
      <c r="AV79" s="3">
        <f>HEX2DEC(MID(Table1[[#This Row],[statusRaw]],1+HEX2DEC(LEFT(AV$1,2))*2, 4))</f>
        <v>0</v>
      </c>
      <c r="AW79" s="3" t="str">
        <f>HEX2BIN(MID(Table1[[#This Row],[statusRaw]],1+HEX2DEC(LEFT(AW$1,2))*2, 2),8) &amp; " 0x" &amp;MID(Table1[[#This Row],[statusRaw]],1+HEX2DEC(LEFT(AW$1,2))*2, 2)</f>
        <v>00000000 0x00</v>
      </c>
      <c r="AX79" s="3" t="str">
        <f>HEX2BIN(MID(Table1[[#This Row],[statusRaw]],1+HEX2DEC(LEFT(AX$1,2))*2, 2),8) &amp; " 0x" &amp;MID(Table1[[#This Row],[statusRaw]],1+HEX2DEC(LEFT(AX$1,2))*2, 2)</f>
        <v>00000000 0x00</v>
      </c>
      <c r="AY79" s="3" t="str">
        <f>MID(Table1[[#This Row],[statusRaw]],1+HEX2DEC(LEFT(AY$1,2))*2, 8)</f>
        <v>00000000</v>
      </c>
      <c r="AZ79" s="3" t="str">
        <f>MID(Table1[[#This Row],[statusRaw]],1+HEX2DEC(LEFT(AZ$1,2))*2, 8)</f>
        <v>00000000</v>
      </c>
      <c r="BA79" s="3" t="str">
        <f>HEX2BIN(MID(Table1[[#This Row],[statusRaw]],1+HEX2DEC(LEFT(BA$1,2))*2, 2),8) &amp; " 0x" &amp;MID(Table1[[#This Row],[statusRaw]],1+HEX2DEC(LEFT(BA$1,2))*2, 2)</f>
        <v>00000000 0x00</v>
      </c>
      <c r="BB79" s="3" t="str">
        <f>HEX2BIN(MID(Table1[[#This Row],[statusRaw]],1+HEX2DEC(LEFT(BB$1,2))*2, 2),8) &amp; " 0x" &amp;MID(Table1[[#This Row],[statusRaw]],1+HEX2DEC(LEFT(BB$1,2))*2, 2)</f>
        <v>00000000 0x00</v>
      </c>
      <c r="BC79" s="3" t="str">
        <f>HEX2BIN(MID(Table1[[#This Row],[statusRaw]],1+HEX2DEC(LEFT(BC$1,2))*2, 2),8) &amp; " 0x" &amp;MID(Table1[[#This Row],[statusRaw]],1+HEX2DEC(LEFT(BC$1,2))*2, 2)</f>
        <v>00000000 0x00</v>
      </c>
      <c r="BD79" s="3" t="str">
        <f>MID(Table1[[#This Row],[statusRaw]],1+HEX2DEC(LEFT(BD$1,2))*2, 8)</f>
        <v>000008C5</v>
      </c>
      <c r="BE79" s="3" t="str">
        <f>MID(Table1[[#This Row],[statusRaw]],1+HEX2DEC(LEFT(BE$1,2))*2, 8)</f>
        <v>000008C5</v>
      </c>
      <c r="BF79" s="9"/>
    </row>
    <row r="80" spans="1:58" x14ac:dyDescent="0.25">
      <c r="A80" s="1" t="s">
        <v>240</v>
      </c>
      <c r="B80" s="1" t="s">
        <v>241</v>
      </c>
      <c r="C80" s="1" t="s">
        <v>7</v>
      </c>
      <c r="D80" s="1" t="s">
        <v>242</v>
      </c>
      <c r="E80" s="1">
        <v>15</v>
      </c>
      <c r="F80" s="3" t="str">
        <f>HEX2BIN(MID(Table1[[#This Row],[statusRaw]],1+HEX2DEC(LEFT(F$1,2))*2, 2),8) &amp; " 0x" &amp;MID(Table1[[#This Row],[statusRaw]],1+HEX2DEC(LEFT(F$1,2))*2, 2)</f>
        <v>01010000 0x50</v>
      </c>
      <c r="G80" s="3" t="b">
        <f>MID(Table1[[#This Row],[03 - pump status (1)]],1,1)="1"</f>
        <v>0</v>
      </c>
      <c r="H80" s="3" t="b">
        <f>MID(Table1[[#This Row],[03 - pump status (1)]],2,1)="1"</f>
        <v>1</v>
      </c>
      <c r="I80" s="3" t="b">
        <f>MID(Table1[[#This Row],[03 - pump status (1)]],3,1)="1"</f>
        <v>0</v>
      </c>
      <c r="J80" s="3" t="b">
        <f>MID(Table1[[#This Row],[03 - pump status (1)]],4,1)="1"</f>
        <v>1</v>
      </c>
      <c r="K80" s="3" t="b">
        <f>MID(Table1[[#This Row],[03 - pump status (1)]],5,1)="1"</f>
        <v>0</v>
      </c>
      <c r="L80" s="3" t="b">
        <f>MID(Table1[[#This Row],[03 - pump status (1)]],6,1)="1"</f>
        <v>0</v>
      </c>
      <c r="M80" s="3" t="b">
        <f>MID(Table1[[#This Row],[03 - pump status (1)]],7,1)="1"</f>
        <v>0</v>
      </c>
      <c r="N80" s="3" t="b">
        <f>MID(Table1[[#This Row],[03 - pump status (1)]],8,1)="1"</f>
        <v>0</v>
      </c>
      <c r="O80" s="3" t="str">
        <f>MID(Table1[[#This Row],[statusRaw]],1+HEX2DEC(LEFT(O$1,2))*2, 8)</f>
        <v>00000000</v>
      </c>
      <c r="P80" s="3" t="str">
        <f>MID(Table1[[#This Row],[statusRaw]],1+HEX2DEC(LEFT(P$1,2))*2, 8)</f>
        <v>00000000</v>
      </c>
      <c r="Q80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80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80" s="3">
        <f>HEX2DEC(MID(Table1[[#This Row],[statusRaw]],1+HEX2DEC(LEFT(S$1,2))*2, 8))/10000</f>
        <v>1.3</v>
      </c>
      <c r="T80" s="3" t="str">
        <f>MID(Table1[[#This Row],[statusRaw]],1+HEX2DEC(LEFT(T$1,2))*2, 8)</f>
        <v>2789C7BF</v>
      </c>
      <c r="U80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80" s="3" t="str">
        <f>HEX2BIN(MID(Table1[[#This Row],[statusRaw]],1+HEX2DEC(LEFT(V$1,2))*2, 2),8) &amp; " 0x" &amp;MID(Table1[[#This Row],[statusRaw]],1+HEX2DEC(LEFT(V$1,2))*2, 2)</f>
        <v>00000001 0x01</v>
      </c>
      <c r="W80" s="3">
        <f>HEX2DEC(MID(Table1[[#This Row],[statusRaw]],1+HEX2DEC(LEFT(W$1,2))*2, 8))/10000</f>
        <v>0.57499999999999996</v>
      </c>
      <c r="X80" s="3">
        <f>HEX2DEC(MID(Table1[[#This Row],[statusRaw]],1+HEX2DEC(LEFT(X$1,2))*2, 8))/10000</f>
        <v>0</v>
      </c>
      <c r="Y80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80" s="3">
        <f>HEX2DEC(MID(Table1[[#This Row],[statusRaw]],1+HEX2DEC(LEFT(Z$1,2))*2, 8))/10000</f>
        <v>6.95</v>
      </c>
      <c r="AA80" s="3">
        <f>HEX2DEC(MID(Table1[[#This Row],[statusRaw]],1+HEX2DEC(LEFT(AA$1,2))*2, 2))</f>
        <v>50</v>
      </c>
      <c r="AB80" s="3">
        <f>HEX2DEC(MID(Table1[[#This Row],[statusRaw]],1+HEX2DEC(LEFT(AB$1,2))*2, 8))/10000</f>
        <v>82.025000000000006</v>
      </c>
      <c r="AC80" s="3">
        <f>HEX2DEC(MID(Table1[[#This Row],[statusRaw]],1+HEX2DEC(LEFT(AC$1,2))*2, 2))</f>
        <v>25</v>
      </c>
      <c r="AD80" s="3">
        <f>HEX2DEC(MID(Table1[[#This Row],[statusRaw]],1+HEX2DEC(LEFT(AD$1,2))*2, 2))</f>
        <v>0</v>
      </c>
      <c r="AE80" s="3">
        <f>HEX2DEC(MID(Table1[[#This Row],[statusRaw]],1+HEX2DEC(LEFT(AE$1,2))*2, 8))/10000</f>
        <v>0.4</v>
      </c>
      <c r="AF80" s="3">
        <f>IF(AND(Table1[[#This Row],[cgm]],NOT(Table1[[#This Row],[35 - SGV special bit (2)]])), _xlfn.BITAND(HEX2DEC(MID(Table1[[#This Row],[statusRaw]],1+HEX2DEC(LEFT(AF$1,2))*2, 4)),HEX2DEC("1FF")),"")</f>
        <v>148</v>
      </c>
      <c r="AG80" s="3" t="b">
        <f>_xlfn.BITAND(HEX2DEC(MID(Table1[[#This Row],[statusRaw]],1+HEX2DEC(LEFT(AG$1,2))*2, 4)),512)=512</f>
        <v>0</v>
      </c>
      <c r="AH80" s="3" t="str">
        <f>MID(Table1[[#This Row],[statusRaw]],1+HEX2DEC(LEFT(AF$1,2))*2, 8)</f>
        <v>00948673</v>
      </c>
      <c r="AI80" s="3" t="str">
        <f>MID(Table1[[#This Row],[statusRaw]],1+HEX2DEC(LEFT(AH$1,2))*2, 8)</f>
        <v>8673EB5E</v>
      </c>
      <c r="AJ80" s="3" t="str">
        <f>HEX2BIN(MID(Table1[[#This Row],[statusRaw]],1+HEX2DEC(LEFT(AJ$1,2))*2, 2),8) &amp; " 0x" &amp;MID(Table1[[#This Row],[statusRaw]],1+HEX2DEC(LEFT(AJ$1,2))*2, 2)</f>
        <v>00000000 0x00</v>
      </c>
      <c r="AK80" s="1" t="str">
        <f>HEX2BIN(MID(Table1[[#This Row],[statusRaw]],1+HEX2DEC(LEFT(AK$1,2))*2, 2),8) &amp; " 0x" &amp;MID(Table1[[#This Row],[statusRaw]],1+HEX2DEC(LEFT(AK$1,2))*2, 2)</f>
        <v>01000000 0x40</v>
      </c>
      <c r="AL80" s="1" t="str">
        <f>VLOOKUP(Table1[[#This Row],[40 trend]],'Arrow status mapping'!$A$1:$B$8,2,FALSE)</f>
        <v>1 arrows down</v>
      </c>
      <c r="AM80" s="3" t="str">
        <f>HEX2BIN(MID(Table1[[#This Row],[statusRaw]],1+HEX2DEC(LEFT(AM$1,2))*2, 2),8) &amp; " 0x" &amp;MID(Table1[[#This Row],[statusRaw]],1+HEX2DEC(LEFT(AM$1,2))*2, 2)</f>
        <v>00010000 0x10</v>
      </c>
      <c r="AN80" s="3" t="str">
        <f>HEX2BIN(MID(Table1[[#This Row],[statusRaw]],1+HEX2DEC(LEFT(AN$1,2))*2, 2),8) &amp; " 0x" &amp;MID(Table1[[#This Row],[statusRaw]],1+HEX2DEC(LEFT(AN$1,2))*2, 2)</f>
        <v>00000000 0x00</v>
      </c>
      <c r="AO80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0x0249 585</v>
      </c>
      <c r="AP80" s="1" t="str">
        <f>HEX2BIN(MID(Table1[[#This Row],[statusRaw]],1+HEX2DEC(LEFT(AP$1,2))*2, 2),8) &amp; " 0x" &amp;MID(Table1[[#This Row],[statusRaw]],1+HEX2DEC(LEFT(AP$1,2))*2, 2)</f>
        <v>00101011 0x2B</v>
      </c>
      <c r="AQ80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0xFF9A -102</v>
      </c>
      <c r="AR80" s="3">
        <f>TRUNC(_xlfn.NUMBERVALUE(RIGHT(Table1[[#This Row],[46 rate of change (2)]],LEN(Table1[[#This Row],[46 rate of change (2)]])-7))/100)</f>
        <v>-1</v>
      </c>
      <c r="AS80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down</v>
      </c>
      <c r="AT80" s="3" t="b">
        <f>Table1[[#This Row],[calc arrow]]=Table1[[#This Row],[trend]]</f>
        <v>1</v>
      </c>
      <c r="AU80" s="3" t="str">
        <f>HEX2BIN(MID(Table1[[#This Row],[statusRaw]],1+HEX2DEC(LEFT(AU$1,2))*2, 2),8) &amp; " 0x" &amp;MID(Table1[[#This Row],[statusRaw]],1+HEX2DEC(LEFT(AU$1,2))*2, 2)</f>
        <v>00000000 0x00</v>
      </c>
      <c r="AV80" s="3">
        <f>HEX2DEC(MID(Table1[[#This Row],[statusRaw]],1+HEX2DEC(LEFT(AV$1,2))*2, 4))</f>
        <v>0</v>
      </c>
      <c r="AW80" s="3" t="str">
        <f>HEX2BIN(MID(Table1[[#This Row],[statusRaw]],1+HEX2DEC(LEFT(AW$1,2))*2, 2),8) &amp; " 0x" &amp;MID(Table1[[#This Row],[statusRaw]],1+HEX2DEC(LEFT(AW$1,2))*2, 2)</f>
        <v>00000000 0x00</v>
      </c>
      <c r="AX80" s="3" t="str">
        <f>HEX2BIN(MID(Table1[[#This Row],[statusRaw]],1+HEX2DEC(LEFT(AX$1,2))*2, 2),8) &amp; " 0x" &amp;MID(Table1[[#This Row],[statusRaw]],1+HEX2DEC(LEFT(AX$1,2))*2, 2)</f>
        <v>00000000 0x00</v>
      </c>
      <c r="AY80" s="3" t="str">
        <f>MID(Table1[[#This Row],[statusRaw]],1+HEX2DEC(LEFT(AY$1,2))*2, 8)</f>
        <v>00000000</v>
      </c>
      <c r="AZ80" s="3" t="str">
        <f>MID(Table1[[#This Row],[statusRaw]],1+HEX2DEC(LEFT(AZ$1,2))*2, 8)</f>
        <v>00000000</v>
      </c>
      <c r="BA80" s="3" t="str">
        <f>HEX2BIN(MID(Table1[[#This Row],[statusRaw]],1+HEX2DEC(LEFT(BA$1,2))*2, 2),8) &amp; " 0x" &amp;MID(Table1[[#This Row],[statusRaw]],1+HEX2DEC(LEFT(BA$1,2))*2, 2)</f>
        <v>00000000 0x00</v>
      </c>
      <c r="BB80" s="3" t="str">
        <f>HEX2BIN(MID(Table1[[#This Row],[statusRaw]],1+HEX2DEC(LEFT(BB$1,2))*2, 2),8) &amp; " 0x" &amp;MID(Table1[[#This Row],[statusRaw]],1+HEX2DEC(LEFT(BB$1,2))*2, 2)</f>
        <v>00000000 0x00</v>
      </c>
      <c r="BC80" s="3" t="str">
        <f>HEX2BIN(MID(Table1[[#This Row],[statusRaw]],1+HEX2DEC(LEFT(BC$1,2))*2, 2),8) &amp; " 0x" &amp;MID(Table1[[#This Row],[statusRaw]],1+HEX2DEC(LEFT(BC$1,2))*2, 2)</f>
        <v>00000000 0x00</v>
      </c>
      <c r="BD80" s="3" t="str">
        <f>MID(Table1[[#This Row],[statusRaw]],1+HEX2DEC(LEFT(BD$1,2))*2, 8)</f>
        <v>000008C5</v>
      </c>
      <c r="BE80" s="3" t="str">
        <f>MID(Table1[[#This Row],[statusRaw]],1+HEX2DEC(LEFT(BE$1,2))*2, 8)</f>
        <v>000008C5</v>
      </c>
      <c r="BF80" s="9"/>
    </row>
    <row r="81" spans="1:58" x14ac:dyDescent="0.25">
      <c r="A81" s="1" t="s">
        <v>243</v>
      </c>
      <c r="B81" s="1" t="s">
        <v>244</v>
      </c>
      <c r="C81" s="1" t="s">
        <v>7</v>
      </c>
      <c r="D81" s="1" t="s">
        <v>245</v>
      </c>
      <c r="E81" s="1">
        <v>15</v>
      </c>
      <c r="F81" s="3" t="str">
        <f>HEX2BIN(MID(Table1[[#This Row],[statusRaw]],1+HEX2DEC(LEFT(F$1,2))*2, 2),8) &amp; " 0x" &amp;MID(Table1[[#This Row],[statusRaw]],1+HEX2DEC(LEFT(F$1,2))*2, 2)</f>
        <v>01010000 0x50</v>
      </c>
      <c r="G81" s="3" t="b">
        <f>MID(Table1[[#This Row],[03 - pump status (1)]],1,1)="1"</f>
        <v>0</v>
      </c>
      <c r="H81" s="3" t="b">
        <f>MID(Table1[[#This Row],[03 - pump status (1)]],2,1)="1"</f>
        <v>1</v>
      </c>
      <c r="I81" s="3" t="b">
        <f>MID(Table1[[#This Row],[03 - pump status (1)]],3,1)="1"</f>
        <v>0</v>
      </c>
      <c r="J81" s="3" t="b">
        <f>MID(Table1[[#This Row],[03 - pump status (1)]],4,1)="1"</f>
        <v>1</v>
      </c>
      <c r="K81" s="3" t="b">
        <f>MID(Table1[[#This Row],[03 - pump status (1)]],5,1)="1"</f>
        <v>0</v>
      </c>
      <c r="L81" s="3" t="b">
        <f>MID(Table1[[#This Row],[03 - pump status (1)]],6,1)="1"</f>
        <v>0</v>
      </c>
      <c r="M81" s="3" t="b">
        <f>MID(Table1[[#This Row],[03 - pump status (1)]],7,1)="1"</f>
        <v>0</v>
      </c>
      <c r="N81" s="3" t="b">
        <f>MID(Table1[[#This Row],[03 - pump status (1)]],8,1)="1"</f>
        <v>0</v>
      </c>
      <c r="O81" s="3" t="str">
        <f>MID(Table1[[#This Row],[statusRaw]],1+HEX2DEC(LEFT(O$1,2))*2, 8)</f>
        <v>00000000</v>
      </c>
      <c r="P81" s="3" t="str">
        <f>MID(Table1[[#This Row],[statusRaw]],1+HEX2DEC(LEFT(P$1,2))*2, 8)</f>
        <v>00000000</v>
      </c>
      <c r="Q81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81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81" s="3">
        <f>HEX2DEC(MID(Table1[[#This Row],[statusRaw]],1+HEX2DEC(LEFT(S$1,2))*2, 8))/10000</f>
        <v>1.3</v>
      </c>
      <c r="T81" s="3" t="str">
        <f>MID(Table1[[#This Row],[statusRaw]],1+HEX2DEC(LEFT(T$1,2))*2, 8)</f>
        <v>2789C7BF</v>
      </c>
      <c r="U81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81" s="3" t="str">
        <f>HEX2BIN(MID(Table1[[#This Row],[statusRaw]],1+HEX2DEC(LEFT(V$1,2))*2, 2),8) &amp; " 0x" &amp;MID(Table1[[#This Row],[statusRaw]],1+HEX2DEC(LEFT(V$1,2))*2, 2)</f>
        <v>00000001 0x01</v>
      </c>
      <c r="W81" s="3">
        <f>HEX2DEC(MID(Table1[[#This Row],[statusRaw]],1+HEX2DEC(LEFT(W$1,2))*2, 8))/10000</f>
        <v>0.57499999999999996</v>
      </c>
      <c r="X81" s="3">
        <f>HEX2DEC(MID(Table1[[#This Row],[statusRaw]],1+HEX2DEC(LEFT(X$1,2))*2, 8))/10000</f>
        <v>0</v>
      </c>
      <c r="Y81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81" s="3">
        <f>HEX2DEC(MID(Table1[[#This Row],[statusRaw]],1+HEX2DEC(LEFT(Z$1,2))*2, 8))/10000</f>
        <v>6.9</v>
      </c>
      <c r="AA81" s="3">
        <f>HEX2DEC(MID(Table1[[#This Row],[statusRaw]],1+HEX2DEC(LEFT(AA$1,2))*2, 2))</f>
        <v>50</v>
      </c>
      <c r="AB81" s="3">
        <f>HEX2DEC(MID(Table1[[#This Row],[statusRaw]],1+HEX2DEC(LEFT(AB$1,2))*2, 8))/10000</f>
        <v>82.075000000000003</v>
      </c>
      <c r="AC81" s="3">
        <f>HEX2DEC(MID(Table1[[#This Row],[statusRaw]],1+HEX2DEC(LEFT(AC$1,2))*2, 2))</f>
        <v>25</v>
      </c>
      <c r="AD81" s="3">
        <f>HEX2DEC(MID(Table1[[#This Row],[statusRaw]],1+HEX2DEC(LEFT(AD$1,2))*2, 2))</f>
        <v>0</v>
      </c>
      <c r="AE81" s="3">
        <f>HEX2DEC(MID(Table1[[#This Row],[statusRaw]],1+HEX2DEC(LEFT(AE$1,2))*2, 8))/10000</f>
        <v>0.5</v>
      </c>
      <c r="AF81" s="3">
        <f>IF(AND(Table1[[#This Row],[cgm]],NOT(Table1[[#This Row],[35 - SGV special bit (2)]])), _xlfn.BITAND(HEX2DEC(MID(Table1[[#This Row],[statusRaw]],1+HEX2DEC(LEFT(AF$1,2))*2, 4)),HEX2DEC("1FF")),"")</f>
        <v>165</v>
      </c>
      <c r="AG81" s="3" t="b">
        <f>_xlfn.BITAND(HEX2DEC(MID(Table1[[#This Row],[statusRaw]],1+HEX2DEC(LEFT(AG$1,2))*2, 4)),512)=512</f>
        <v>0</v>
      </c>
      <c r="AH81" s="3" t="str">
        <f>MID(Table1[[#This Row],[statusRaw]],1+HEX2DEC(LEFT(AF$1,2))*2, 8)</f>
        <v>00A58673</v>
      </c>
      <c r="AI81" s="3" t="str">
        <f>MID(Table1[[#This Row],[statusRaw]],1+HEX2DEC(LEFT(AH$1,2))*2, 8)</f>
        <v>8673EA32</v>
      </c>
      <c r="AJ81" s="3" t="str">
        <f>HEX2BIN(MID(Table1[[#This Row],[statusRaw]],1+HEX2DEC(LEFT(AJ$1,2))*2, 2),8) &amp; " 0x" &amp;MID(Table1[[#This Row],[statusRaw]],1+HEX2DEC(LEFT(AJ$1,2))*2, 2)</f>
        <v>00000000 0x00</v>
      </c>
      <c r="AK81" s="1" t="str">
        <f>HEX2BIN(MID(Table1[[#This Row],[statusRaw]],1+HEX2DEC(LEFT(AK$1,2))*2, 2),8) &amp; " 0x" &amp;MID(Table1[[#This Row],[statusRaw]],1+HEX2DEC(LEFT(AK$1,2))*2, 2)</f>
        <v>01100000 0x60</v>
      </c>
      <c r="AL81" s="1" t="str">
        <f>VLOOKUP(Table1[[#This Row],[40 trend]],'Arrow status mapping'!$A$1:$B$8,2,FALSE)</f>
        <v>No arrows</v>
      </c>
      <c r="AM81" s="3" t="str">
        <f>HEX2BIN(MID(Table1[[#This Row],[statusRaw]],1+HEX2DEC(LEFT(AM$1,2))*2, 2),8) &amp; " 0x" &amp;MID(Table1[[#This Row],[statusRaw]],1+HEX2DEC(LEFT(AM$1,2))*2, 2)</f>
        <v>00010000 0x10</v>
      </c>
      <c r="AN81" s="3" t="str">
        <f>HEX2BIN(MID(Table1[[#This Row],[statusRaw]],1+HEX2DEC(LEFT(AN$1,2))*2, 2),8) &amp; " 0x" &amp;MID(Table1[[#This Row],[statusRaw]],1+HEX2DEC(LEFT(AN$1,2))*2, 2)</f>
        <v>00000000 0x00</v>
      </c>
      <c r="AO81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0x024E 590</v>
      </c>
      <c r="AP81" s="1" t="str">
        <f>HEX2BIN(MID(Table1[[#This Row],[statusRaw]],1+HEX2DEC(LEFT(AP$1,2))*2, 2),8) &amp; " 0x" &amp;MID(Table1[[#This Row],[statusRaw]],1+HEX2DEC(LEFT(AP$1,2))*2, 2)</f>
        <v>00101011 0x2B</v>
      </c>
      <c r="AQ81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0xFFE0 -32</v>
      </c>
      <c r="AR81" s="3">
        <f>TRUNC(_xlfn.NUMBERVALUE(RIGHT(Table1[[#This Row],[46 rate of change (2)]],LEN(Table1[[#This Row],[46 rate of change (2)]])-7))/100)</f>
        <v>0</v>
      </c>
      <c r="AS81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81" s="3" t="b">
        <f>Table1[[#This Row],[calc arrow]]=Table1[[#This Row],[trend]]</f>
        <v>1</v>
      </c>
      <c r="AU81" s="3" t="str">
        <f>HEX2BIN(MID(Table1[[#This Row],[statusRaw]],1+HEX2DEC(LEFT(AU$1,2))*2, 2),8) &amp; " 0x" &amp;MID(Table1[[#This Row],[statusRaw]],1+HEX2DEC(LEFT(AU$1,2))*2, 2)</f>
        <v>00000000 0x00</v>
      </c>
      <c r="AV81" s="3">
        <f>HEX2DEC(MID(Table1[[#This Row],[statusRaw]],1+HEX2DEC(LEFT(AV$1,2))*2, 4))</f>
        <v>0</v>
      </c>
      <c r="AW81" s="3" t="str">
        <f>HEX2BIN(MID(Table1[[#This Row],[statusRaw]],1+HEX2DEC(LEFT(AW$1,2))*2, 2),8) &amp; " 0x" &amp;MID(Table1[[#This Row],[statusRaw]],1+HEX2DEC(LEFT(AW$1,2))*2, 2)</f>
        <v>00000000 0x00</v>
      </c>
      <c r="AX81" s="3" t="str">
        <f>HEX2BIN(MID(Table1[[#This Row],[statusRaw]],1+HEX2DEC(LEFT(AX$1,2))*2, 2),8) &amp; " 0x" &amp;MID(Table1[[#This Row],[statusRaw]],1+HEX2DEC(LEFT(AX$1,2))*2, 2)</f>
        <v>00000000 0x00</v>
      </c>
      <c r="AY81" s="3" t="str">
        <f>MID(Table1[[#This Row],[statusRaw]],1+HEX2DEC(LEFT(AY$1,2))*2, 8)</f>
        <v>00000000</v>
      </c>
      <c r="AZ81" s="3" t="str">
        <f>MID(Table1[[#This Row],[statusRaw]],1+HEX2DEC(LEFT(AZ$1,2))*2, 8)</f>
        <v>00000000</v>
      </c>
      <c r="BA81" s="3" t="str">
        <f>HEX2BIN(MID(Table1[[#This Row],[statusRaw]],1+HEX2DEC(LEFT(BA$1,2))*2, 2),8) &amp; " 0x" &amp;MID(Table1[[#This Row],[statusRaw]],1+HEX2DEC(LEFT(BA$1,2))*2, 2)</f>
        <v>00000000 0x00</v>
      </c>
      <c r="BB81" s="3" t="str">
        <f>HEX2BIN(MID(Table1[[#This Row],[statusRaw]],1+HEX2DEC(LEFT(BB$1,2))*2, 2),8) &amp; " 0x" &amp;MID(Table1[[#This Row],[statusRaw]],1+HEX2DEC(LEFT(BB$1,2))*2, 2)</f>
        <v>00000000 0x00</v>
      </c>
      <c r="BC81" s="3" t="str">
        <f>HEX2BIN(MID(Table1[[#This Row],[statusRaw]],1+HEX2DEC(LEFT(BC$1,2))*2, 2),8) &amp; " 0x" &amp;MID(Table1[[#This Row],[statusRaw]],1+HEX2DEC(LEFT(BC$1,2))*2, 2)</f>
        <v>00000000 0x00</v>
      </c>
      <c r="BD81" s="3" t="str">
        <f>MID(Table1[[#This Row],[statusRaw]],1+HEX2DEC(LEFT(BD$1,2))*2, 8)</f>
        <v>000008C5</v>
      </c>
      <c r="BE81" s="3" t="str">
        <f>MID(Table1[[#This Row],[statusRaw]],1+HEX2DEC(LEFT(BE$1,2))*2, 8)</f>
        <v>000008C5</v>
      </c>
      <c r="BF81" s="9"/>
    </row>
    <row r="82" spans="1:58" x14ac:dyDescent="0.25">
      <c r="A82" s="1" t="s">
        <v>246</v>
      </c>
      <c r="B82" s="1" t="s">
        <v>247</v>
      </c>
      <c r="C82" s="1" t="s">
        <v>7</v>
      </c>
      <c r="D82" s="1" t="s">
        <v>248</v>
      </c>
      <c r="E82" s="1">
        <v>15</v>
      </c>
      <c r="F82" s="3" t="str">
        <f>HEX2BIN(MID(Table1[[#This Row],[statusRaw]],1+HEX2DEC(LEFT(F$1,2))*2, 2),8) &amp; " 0x" &amp;MID(Table1[[#This Row],[statusRaw]],1+HEX2DEC(LEFT(F$1,2))*2, 2)</f>
        <v>01010000 0x50</v>
      </c>
      <c r="G82" s="3" t="b">
        <f>MID(Table1[[#This Row],[03 - pump status (1)]],1,1)="1"</f>
        <v>0</v>
      </c>
      <c r="H82" s="3" t="b">
        <f>MID(Table1[[#This Row],[03 - pump status (1)]],2,1)="1"</f>
        <v>1</v>
      </c>
      <c r="I82" s="3" t="b">
        <f>MID(Table1[[#This Row],[03 - pump status (1)]],3,1)="1"</f>
        <v>0</v>
      </c>
      <c r="J82" s="3" t="b">
        <f>MID(Table1[[#This Row],[03 - pump status (1)]],4,1)="1"</f>
        <v>1</v>
      </c>
      <c r="K82" s="3" t="b">
        <f>MID(Table1[[#This Row],[03 - pump status (1)]],5,1)="1"</f>
        <v>0</v>
      </c>
      <c r="L82" s="3" t="b">
        <f>MID(Table1[[#This Row],[03 - pump status (1)]],6,1)="1"</f>
        <v>0</v>
      </c>
      <c r="M82" s="3" t="b">
        <f>MID(Table1[[#This Row],[03 - pump status (1)]],7,1)="1"</f>
        <v>0</v>
      </c>
      <c r="N82" s="3" t="b">
        <f>MID(Table1[[#This Row],[03 - pump status (1)]],8,1)="1"</f>
        <v>0</v>
      </c>
      <c r="O82" s="3" t="str">
        <f>MID(Table1[[#This Row],[statusRaw]],1+HEX2DEC(LEFT(O$1,2))*2, 8)</f>
        <v>00000000</v>
      </c>
      <c r="P82" s="3" t="str">
        <f>MID(Table1[[#This Row],[statusRaw]],1+HEX2DEC(LEFT(P$1,2))*2, 8)</f>
        <v>00000000</v>
      </c>
      <c r="Q82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82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82" s="3">
        <f>HEX2DEC(MID(Table1[[#This Row],[statusRaw]],1+HEX2DEC(LEFT(S$1,2))*2, 8))/10000</f>
        <v>1.3</v>
      </c>
      <c r="T82" s="3" t="str">
        <f>MID(Table1[[#This Row],[statusRaw]],1+HEX2DEC(LEFT(T$1,2))*2, 8)</f>
        <v>2789C7BF</v>
      </c>
      <c r="U82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82" s="3" t="str">
        <f>HEX2BIN(MID(Table1[[#This Row],[statusRaw]],1+HEX2DEC(LEFT(V$1,2))*2, 2),8) &amp; " 0x" &amp;MID(Table1[[#This Row],[statusRaw]],1+HEX2DEC(LEFT(V$1,2))*2, 2)</f>
        <v>00000001 0x01</v>
      </c>
      <c r="W82" s="3">
        <f>HEX2DEC(MID(Table1[[#This Row],[statusRaw]],1+HEX2DEC(LEFT(W$1,2))*2, 8))/10000</f>
        <v>0.57499999999999996</v>
      </c>
      <c r="X82" s="3">
        <f>HEX2DEC(MID(Table1[[#This Row],[statusRaw]],1+HEX2DEC(LEFT(X$1,2))*2, 8))/10000</f>
        <v>0</v>
      </c>
      <c r="Y82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82" s="3">
        <f>HEX2DEC(MID(Table1[[#This Row],[statusRaw]],1+HEX2DEC(LEFT(Z$1,2))*2, 8))/10000</f>
        <v>6.85</v>
      </c>
      <c r="AA82" s="3">
        <f>HEX2DEC(MID(Table1[[#This Row],[statusRaw]],1+HEX2DEC(LEFT(AA$1,2))*2, 2))</f>
        <v>50</v>
      </c>
      <c r="AB82" s="3">
        <f>HEX2DEC(MID(Table1[[#This Row],[statusRaw]],1+HEX2DEC(LEFT(AB$1,2))*2, 8))/10000</f>
        <v>82.125</v>
      </c>
      <c r="AC82" s="3">
        <f>HEX2DEC(MID(Table1[[#This Row],[statusRaw]],1+HEX2DEC(LEFT(AC$1,2))*2, 2))</f>
        <v>25</v>
      </c>
      <c r="AD82" s="3">
        <f>HEX2DEC(MID(Table1[[#This Row],[statusRaw]],1+HEX2DEC(LEFT(AD$1,2))*2, 2))</f>
        <v>0</v>
      </c>
      <c r="AE82" s="3">
        <f>HEX2DEC(MID(Table1[[#This Row],[statusRaw]],1+HEX2DEC(LEFT(AE$1,2))*2, 8))/10000</f>
        <v>0.5</v>
      </c>
      <c r="AF82" s="3">
        <f>IF(AND(Table1[[#This Row],[cgm]],NOT(Table1[[#This Row],[35 - SGV special bit (2)]])), _xlfn.BITAND(HEX2DEC(MID(Table1[[#This Row],[statusRaw]],1+HEX2DEC(LEFT(AF$1,2))*2, 4)),HEX2DEC("1FF")),"")</f>
        <v>171</v>
      </c>
      <c r="AG82" s="3" t="b">
        <f>_xlfn.BITAND(HEX2DEC(MID(Table1[[#This Row],[statusRaw]],1+HEX2DEC(LEFT(AG$1,2))*2, 4)),512)=512</f>
        <v>0</v>
      </c>
      <c r="AH82" s="3" t="str">
        <f>MID(Table1[[#This Row],[statusRaw]],1+HEX2DEC(LEFT(AF$1,2))*2, 8)</f>
        <v>00AB8673</v>
      </c>
      <c r="AI82" s="3" t="str">
        <f>MID(Table1[[#This Row],[statusRaw]],1+HEX2DEC(LEFT(AH$1,2))*2, 8)</f>
        <v>8673E906</v>
      </c>
      <c r="AJ82" s="3" t="str">
        <f>HEX2BIN(MID(Table1[[#This Row],[statusRaw]],1+HEX2DEC(LEFT(AJ$1,2))*2, 2),8) &amp; " 0x" &amp;MID(Table1[[#This Row],[statusRaw]],1+HEX2DEC(LEFT(AJ$1,2))*2, 2)</f>
        <v>00000000 0x00</v>
      </c>
      <c r="AK82" s="1" t="str">
        <f>HEX2BIN(MID(Table1[[#This Row],[statusRaw]],1+HEX2DEC(LEFT(AK$1,2))*2, 2),8) &amp; " 0x" &amp;MID(Table1[[#This Row],[statusRaw]],1+HEX2DEC(LEFT(AK$1,2))*2, 2)</f>
        <v>01100000 0x60</v>
      </c>
      <c r="AL82" s="1" t="str">
        <f>VLOOKUP(Table1[[#This Row],[40 trend]],'Arrow status mapping'!$A$1:$B$8,2,FALSE)</f>
        <v>No arrows</v>
      </c>
      <c r="AM82" s="3" t="str">
        <f>HEX2BIN(MID(Table1[[#This Row],[statusRaw]],1+HEX2DEC(LEFT(AM$1,2))*2, 2),8) &amp; " 0x" &amp;MID(Table1[[#This Row],[statusRaw]],1+HEX2DEC(LEFT(AM$1,2))*2, 2)</f>
        <v>00010000 0x10</v>
      </c>
      <c r="AN82" s="3" t="str">
        <f>HEX2BIN(MID(Table1[[#This Row],[statusRaw]],1+HEX2DEC(LEFT(AN$1,2))*2, 2),8) &amp; " 0x" &amp;MID(Table1[[#This Row],[statusRaw]],1+HEX2DEC(LEFT(AN$1,2))*2, 2)</f>
        <v>00000000 0x00</v>
      </c>
      <c r="AO82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0x0253 595</v>
      </c>
      <c r="AP82" s="1" t="str">
        <f>HEX2BIN(MID(Table1[[#This Row],[statusRaw]],1+HEX2DEC(LEFT(AP$1,2))*2, 2),8) &amp; " 0x" &amp;MID(Table1[[#This Row],[statusRaw]],1+HEX2DEC(LEFT(AP$1,2))*2, 2)</f>
        <v>00101011 0x2B</v>
      </c>
      <c r="AQ82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0xFFE0 -32</v>
      </c>
      <c r="AR82" s="3">
        <f>TRUNC(_xlfn.NUMBERVALUE(RIGHT(Table1[[#This Row],[46 rate of change (2)]],LEN(Table1[[#This Row],[46 rate of change (2)]])-7))/100)</f>
        <v>0</v>
      </c>
      <c r="AS82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82" s="3" t="b">
        <f>Table1[[#This Row],[calc arrow]]=Table1[[#This Row],[trend]]</f>
        <v>1</v>
      </c>
      <c r="AU82" s="3" t="str">
        <f>HEX2BIN(MID(Table1[[#This Row],[statusRaw]],1+HEX2DEC(LEFT(AU$1,2))*2, 2),8) &amp; " 0x" &amp;MID(Table1[[#This Row],[statusRaw]],1+HEX2DEC(LEFT(AU$1,2))*2, 2)</f>
        <v>00000000 0x00</v>
      </c>
      <c r="AV82" s="3">
        <f>HEX2DEC(MID(Table1[[#This Row],[statusRaw]],1+HEX2DEC(LEFT(AV$1,2))*2, 4))</f>
        <v>0</v>
      </c>
      <c r="AW82" s="3" t="str">
        <f>HEX2BIN(MID(Table1[[#This Row],[statusRaw]],1+HEX2DEC(LEFT(AW$1,2))*2, 2),8) &amp; " 0x" &amp;MID(Table1[[#This Row],[statusRaw]],1+HEX2DEC(LEFT(AW$1,2))*2, 2)</f>
        <v>00000000 0x00</v>
      </c>
      <c r="AX82" s="3" t="str">
        <f>HEX2BIN(MID(Table1[[#This Row],[statusRaw]],1+HEX2DEC(LEFT(AX$1,2))*2, 2),8) &amp; " 0x" &amp;MID(Table1[[#This Row],[statusRaw]],1+HEX2DEC(LEFT(AX$1,2))*2, 2)</f>
        <v>00000000 0x00</v>
      </c>
      <c r="AY82" s="3" t="str">
        <f>MID(Table1[[#This Row],[statusRaw]],1+HEX2DEC(LEFT(AY$1,2))*2, 8)</f>
        <v>00000000</v>
      </c>
      <c r="AZ82" s="3" t="str">
        <f>MID(Table1[[#This Row],[statusRaw]],1+HEX2DEC(LEFT(AZ$1,2))*2, 8)</f>
        <v>00000000</v>
      </c>
      <c r="BA82" s="3" t="str">
        <f>HEX2BIN(MID(Table1[[#This Row],[statusRaw]],1+HEX2DEC(LEFT(BA$1,2))*2, 2),8) &amp; " 0x" &amp;MID(Table1[[#This Row],[statusRaw]],1+HEX2DEC(LEFT(BA$1,2))*2, 2)</f>
        <v>00000000 0x00</v>
      </c>
      <c r="BB82" s="3" t="str">
        <f>HEX2BIN(MID(Table1[[#This Row],[statusRaw]],1+HEX2DEC(LEFT(BB$1,2))*2, 2),8) &amp; " 0x" &amp;MID(Table1[[#This Row],[statusRaw]],1+HEX2DEC(LEFT(BB$1,2))*2, 2)</f>
        <v>00000000 0x00</v>
      </c>
      <c r="BC82" s="3" t="str">
        <f>HEX2BIN(MID(Table1[[#This Row],[statusRaw]],1+HEX2DEC(LEFT(BC$1,2))*2, 2),8) &amp; " 0x" &amp;MID(Table1[[#This Row],[statusRaw]],1+HEX2DEC(LEFT(BC$1,2))*2, 2)</f>
        <v>00000000 0x00</v>
      </c>
      <c r="BD82" s="3" t="str">
        <f>MID(Table1[[#This Row],[statusRaw]],1+HEX2DEC(LEFT(BD$1,2))*2, 8)</f>
        <v>000008C5</v>
      </c>
      <c r="BE82" s="3" t="str">
        <f>MID(Table1[[#This Row],[statusRaw]],1+HEX2DEC(LEFT(BE$1,2))*2, 8)</f>
        <v>000008C5</v>
      </c>
      <c r="BF82" s="9"/>
    </row>
    <row r="83" spans="1:58" x14ac:dyDescent="0.25">
      <c r="A83" s="1" t="s">
        <v>249</v>
      </c>
      <c r="B83" s="1" t="s">
        <v>250</v>
      </c>
      <c r="C83" s="1" t="s">
        <v>7</v>
      </c>
      <c r="D83" s="1" t="s">
        <v>251</v>
      </c>
      <c r="E83" s="1">
        <v>15</v>
      </c>
      <c r="F83" s="3" t="str">
        <f>HEX2BIN(MID(Table1[[#This Row],[statusRaw]],1+HEX2DEC(LEFT(F$1,2))*2, 2),8) &amp; " 0x" &amp;MID(Table1[[#This Row],[statusRaw]],1+HEX2DEC(LEFT(F$1,2))*2, 2)</f>
        <v>01010000 0x50</v>
      </c>
      <c r="G83" s="3" t="b">
        <f>MID(Table1[[#This Row],[03 - pump status (1)]],1,1)="1"</f>
        <v>0</v>
      </c>
      <c r="H83" s="3" t="b">
        <f>MID(Table1[[#This Row],[03 - pump status (1)]],2,1)="1"</f>
        <v>1</v>
      </c>
      <c r="I83" s="3" t="b">
        <f>MID(Table1[[#This Row],[03 - pump status (1)]],3,1)="1"</f>
        <v>0</v>
      </c>
      <c r="J83" s="3" t="b">
        <f>MID(Table1[[#This Row],[03 - pump status (1)]],4,1)="1"</f>
        <v>1</v>
      </c>
      <c r="K83" s="3" t="b">
        <f>MID(Table1[[#This Row],[03 - pump status (1)]],5,1)="1"</f>
        <v>0</v>
      </c>
      <c r="L83" s="3" t="b">
        <f>MID(Table1[[#This Row],[03 - pump status (1)]],6,1)="1"</f>
        <v>0</v>
      </c>
      <c r="M83" s="3" t="b">
        <f>MID(Table1[[#This Row],[03 - pump status (1)]],7,1)="1"</f>
        <v>0</v>
      </c>
      <c r="N83" s="3" t="b">
        <f>MID(Table1[[#This Row],[03 - pump status (1)]],8,1)="1"</f>
        <v>0</v>
      </c>
      <c r="O83" s="3" t="str">
        <f>MID(Table1[[#This Row],[statusRaw]],1+HEX2DEC(LEFT(O$1,2))*2, 8)</f>
        <v>00000000</v>
      </c>
      <c r="P83" s="3" t="str">
        <f>MID(Table1[[#This Row],[statusRaw]],1+HEX2DEC(LEFT(P$1,2))*2, 8)</f>
        <v>00000000</v>
      </c>
      <c r="Q83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83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83" s="3">
        <f>HEX2DEC(MID(Table1[[#This Row],[statusRaw]],1+HEX2DEC(LEFT(S$1,2))*2, 8))/10000</f>
        <v>1.3</v>
      </c>
      <c r="T83" s="3" t="str">
        <f>MID(Table1[[#This Row],[statusRaw]],1+HEX2DEC(LEFT(T$1,2))*2, 8)</f>
        <v>2789C7BF</v>
      </c>
      <c r="U83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83" s="3" t="str">
        <f>HEX2BIN(MID(Table1[[#This Row],[statusRaw]],1+HEX2DEC(LEFT(V$1,2))*2, 2),8) &amp; " 0x" &amp;MID(Table1[[#This Row],[statusRaw]],1+HEX2DEC(LEFT(V$1,2))*2, 2)</f>
        <v>00000001 0x01</v>
      </c>
      <c r="W83" s="3">
        <f>HEX2DEC(MID(Table1[[#This Row],[statusRaw]],1+HEX2DEC(LEFT(W$1,2))*2, 8))/10000</f>
        <v>0.57499999999999996</v>
      </c>
      <c r="X83" s="3">
        <f>HEX2DEC(MID(Table1[[#This Row],[statusRaw]],1+HEX2DEC(LEFT(X$1,2))*2, 8))/10000</f>
        <v>0</v>
      </c>
      <c r="Y83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83" s="3">
        <f>HEX2DEC(MID(Table1[[#This Row],[statusRaw]],1+HEX2DEC(LEFT(Z$1,2))*2, 8))/10000</f>
        <v>6.8</v>
      </c>
      <c r="AA83" s="3">
        <f>HEX2DEC(MID(Table1[[#This Row],[statusRaw]],1+HEX2DEC(LEFT(AA$1,2))*2, 2))</f>
        <v>50</v>
      </c>
      <c r="AB83" s="3">
        <f>HEX2DEC(MID(Table1[[#This Row],[statusRaw]],1+HEX2DEC(LEFT(AB$1,2))*2, 8))/10000</f>
        <v>82.174999999999997</v>
      </c>
      <c r="AC83" s="3">
        <f>HEX2DEC(MID(Table1[[#This Row],[statusRaw]],1+HEX2DEC(LEFT(AC$1,2))*2, 2))</f>
        <v>25</v>
      </c>
      <c r="AD83" s="3">
        <f>HEX2DEC(MID(Table1[[#This Row],[statusRaw]],1+HEX2DEC(LEFT(AD$1,2))*2, 2))</f>
        <v>0</v>
      </c>
      <c r="AE83" s="3">
        <f>HEX2DEC(MID(Table1[[#This Row],[statusRaw]],1+HEX2DEC(LEFT(AE$1,2))*2, 8))/10000</f>
        <v>0.6</v>
      </c>
      <c r="AF83" s="3">
        <f>IF(AND(Table1[[#This Row],[cgm]],NOT(Table1[[#This Row],[35 - SGV special bit (2)]])), _xlfn.BITAND(HEX2DEC(MID(Table1[[#This Row],[statusRaw]],1+HEX2DEC(LEFT(AF$1,2))*2, 4)),HEX2DEC("1FF")),"")</f>
        <v>173</v>
      </c>
      <c r="AG83" s="3" t="b">
        <f>_xlfn.BITAND(HEX2DEC(MID(Table1[[#This Row],[statusRaw]],1+HEX2DEC(LEFT(AG$1,2))*2, 4)),512)=512</f>
        <v>0</v>
      </c>
      <c r="AH83" s="3" t="str">
        <f>MID(Table1[[#This Row],[statusRaw]],1+HEX2DEC(LEFT(AF$1,2))*2, 8)</f>
        <v>00AD8673</v>
      </c>
      <c r="AI83" s="3" t="str">
        <f>MID(Table1[[#This Row],[statusRaw]],1+HEX2DEC(LEFT(AH$1,2))*2, 8)</f>
        <v>8673E7D8</v>
      </c>
      <c r="AJ83" s="3" t="str">
        <f>HEX2BIN(MID(Table1[[#This Row],[statusRaw]],1+HEX2DEC(LEFT(AJ$1,2))*2, 2),8) &amp; " 0x" &amp;MID(Table1[[#This Row],[statusRaw]],1+HEX2DEC(LEFT(AJ$1,2))*2, 2)</f>
        <v>00000000 0x00</v>
      </c>
      <c r="AK83" s="1" t="str">
        <f>HEX2BIN(MID(Table1[[#This Row],[statusRaw]],1+HEX2DEC(LEFT(AK$1,2))*2, 2),8) &amp; " 0x" &amp;MID(Table1[[#This Row],[statusRaw]],1+HEX2DEC(LEFT(AK$1,2))*2, 2)</f>
        <v>01100000 0x60</v>
      </c>
      <c r="AL83" s="1" t="str">
        <f>VLOOKUP(Table1[[#This Row],[40 trend]],'Arrow status mapping'!$A$1:$B$8,2,FALSE)</f>
        <v>No arrows</v>
      </c>
      <c r="AM83" s="3" t="str">
        <f>HEX2BIN(MID(Table1[[#This Row],[statusRaw]],1+HEX2DEC(LEFT(AM$1,2))*2, 2),8) &amp; " 0x" &amp;MID(Table1[[#This Row],[statusRaw]],1+HEX2DEC(LEFT(AM$1,2))*2, 2)</f>
        <v>00010000 0x10</v>
      </c>
      <c r="AN83" s="3" t="str">
        <f>HEX2BIN(MID(Table1[[#This Row],[statusRaw]],1+HEX2DEC(LEFT(AN$1,2))*2, 2),8) &amp; " 0x" &amp;MID(Table1[[#This Row],[statusRaw]],1+HEX2DEC(LEFT(AN$1,2))*2, 2)</f>
        <v>00000000 0x00</v>
      </c>
      <c r="AO83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0x0258 600</v>
      </c>
      <c r="AP83" s="1" t="str">
        <f>HEX2BIN(MID(Table1[[#This Row],[statusRaw]],1+HEX2DEC(LEFT(AP$1,2))*2, 2),8) &amp; " 0x" &amp;MID(Table1[[#This Row],[statusRaw]],1+HEX2DEC(LEFT(AP$1,2))*2, 2)</f>
        <v>00101011 0x2B</v>
      </c>
      <c r="AQ83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83" s="3">
        <f>TRUNC(_xlfn.NUMBERVALUE(RIGHT(Table1[[#This Row],[46 rate of change (2)]],LEN(Table1[[#This Row],[46 rate of change (2)]])-7))/100)</f>
        <v>0</v>
      </c>
      <c r="AS83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83" s="3" t="b">
        <f>Table1[[#This Row],[calc arrow]]=Table1[[#This Row],[trend]]</f>
        <v>1</v>
      </c>
      <c r="AU83" s="3" t="str">
        <f>HEX2BIN(MID(Table1[[#This Row],[statusRaw]],1+HEX2DEC(LEFT(AU$1,2))*2, 2),8) &amp; " 0x" &amp;MID(Table1[[#This Row],[statusRaw]],1+HEX2DEC(LEFT(AU$1,2))*2, 2)</f>
        <v>00000000 0x00</v>
      </c>
      <c r="AV83" s="3">
        <f>HEX2DEC(MID(Table1[[#This Row],[statusRaw]],1+HEX2DEC(LEFT(AV$1,2))*2, 4))</f>
        <v>0</v>
      </c>
      <c r="AW83" s="3" t="str">
        <f>HEX2BIN(MID(Table1[[#This Row],[statusRaw]],1+HEX2DEC(LEFT(AW$1,2))*2, 2),8) &amp; " 0x" &amp;MID(Table1[[#This Row],[statusRaw]],1+HEX2DEC(LEFT(AW$1,2))*2, 2)</f>
        <v>00000000 0x00</v>
      </c>
      <c r="AX83" s="3" t="str">
        <f>HEX2BIN(MID(Table1[[#This Row],[statusRaw]],1+HEX2DEC(LEFT(AX$1,2))*2, 2),8) &amp; " 0x" &amp;MID(Table1[[#This Row],[statusRaw]],1+HEX2DEC(LEFT(AX$1,2))*2, 2)</f>
        <v>00000000 0x00</v>
      </c>
      <c r="AY83" s="3" t="str">
        <f>MID(Table1[[#This Row],[statusRaw]],1+HEX2DEC(LEFT(AY$1,2))*2, 8)</f>
        <v>00000000</v>
      </c>
      <c r="AZ83" s="3" t="str">
        <f>MID(Table1[[#This Row],[statusRaw]],1+HEX2DEC(LEFT(AZ$1,2))*2, 8)</f>
        <v>00000000</v>
      </c>
      <c r="BA83" s="3" t="str">
        <f>HEX2BIN(MID(Table1[[#This Row],[statusRaw]],1+HEX2DEC(LEFT(BA$1,2))*2, 2),8) &amp; " 0x" &amp;MID(Table1[[#This Row],[statusRaw]],1+HEX2DEC(LEFT(BA$1,2))*2, 2)</f>
        <v>00000000 0x00</v>
      </c>
      <c r="BB83" s="3" t="str">
        <f>HEX2BIN(MID(Table1[[#This Row],[statusRaw]],1+HEX2DEC(LEFT(BB$1,2))*2, 2),8) &amp; " 0x" &amp;MID(Table1[[#This Row],[statusRaw]],1+HEX2DEC(LEFT(BB$1,2))*2, 2)</f>
        <v>00000000 0x00</v>
      </c>
      <c r="BC83" s="3" t="str">
        <f>HEX2BIN(MID(Table1[[#This Row],[statusRaw]],1+HEX2DEC(LEFT(BC$1,2))*2, 2),8) &amp; " 0x" &amp;MID(Table1[[#This Row],[statusRaw]],1+HEX2DEC(LEFT(BC$1,2))*2, 2)</f>
        <v>00000000 0x00</v>
      </c>
      <c r="BD83" s="3" t="str">
        <f>MID(Table1[[#This Row],[statusRaw]],1+HEX2DEC(LEFT(BD$1,2))*2, 8)</f>
        <v>000008C5</v>
      </c>
      <c r="BE83" s="3" t="str">
        <f>MID(Table1[[#This Row],[statusRaw]],1+HEX2DEC(LEFT(BE$1,2))*2, 8)</f>
        <v>000008C5</v>
      </c>
      <c r="BF83" s="9"/>
    </row>
    <row r="84" spans="1:58" x14ac:dyDescent="0.25">
      <c r="A84" s="1" t="s">
        <v>252</v>
      </c>
      <c r="B84" s="1" t="s">
        <v>253</v>
      </c>
      <c r="C84" s="1" t="s">
        <v>7</v>
      </c>
      <c r="D84" s="1" t="s">
        <v>254</v>
      </c>
      <c r="E84" s="1">
        <v>14</v>
      </c>
      <c r="F84" s="3" t="str">
        <f>HEX2BIN(MID(Table1[[#This Row],[statusRaw]],1+HEX2DEC(LEFT(F$1,2))*2, 2),8) &amp; " 0x" &amp;MID(Table1[[#This Row],[statusRaw]],1+HEX2DEC(LEFT(F$1,2))*2, 2)</f>
        <v>01010000 0x50</v>
      </c>
      <c r="G84" s="3" t="b">
        <f>MID(Table1[[#This Row],[03 - pump status (1)]],1,1)="1"</f>
        <v>0</v>
      </c>
      <c r="H84" s="3" t="b">
        <f>MID(Table1[[#This Row],[03 - pump status (1)]],2,1)="1"</f>
        <v>1</v>
      </c>
      <c r="I84" s="3" t="b">
        <f>MID(Table1[[#This Row],[03 - pump status (1)]],3,1)="1"</f>
        <v>0</v>
      </c>
      <c r="J84" s="3" t="b">
        <f>MID(Table1[[#This Row],[03 - pump status (1)]],4,1)="1"</f>
        <v>1</v>
      </c>
      <c r="K84" s="3" t="b">
        <f>MID(Table1[[#This Row],[03 - pump status (1)]],5,1)="1"</f>
        <v>0</v>
      </c>
      <c r="L84" s="3" t="b">
        <f>MID(Table1[[#This Row],[03 - pump status (1)]],6,1)="1"</f>
        <v>0</v>
      </c>
      <c r="M84" s="3" t="b">
        <f>MID(Table1[[#This Row],[03 - pump status (1)]],7,1)="1"</f>
        <v>0</v>
      </c>
      <c r="N84" s="3" t="b">
        <f>MID(Table1[[#This Row],[03 - pump status (1)]],8,1)="1"</f>
        <v>0</v>
      </c>
      <c r="O84" s="3" t="str">
        <f>MID(Table1[[#This Row],[statusRaw]],1+HEX2DEC(LEFT(O$1,2))*2, 8)</f>
        <v>00000000</v>
      </c>
      <c r="P84" s="3" t="str">
        <f>MID(Table1[[#This Row],[statusRaw]],1+HEX2DEC(LEFT(P$1,2))*2, 8)</f>
        <v>00000000</v>
      </c>
      <c r="Q84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84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84" s="3">
        <f>HEX2DEC(MID(Table1[[#This Row],[statusRaw]],1+HEX2DEC(LEFT(S$1,2))*2, 8))/10000</f>
        <v>1.3</v>
      </c>
      <c r="T84" s="3" t="str">
        <f>MID(Table1[[#This Row],[statusRaw]],1+HEX2DEC(LEFT(T$1,2))*2, 8)</f>
        <v>2789C7BF</v>
      </c>
      <c r="U84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84" s="3" t="str">
        <f>HEX2BIN(MID(Table1[[#This Row],[statusRaw]],1+HEX2DEC(LEFT(V$1,2))*2, 2),8) &amp; " 0x" &amp;MID(Table1[[#This Row],[statusRaw]],1+HEX2DEC(LEFT(V$1,2))*2, 2)</f>
        <v>00000001 0x01</v>
      </c>
      <c r="W84" s="3">
        <f>HEX2DEC(MID(Table1[[#This Row],[statusRaw]],1+HEX2DEC(LEFT(W$1,2))*2, 8))/10000</f>
        <v>0.625</v>
      </c>
      <c r="X84" s="3">
        <f>HEX2DEC(MID(Table1[[#This Row],[statusRaw]],1+HEX2DEC(LEFT(X$1,2))*2, 8))/10000</f>
        <v>0</v>
      </c>
      <c r="Y84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84" s="3">
        <f>HEX2DEC(MID(Table1[[#This Row],[statusRaw]],1+HEX2DEC(LEFT(Z$1,2))*2, 8))/10000</f>
        <v>6.65</v>
      </c>
      <c r="AA84" s="3">
        <f>HEX2DEC(MID(Table1[[#This Row],[statusRaw]],1+HEX2DEC(LEFT(AA$1,2))*2, 2))</f>
        <v>50</v>
      </c>
      <c r="AB84" s="3">
        <f>HEX2DEC(MID(Table1[[#This Row],[statusRaw]],1+HEX2DEC(LEFT(AB$1,2))*2, 8))/10000</f>
        <v>82.325000000000003</v>
      </c>
      <c r="AC84" s="3">
        <f>HEX2DEC(MID(Table1[[#This Row],[statusRaw]],1+HEX2DEC(LEFT(AC$1,2))*2, 2))</f>
        <v>25</v>
      </c>
      <c r="AD84" s="3">
        <f>HEX2DEC(MID(Table1[[#This Row],[statusRaw]],1+HEX2DEC(LEFT(AD$1,2))*2, 2))</f>
        <v>0</v>
      </c>
      <c r="AE84" s="3">
        <f>HEX2DEC(MID(Table1[[#This Row],[statusRaw]],1+HEX2DEC(LEFT(AE$1,2))*2, 8))/10000</f>
        <v>0.9</v>
      </c>
      <c r="AF84" s="3">
        <f>IF(AND(Table1[[#This Row],[cgm]],NOT(Table1[[#This Row],[35 - SGV special bit (2)]])), _xlfn.BITAND(HEX2DEC(MID(Table1[[#This Row],[statusRaw]],1+HEX2DEC(LEFT(AF$1,2))*2, 4)),HEX2DEC("1FF")),"")</f>
        <v>175</v>
      </c>
      <c r="AG84" s="3" t="b">
        <f>_xlfn.BITAND(HEX2DEC(MID(Table1[[#This Row],[statusRaw]],1+HEX2DEC(LEFT(AG$1,2))*2, 4)),512)=512</f>
        <v>0</v>
      </c>
      <c r="AH84" s="3" t="str">
        <f>MID(Table1[[#This Row],[statusRaw]],1+HEX2DEC(LEFT(AF$1,2))*2, 8)</f>
        <v>00AF8673</v>
      </c>
      <c r="AI84" s="3" t="str">
        <f>MID(Table1[[#This Row],[statusRaw]],1+HEX2DEC(LEFT(AH$1,2))*2, 8)</f>
        <v>8673E454</v>
      </c>
      <c r="AJ84" s="3" t="str">
        <f>HEX2BIN(MID(Table1[[#This Row],[statusRaw]],1+HEX2DEC(LEFT(AJ$1,2))*2, 2),8) &amp; " 0x" &amp;MID(Table1[[#This Row],[statusRaw]],1+HEX2DEC(LEFT(AJ$1,2))*2, 2)</f>
        <v>00000000 0x00</v>
      </c>
      <c r="AK84" s="1" t="str">
        <f>HEX2BIN(MID(Table1[[#This Row],[statusRaw]],1+HEX2DEC(LEFT(AK$1,2))*2, 2),8) &amp; " 0x" &amp;MID(Table1[[#This Row],[statusRaw]],1+HEX2DEC(LEFT(AK$1,2))*2, 2)</f>
        <v>01100000 0x60</v>
      </c>
      <c r="AL84" s="1" t="str">
        <f>VLOOKUP(Table1[[#This Row],[40 trend]],'Arrow status mapping'!$A$1:$B$8,2,FALSE)</f>
        <v>No arrows</v>
      </c>
      <c r="AM84" s="3" t="str">
        <f>HEX2BIN(MID(Table1[[#This Row],[statusRaw]],1+HEX2DEC(LEFT(AM$1,2))*2, 2),8) &amp; " 0x" &amp;MID(Table1[[#This Row],[statusRaw]],1+HEX2DEC(LEFT(AM$1,2))*2, 2)</f>
        <v>00010000 0x10</v>
      </c>
      <c r="AN84" s="3" t="str">
        <f>HEX2BIN(MID(Table1[[#This Row],[statusRaw]],1+HEX2DEC(LEFT(AN$1,2))*2, 2),8) &amp; " 0x" &amp;MID(Table1[[#This Row],[statusRaw]],1+HEX2DEC(LEFT(AN$1,2))*2, 2)</f>
        <v>00000000 0x00</v>
      </c>
      <c r="AO84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0x0267 615</v>
      </c>
      <c r="AP84" s="1" t="str">
        <f>HEX2BIN(MID(Table1[[#This Row],[statusRaw]],1+HEX2DEC(LEFT(AP$1,2))*2, 2),8) &amp; " 0x" &amp;MID(Table1[[#This Row],[statusRaw]],1+HEX2DEC(LEFT(AP$1,2))*2, 2)</f>
        <v>00101011 0x2B</v>
      </c>
      <c r="AQ84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0x0008 8</v>
      </c>
      <c r="AR84" s="3">
        <f>TRUNC(_xlfn.NUMBERVALUE(RIGHT(Table1[[#This Row],[46 rate of change (2)]],LEN(Table1[[#This Row],[46 rate of change (2)]])-7))/100)</f>
        <v>0</v>
      </c>
      <c r="AS84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84" s="3" t="b">
        <f>Table1[[#This Row],[calc arrow]]=Table1[[#This Row],[trend]]</f>
        <v>1</v>
      </c>
      <c r="AU84" s="3" t="str">
        <f>HEX2BIN(MID(Table1[[#This Row],[statusRaw]],1+HEX2DEC(LEFT(AU$1,2))*2, 2),8) &amp; " 0x" &amp;MID(Table1[[#This Row],[statusRaw]],1+HEX2DEC(LEFT(AU$1,2))*2, 2)</f>
        <v>00000000 0x00</v>
      </c>
      <c r="AV84" s="3">
        <f>HEX2DEC(MID(Table1[[#This Row],[statusRaw]],1+HEX2DEC(LEFT(AV$1,2))*2, 4))</f>
        <v>0</v>
      </c>
      <c r="AW84" s="3" t="str">
        <f>HEX2BIN(MID(Table1[[#This Row],[statusRaw]],1+HEX2DEC(LEFT(AW$1,2))*2, 2),8) &amp; " 0x" &amp;MID(Table1[[#This Row],[statusRaw]],1+HEX2DEC(LEFT(AW$1,2))*2, 2)</f>
        <v>00000000 0x00</v>
      </c>
      <c r="AX84" s="3" t="str">
        <f>HEX2BIN(MID(Table1[[#This Row],[statusRaw]],1+HEX2DEC(LEFT(AX$1,2))*2, 2),8) &amp; " 0x" &amp;MID(Table1[[#This Row],[statusRaw]],1+HEX2DEC(LEFT(AX$1,2))*2, 2)</f>
        <v>00000000 0x00</v>
      </c>
      <c r="AY84" s="3" t="str">
        <f>MID(Table1[[#This Row],[statusRaw]],1+HEX2DEC(LEFT(AY$1,2))*2, 8)</f>
        <v>00000000</v>
      </c>
      <c r="AZ84" s="3" t="str">
        <f>MID(Table1[[#This Row],[statusRaw]],1+HEX2DEC(LEFT(AZ$1,2))*2, 8)</f>
        <v>00000000</v>
      </c>
      <c r="BA84" s="3" t="str">
        <f>HEX2BIN(MID(Table1[[#This Row],[statusRaw]],1+HEX2DEC(LEFT(BA$1,2))*2, 2),8) &amp; " 0x" &amp;MID(Table1[[#This Row],[statusRaw]],1+HEX2DEC(LEFT(BA$1,2))*2, 2)</f>
        <v>00000000 0x00</v>
      </c>
      <c r="BB84" s="3" t="str">
        <f>HEX2BIN(MID(Table1[[#This Row],[statusRaw]],1+HEX2DEC(LEFT(BB$1,2))*2, 2),8) &amp; " 0x" &amp;MID(Table1[[#This Row],[statusRaw]],1+HEX2DEC(LEFT(BB$1,2))*2, 2)</f>
        <v>00000000 0x00</v>
      </c>
      <c r="BC84" s="3" t="str">
        <f>HEX2BIN(MID(Table1[[#This Row],[statusRaw]],1+HEX2DEC(LEFT(BC$1,2))*2, 2),8) &amp; " 0x" &amp;MID(Table1[[#This Row],[statusRaw]],1+HEX2DEC(LEFT(BC$1,2))*2, 2)</f>
        <v>00000000 0x00</v>
      </c>
      <c r="BD84" s="3" t="str">
        <f>MID(Table1[[#This Row],[statusRaw]],1+HEX2DEC(LEFT(BD$1,2))*2, 8)</f>
        <v>000008C5</v>
      </c>
      <c r="BE84" s="3" t="str">
        <f>MID(Table1[[#This Row],[statusRaw]],1+HEX2DEC(LEFT(BE$1,2))*2, 8)</f>
        <v>000008C5</v>
      </c>
      <c r="BF84" s="9"/>
    </row>
    <row r="85" spans="1:58" x14ac:dyDescent="0.25">
      <c r="A85" s="1" t="s">
        <v>255</v>
      </c>
      <c r="B85" s="1" t="s">
        <v>256</v>
      </c>
      <c r="C85" s="1" t="s">
        <v>7</v>
      </c>
      <c r="D85" s="1" t="s">
        <v>257</v>
      </c>
      <c r="E85" s="1">
        <v>14</v>
      </c>
      <c r="F85" s="3" t="str">
        <f>HEX2BIN(MID(Table1[[#This Row],[statusRaw]],1+HEX2DEC(LEFT(F$1,2))*2, 2),8) &amp; " 0x" &amp;MID(Table1[[#This Row],[statusRaw]],1+HEX2DEC(LEFT(F$1,2))*2, 2)</f>
        <v>01010000 0x50</v>
      </c>
      <c r="G85" s="3" t="b">
        <f>MID(Table1[[#This Row],[03 - pump status (1)]],1,1)="1"</f>
        <v>0</v>
      </c>
      <c r="H85" s="3" t="b">
        <f>MID(Table1[[#This Row],[03 - pump status (1)]],2,1)="1"</f>
        <v>1</v>
      </c>
      <c r="I85" s="3" t="b">
        <f>MID(Table1[[#This Row],[03 - pump status (1)]],3,1)="1"</f>
        <v>0</v>
      </c>
      <c r="J85" s="3" t="b">
        <f>MID(Table1[[#This Row],[03 - pump status (1)]],4,1)="1"</f>
        <v>1</v>
      </c>
      <c r="K85" s="3" t="b">
        <f>MID(Table1[[#This Row],[03 - pump status (1)]],5,1)="1"</f>
        <v>0</v>
      </c>
      <c r="L85" s="3" t="b">
        <f>MID(Table1[[#This Row],[03 - pump status (1)]],6,1)="1"</f>
        <v>0</v>
      </c>
      <c r="M85" s="3" t="b">
        <f>MID(Table1[[#This Row],[03 - pump status (1)]],7,1)="1"</f>
        <v>0</v>
      </c>
      <c r="N85" s="3" t="b">
        <f>MID(Table1[[#This Row],[03 - pump status (1)]],8,1)="1"</f>
        <v>0</v>
      </c>
      <c r="O85" s="3" t="str">
        <f>MID(Table1[[#This Row],[statusRaw]],1+HEX2DEC(LEFT(O$1,2))*2, 8)</f>
        <v>00000000</v>
      </c>
      <c r="P85" s="3" t="str">
        <f>MID(Table1[[#This Row],[statusRaw]],1+HEX2DEC(LEFT(P$1,2))*2, 8)</f>
        <v>00000000</v>
      </c>
      <c r="Q85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85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85" s="3">
        <f>HEX2DEC(MID(Table1[[#This Row],[statusRaw]],1+HEX2DEC(LEFT(S$1,2))*2, 8))/10000</f>
        <v>1.3</v>
      </c>
      <c r="T85" s="3" t="str">
        <f>MID(Table1[[#This Row],[statusRaw]],1+HEX2DEC(LEFT(T$1,2))*2, 8)</f>
        <v>2789C7BF</v>
      </c>
      <c r="U85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85" s="3" t="str">
        <f>HEX2BIN(MID(Table1[[#This Row],[statusRaw]],1+HEX2DEC(LEFT(V$1,2))*2, 2),8) &amp; " 0x" &amp;MID(Table1[[#This Row],[statusRaw]],1+HEX2DEC(LEFT(V$1,2))*2, 2)</f>
        <v>00000001 0x01</v>
      </c>
      <c r="W85" s="3">
        <f>HEX2DEC(MID(Table1[[#This Row],[statusRaw]],1+HEX2DEC(LEFT(W$1,2))*2, 8))/10000</f>
        <v>0.625</v>
      </c>
      <c r="X85" s="3">
        <f>HEX2DEC(MID(Table1[[#This Row],[statusRaw]],1+HEX2DEC(LEFT(X$1,2))*2, 8))/10000</f>
        <v>0</v>
      </c>
      <c r="Y85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85" s="3">
        <f>HEX2DEC(MID(Table1[[#This Row],[statusRaw]],1+HEX2DEC(LEFT(Z$1,2))*2, 8))/10000</f>
        <v>6.6</v>
      </c>
      <c r="AA85" s="3">
        <f>HEX2DEC(MID(Table1[[#This Row],[statusRaw]],1+HEX2DEC(LEFT(AA$1,2))*2, 2))</f>
        <v>50</v>
      </c>
      <c r="AB85" s="3">
        <f>HEX2DEC(MID(Table1[[#This Row],[statusRaw]],1+HEX2DEC(LEFT(AB$1,2))*2, 8))/10000</f>
        <v>82.375</v>
      </c>
      <c r="AC85" s="3">
        <f>HEX2DEC(MID(Table1[[#This Row],[statusRaw]],1+HEX2DEC(LEFT(AC$1,2))*2, 2))</f>
        <v>25</v>
      </c>
      <c r="AD85" s="3">
        <f>HEX2DEC(MID(Table1[[#This Row],[statusRaw]],1+HEX2DEC(LEFT(AD$1,2))*2, 2))</f>
        <v>0</v>
      </c>
      <c r="AE85" s="3">
        <f>HEX2DEC(MID(Table1[[#This Row],[statusRaw]],1+HEX2DEC(LEFT(AE$1,2))*2, 8))/10000</f>
        <v>1</v>
      </c>
      <c r="AF85" s="3">
        <f>IF(AND(Table1[[#This Row],[cgm]],NOT(Table1[[#This Row],[35 - SGV special bit (2)]])), _xlfn.BITAND(HEX2DEC(MID(Table1[[#This Row],[statusRaw]],1+HEX2DEC(LEFT(AF$1,2))*2, 4)),HEX2DEC("1FF")),"")</f>
        <v>175</v>
      </c>
      <c r="AG85" s="3" t="b">
        <f>_xlfn.BITAND(HEX2DEC(MID(Table1[[#This Row],[statusRaw]],1+HEX2DEC(LEFT(AG$1,2))*2, 4)),512)=512</f>
        <v>0</v>
      </c>
      <c r="AH85" s="3" t="str">
        <f>MID(Table1[[#This Row],[statusRaw]],1+HEX2DEC(LEFT(AF$1,2))*2, 8)</f>
        <v>00AF8673</v>
      </c>
      <c r="AI85" s="3" t="str">
        <f>MID(Table1[[#This Row],[statusRaw]],1+HEX2DEC(LEFT(AH$1,2))*2, 8)</f>
        <v>8673E328</v>
      </c>
      <c r="AJ85" s="3" t="str">
        <f>HEX2BIN(MID(Table1[[#This Row],[statusRaw]],1+HEX2DEC(LEFT(AJ$1,2))*2, 2),8) &amp; " 0x" &amp;MID(Table1[[#This Row],[statusRaw]],1+HEX2DEC(LEFT(AJ$1,2))*2, 2)</f>
        <v>00000000 0x00</v>
      </c>
      <c r="AK85" s="1" t="str">
        <f>HEX2BIN(MID(Table1[[#This Row],[statusRaw]],1+HEX2DEC(LEFT(AK$1,2))*2, 2),8) &amp; " 0x" &amp;MID(Table1[[#This Row],[statusRaw]],1+HEX2DEC(LEFT(AK$1,2))*2, 2)</f>
        <v>01100000 0x60</v>
      </c>
      <c r="AL85" s="1" t="str">
        <f>VLOOKUP(Table1[[#This Row],[40 trend]],'Arrow status mapping'!$A$1:$B$8,2,FALSE)</f>
        <v>No arrows</v>
      </c>
      <c r="AM85" s="3" t="str">
        <f>HEX2BIN(MID(Table1[[#This Row],[statusRaw]],1+HEX2DEC(LEFT(AM$1,2))*2, 2),8) &amp; " 0x" &amp;MID(Table1[[#This Row],[statusRaw]],1+HEX2DEC(LEFT(AM$1,2))*2, 2)</f>
        <v>00010000 0x10</v>
      </c>
      <c r="AN85" s="3" t="str">
        <f>HEX2BIN(MID(Table1[[#This Row],[statusRaw]],1+HEX2DEC(LEFT(AN$1,2))*2, 2),8) &amp; " 0x" &amp;MID(Table1[[#This Row],[statusRaw]],1+HEX2DEC(LEFT(AN$1,2))*2, 2)</f>
        <v>00000000 0x00</v>
      </c>
      <c r="AO85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0x026C 620</v>
      </c>
      <c r="AP85" s="1" t="str">
        <f>HEX2BIN(MID(Table1[[#This Row],[statusRaw]],1+HEX2DEC(LEFT(AP$1,2))*2, 2),8) &amp; " 0x" &amp;MID(Table1[[#This Row],[statusRaw]],1+HEX2DEC(LEFT(AP$1,2))*2, 2)</f>
        <v>00101011 0x2B</v>
      </c>
      <c r="AQ85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0x0003 3</v>
      </c>
      <c r="AR85" s="3">
        <f>TRUNC(_xlfn.NUMBERVALUE(RIGHT(Table1[[#This Row],[46 rate of change (2)]],LEN(Table1[[#This Row],[46 rate of change (2)]])-7))/100)</f>
        <v>0</v>
      </c>
      <c r="AS85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85" s="3" t="b">
        <f>Table1[[#This Row],[calc arrow]]=Table1[[#This Row],[trend]]</f>
        <v>1</v>
      </c>
      <c r="AU85" s="3" t="str">
        <f>HEX2BIN(MID(Table1[[#This Row],[statusRaw]],1+HEX2DEC(LEFT(AU$1,2))*2, 2),8) &amp; " 0x" &amp;MID(Table1[[#This Row],[statusRaw]],1+HEX2DEC(LEFT(AU$1,2))*2, 2)</f>
        <v>00000000 0x00</v>
      </c>
      <c r="AV85" s="3">
        <f>HEX2DEC(MID(Table1[[#This Row],[statusRaw]],1+HEX2DEC(LEFT(AV$1,2))*2, 4))</f>
        <v>0</v>
      </c>
      <c r="AW85" s="3" t="str">
        <f>HEX2BIN(MID(Table1[[#This Row],[statusRaw]],1+HEX2DEC(LEFT(AW$1,2))*2, 2),8) &amp; " 0x" &amp;MID(Table1[[#This Row],[statusRaw]],1+HEX2DEC(LEFT(AW$1,2))*2, 2)</f>
        <v>00000000 0x00</v>
      </c>
      <c r="AX85" s="3" t="str">
        <f>HEX2BIN(MID(Table1[[#This Row],[statusRaw]],1+HEX2DEC(LEFT(AX$1,2))*2, 2),8) &amp; " 0x" &amp;MID(Table1[[#This Row],[statusRaw]],1+HEX2DEC(LEFT(AX$1,2))*2, 2)</f>
        <v>00000000 0x00</v>
      </c>
      <c r="AY85" s="3" t="str">
        <f>MID(Table1[[#This Row],[statusRaw]],1+HEX2DEC(LEFT(AY$1,2))*2, 8)</f>
        <v>00000000</v>
      </c>
      <c r="AZ85" s="3" t="str">
        <f>MID(Table1[[#This Row],[statusRaw]],1+HEX2DEC(LEFT(AZ$1,2))*2, 8)</f>
        <v>00000000</v>
      </c>
      <c r="BA85" s="3" t="str">
        <f>HEX2BIN(MID(Table1[[#This Row],[statusRaw]],1+HEX2DEC(LEFT(BA$1,2))*2, 2),8) &amp; " 0x" &amp;MID(Table1[[#This Row],[statusRaw]],1+HEX2DEC(LEFT(BA$1,2))*2, 2)</f>
        <v>00000000 0x00</v>
      </c>
      <c r="BB85" s="3" t="str">
        <f>HEX2BIN(MID(Table1[[#This Row],[statusRaw]],1+HEX2DEC(LEFT(BB$1,2))*2, 2),8) &amp; " 0x" &amp;MID(Table1[[#This Row],[statusRaw]],1+HEX2DEC(LEFT(BB$1,2))*2, 2)</f>
        <v>00000000 0x00</v>
      </c>
      <c r="BC85" s="3" t="str">
        <f>HEX2BIN(MID(Table1[[#This Row],[statusRaw]],1+HEX2DEC(LEFT(BC$1,2))*2, 2),8) &amp; " 0x" &amp;MID(Table1[[#This Row],[statusRaw]],1+HEX2DEC(LEFT(BC$1,2))*2, 2)</f>
        <v>00000000 0x00</v>
      </c>
      <c r="BD85" s="3" t="str">
        <f>MID(Table1[[#This Row],[statusRaw]],1+HEX2DEC(LEFT(BD$1,2))*2, 8)</f>
        <v>000008C5</v>
      </c>
      <c r="BE85" s="3" t="str">
        <f>MID(Table1[[#This Row],[statusRaw]],1+HEX2DEC(LEFT(BE$1,2))*2, 8)</f>
        <v>000008C5</v>
      </c>
      <c r="BF85" s="9"/>
    </row>
    <row r="86" spans="1:58" x14ac:dyDescent="0.25">
      <c r="A86" s="1" t="s">
        <v>258</v>
      </c>
      <c r="B86" s="1" t="s">
        <v>259</v>
      </c>
      <c r="C86" s="1" t="s">
        <v>7</v>
      </c>
      <c r="D86" s="1" t="s">
        <v>260</v>
      </c>
      <c r="E86" s="1">
        <v>14</v>
      </c>
      <c r="F86" s="3" t="str">
        <f>HEX2BIN(MID(Table1[[#This Row],[statusRaw]],1+HEX2DEC(LEFT(F$1,2))*2, 2),8) &amp; " 0x" &amp;MID(Table1[[#This Row],[statusRaw]],1+HEX2DEC(LEFT(F$1,2))*2, 2)</f>
        <v>01010000 0x50</v>
      </c>
      <c r="G86" s="3" t="b">
        <f>MID(Table1[[#This Row],[03 - pump status (1)]],1,1)="1"</f>
        <v>0</v>
      </c>
      <c r="H86" s="3" t="b">
        <f>MID(Table1[[#This Row],[03 - pump status (1)]],2,1)="1"</f>
        <v>1</v>
      </c>
      <c r="I86" s="3" t="b">
        <f>MID(Table1[[#This Row],[03 - pump status (1)]],3,1)="1"</f>
        <v>0</v>
      </c>
      <c r="J86" s="3" t="b">
        <f>MID(Table1[[#This Row],[03 - pump status (1)]],4,1)="1"</f>
        <v>1</v>
      </c>
      <c r="K86" s="3" t="b">
        <f>MID(Table1[[#This Row],[03 - pump status (1)]],5,1)="1"</f>
        <v>0</v>
      </c>
      <c r="L86" s="3" t="b">
        <f>MID(Table1[[#This Row],[03 - pump status (1)]],6,1)="1"</f>
        <v>0</v>
      </c>
      <c r="M86" s="3" t="b">
        <f>MID(Table1[[#This Row],[03 - pump status (1)]],7,1)="1"</f>
        <v>0</v>
      </c>
      <c r="N86" s="3" t="b">
        <f>MID(Table1[[#This Row],[03 - pump status (1)]],8,1)="1"</f>
        <v>0</v>
      </c>
      <c r="O86" s="3" t="str">
        <f>MID(Table1[[#This Row],[statusRaw]],1+HEX2DEC(LEFT(O$1,2))*2, 8)</f>
        <v>00000000</v>
      </c>
      <c r="P86" s="3" t="str">
        <f>MID(Table1[[#This Row],[statusRaw]],1+HEX2DEC(LEFT(P$1,2))*2, 8)</f>
        <v>00000000</v>
      </c>
      <c r="Q86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86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86" s="3">
        <f>HEX2DEC(MID(Table1[[#This Row],[statusRaw]],1+HEX2DEC(LEFT(S$1,2))*2, 8))/10000</f>
        <v>1.3</v>
      </c>
      <c r="T86" s="3" t="str">
        <f>MID(Table1[[#This Row],[statusRaw]],1+HEX2DEC(LEFT(T$1,2))*2, 8)</f>
        <v>2789C7BF</v>
      </c>
      <c r="U86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86" s="3" t="str">
        <f>HEX2BIN(MID(Table1[[#This Row],[statusRaw]],1+HEX2DEC(LEFT(V$1,2))*2, 2),8) &amp; " 0x" &amp;MID(Table1[[#This Row],[statusRaw]],1+HEX2DEC(LEFT(V$1,2))*2, 2)</f>
        <v>00000001 0x01</v>
      </c>
      <c r="W86" s="3">
        <f>HEX2DEC(MID(Table1[[#This Row],[statusRaw]],1+HEX2DEC(LEFT(W$1,2))*2, 8))/10000</f>
        <v>0.625</v>
      </c>
      <c r="X86" s="3">
        <f>HEX2DEC(MID(Table1[[#This Row],[statusRaw]],1+HEX2DEC(LEFT(X$1,2))*2, 8))/10000</f>
        <v>0</v>
      </c>
      <c r="Y86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86" s="3">
        <f>HEX2DEC(MID(Table1[[#This Row],[statusRaw]],1+HEX2DEC(LEFT(Z$1,2))*2, 8))/10000</f>
        <v>6.55</v>
      </c>
      <c r="AA86" s="3">
        <f>HEX2DEC(MID(Table1[[#This Row],[statusRaw]],1+HEX2DEC(LEFT(AA$1,2))*2, 2))</f>
        <v>50</v>
      </c>
      <c r="AB86" s="3">
        <f>HEX2DEC(MID(Table1[[#This Row],[statusRaw]],1+HEX2DEC(LEFT(AB$1,2))*2, 8))/10000</f>
        <v>82.424999999999997</v>
      </c>
      <c r="AC86" s="3">
        <f>HEX2DEC(MID(Table1[[#This Row],[statusRaw]],1+HEX2DEC(LEFT(AC$1,2))*2, 2))</f>
        <v>25</v>
      </c>
      <c r="AD86" s="3">
        <f>HEX2DEC(MID(Table1[[#This Row],[statusRaw]],1+HEX2DEC(LEFT(AD$1,2))*2, 2))</f>
        <v>0</v>
      </c>
      <c r="AE86" s="3">
        <f>HEX2DEC(MID(Table1[[#This Row],[statusRaw]],1+HEX2DEC(LEFT(AE$1,2))*2, 8))/10000</f>
        <v>1.1000000000000001</v>
      </c>
      <c r="AF86" s="3">
        <f>IF(AND(Table1[[#This Row],[cgm]],NOT(Table1[[#This Row],[35 - SGV special bit (2)]])), _xlfn.BITAND(HEX2DEC(MID(Table1[[#This Row],[statusRaw]],1+HEX2DEC(LEFT(AF$1,2))*2, 4)),HEX2DEC("1FF")),"")</f>
        <v>173</v>
      </c>
      <c r="AG86" s="3" t="b">
        <f>_xlfn.BITAND(HEX2DEC(MID(Table1[[#This Row],[statusRaw]],1+HEX2DEC(LEFT(AG$1,2))*2, 4)),512)=512</f>
        <v>0</v>
      </c>
      <c r="AH86" s="3" t="str">
        <f>MID(Table1[[#This Row],[statusRaw]],1+HEX2DEC(LEFT(AF$1,2))*2, 8)</f>
        <v>00AD8673</v>
      </c>
      <c r="AI86" s="3" t="str">
        <f>MID(Table1[[#This Row],[statusRaw]],1+HEX2DEC(LEFT(AH$1,2))*2, 8)</f>
        <v>8673E1FC</v>
      </c>
      <c r="AJ86" s="3" t="str">
        <f>HEX2BIN(MID(Table1[[#This Row],[statusRaw]],1+HEX2DEC(LEFT(AJ$1,2))*2, 2),8) &amp; " 0x" &amp;MID(Table1[[#This Row],[statusRaw]],1+HEX2DEC(LEFT(AJ$1,2))*2, 2)</f>
        <v>00000000 0x00</v>
      </c>
      <c r="AK86" s="1" t="str">
        <f>HEX2BIN(MID(Table1[[#This Row],[statusRaw]],1+HEX2DEC(LEFT(AK$1,2))*2, 2),8) &amp; " 0x" &amp;MID(Table1[[#This Row],[statusRaw]],1+HEX2DEC(LEFT(AK$1,2))*2, 2)</f>
        <v>01100000 0x60</v>
      </c>
      <c r="AL86" s="1" t="str">
        <f>VLOOKUP(Table1[[#This Row],[40 trend]],'Arrow status mapping'!$A$1:$B$8,2,FALSE)</f>
        <v>No arrows</v>
      </c>
      <c r="AM86" s="3" t="str">
        <f>HEX2BIN(MID(Table1[[#This Row],[statusRaw]],1+HEX2DEC(LEFT(AM$1,2))*2, 2),8) &amp; " 0x" &amp;MID(Table1[[#This Row],[statusRaw]],1+HEX2DEC(LEFT(AM$1,2))*2, 2)</f>
        <v>00010000 0x10</v>
      </c>
      <c r="AN86" s="3" t="str">
        <f>HEX2BIN(MID(Table1[[#This Row],[statusRaw]],1+HEX2DEC(LEFT(AN$1,2))*2, 2),8) &amp; " 0x" &amp;MID(Table1[[#This Row],[statusRaw]],1+HEX2DEC(LEFT(AN$1,2))*2, 2)</f>
        <v>00000000 0x00</v>
      </c>
      <c r="AO86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0x0271 625</v>
      </c>
      <c r="AP86" s="1" t="str">
        <f>HEX2BIN(MID(Table1[[#This Row],[statusRaw]],1+HEX2DEC(LEFT(AP$1,2))*2, 2),8) &amp; " 0x" &amp;MID(Table1[[#This Row],[statusRaw]],1+HEX2DEC(LEFT(AP$1,2))*2, 2)</f>
        <v>00101011 0x2B</v>
      </c>
      <c r="AQ86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86" s="3">
        <f>TRUNC(_xlfn.NUMBERVALUE(RIGHT(Table1[[#This Row],[46 rate of change (2)]],LEN(Table1[[#This Row],[46 rate of change (2)]])-7))/100)</f>
        <v>0</v>
      </c>
      <c r="AS86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86" s="3" t="b">
        <f>Table1[[#This Row],[calc arrow]]=Table1[[#This Row],[trend]]</f>
        <v>1</v>
      </c>
      <c r="AU86" s="3" t="str">
        <f>HEX2BIN(MID(Table1[[#This Row],[statusRaw]],1+HEX2DEC(LEFT(AU$1,2))*2, 2),8) &amp; " 0x" &amp;MID(Table1[[#This Row],[statusRaw]],1+HEX2DEC(LEFT(AU$1,2))*2, 2)</f>
        <v>00000000 0x00</v>
      </c>
      <c r="AV86" s="3">
        <f>HEX2DEC(MID(Table1[[#This Row],[statusRaw]],1+HEX2DEC(LEFT(AV$1,2))*2, 4))</f>
        <v>0</v>
      </c>
      <c r="AW86" s="3" t="str">
        <f>HEX2BIN(MID(Table1[[#This Row],[statusRaw]],1+HEX2DEC(LEFT(AW$1,2))*2, 2),8) &amp; " 0x" &amp;MID(Table1[[#This Row],[statusRaw]],1+HEX2DEC(LEFT(AW$1,2))*2, 2)</f>
        <v>00000000 0x00</v>
      </c>
      <c r="AX86" s="3" t="str">
        <f>HEX2BIN(MID(Table1[[#This Row],[statusRaw]],1+HEX2DEC(LEFT(AX$1,2))*2, 2),8) &amp; " 0x" &amp;MID(Table1[[#This Row],[statusRaw]],1+HEX2DEC(LEFT(AX$1,2))*2, 2)</f>
        <v>00000000 0x00</v>
      </c>
      <c r="AY86" s="3" t="str">
        <f>MID(Table1[[#This Row],[statusRaw]],1+HEX2DEC(LEFT(AY$1,2))*2, 8)</f>
        <v>00000000</v>
      </c>
      <c r="AZ86" s="3" t="str">
        <f>MID(Table1[[#This Row],[statusRaw]],1+HEX2DEC(LEFT(AZ$1,2))*2, 8)</f>
        <v>00000000</v>
      </c>
      <c r="BA86" s="3" t="str">
        <f>HEX2BIN(MID(Table1[[#This Row],[statusRaw]],1+HEX2DEC(LEFT(BA$1,2))*2, 2),8) &amp; " 0x" &amp;MID(Table1[[#This Row],[statusRaw]],1+HEX2DEC(LEFT(BA$1,2))*2, 2)</f>
        <v>00000000 0x00</v>
      </c>
      <c r="BB86" s="3" t="str">
        <f>HEX2BIN(MID(Table1[[#This Row],[statusRaw]],1+HEX2DEC(LEFT(BB$1,2))*2, 2),8) &amp; " 0x" &amp;MID(Table1[[#This Row],[statusRaw]],1+HEX2DEC(LEFT(BB$1,2))*2, 2)</f>
        <v>00000000 0x00</v>
      </c>
      <c r="BC86" s="3" t="str">
        <f>HEX2BIN(MID(Table1[[#This Row],[statusRaw]],1+HEX2DEC(LEFT(BC$1,2))*2, 2),8) &amp; " 0x" &amp;MID(Table1[[#This Row],[statusRaw]],1+HEX2DEC(LEFT(BC$1,2))*2, 2)</f>
        <v>00000000 0x00</v>
      </c>
      <c r="BD86" s="3" t="str">
        <f>MID(Table1[[#This Row],[statusRaw]],1+HEX2DEC(LEFT(BD$1,2))*2, 8)</f>
        <v>000008C5</v>
      </c>
      <c r="BE86" s="3" t="str">
        <f>MID(Table1[[#This Row],[statusRaw]],1+HEX2DEC(LEFT(BE$1,2))*2, 8)</f>
        <v>000008C5</v>
      </c>
      <c r="BF86" s="9"/>
    </row>
    <row r="87" spans="1:58" x14ac:dyDescent="0.25">
      <c r="A87" s="1" t="s">
        <v>261</v>
      </c>
      <c r="B87" s="1" t="s">
        <v>262</v>
      </c>
      <c r="C87" s="1" t="s">
        <v>7</v>
      </c>
      <c r="D87" s="1" t="s">
        <v>263</v>
      </c>
      <c r="E87" s="1">
        <v>14</v>
      </c>
      <c r="F87" s="3" t="str">
        <f>HEX2BIN(MID(Table1[[#This Row],[statusRaw]],1+HEX2DEC(LEFT(F$1,2))*2, 2),8) &amp; " 0x" &amp;MID(Table1[[#This Row],[statusRaw]],1+HEX2DEC(LEFT(F$1,2))*2, 2)</f>
        <v>01010000 0x50</v>
      </c>
      <c r="G87" s="3" t="b">
        <f>MID(Table1[[#This Row],[03 - pump status (1)]],1,1)="1"</f>
        <v>0</v>
      </c>
      <c r="H87" s="3" t="b">
        <f>MID(Table1[[#This Row],[03 - pump status (1)]],2,1)="1"</f>
        <v>1</v>
      </c>
      <c r="I87" s="3" t="b">
        <f>MID(Table1[[#This Row],[03 - pump status (1)]],3,1)="1"</f>
        <v>0</v>
      </c>
      <c r="J87" s="3" t="b">
        <f>MID(Table1[[#This Row],[03 - pump status (1)]],4,1)="1"</f>
        <v>1</v>
      </c>
      <c r="K87" s="3" t="b">
        <f>MID(Table1[[#This Row],[03 - pump status (1)]],5,1)="1"</f>
        <v>0</v>
      </c>
      <c r="L87" s="3" t="b">
        <f>MID(Table1[[#This Row],[03 - pump status (1)]],6,1)="1"</f>
        <v>0</v>
      </c>
      <c r="M87" s="3" t="b">
        <f>MID(Table1[[#This Row],[03 - pump status (1)]],7,1)="1"</f>
        <v>0</v>
      </c>
      <c r="N87" s="3" t="b">
        <f>MID(Table1[[#This Row],[03 - pump status (1)]],8,1)="1"</f>
        <v>0</v>
      </c>
      <c r="O87" s="3" t="str">
        <f>MID(Table1[[#This Row],[statusRaw]],1+HEX2DEC(LEFT(O$1,2))*2, 8)</f>
        <v>00000000</v>
      </c>
      <c r="P87" s="3" t="str">
        <f>MID(Table1[[#This Row],[statusRaw]],1+HEX2DEC(LEFT(P$1,2))*2, 8)</f>
        <v>00000000</v>
      </c>
      <c r="Q87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87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87" s="3">
        <f>HEX2DEC(MID(Table1[[#This Row],[statusRaw]],1+HEX2DEC(LEFT(S$1,2))*2, 8))/10000</f>
        <v>1.3</v>
      </c>
      <c r="T87" s="3" t="str">
        <f>MID(Table1[[#This Row],[statusRaw]],1+HEX2DEC(LEFT(T$1,2))*2, 8)</f>
        <v>2789C7BF</v>
      </c>
      <c r="U87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87" s="3" t="str">
        <f>HEX2BIN(MID(Table1[[#This Row],[statusRaw]],1+HEX2DEC(LEFT(V$1,2))*2, 2),8) &amp; " 0x" &amp;MID(Table1[[#This Row],[statusRaw]],1+HEX2DEC(LEFT(V$1,2))*2, 2)</f>
        <v>00000001 0x01</v>
      </c>
      <c r="W87" s="3">
        <f>HEX2DEC(MID(Table1[[#This Row],[statusRaw]],1+HEX2DEC(LEFT(W$1,2))*2, 8))/10000</f>
        <v>0.625</v>
      </c>
      <c r="X87" s="3">
        <f>HEX2DEC(MID(Table1[[#This Row],[statusRaw]],1+HEX2DEC(LEFT(X$1,2))*2, 8))/10000</f>
        <v>0</v>
      </c>
      <c r="Y87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87" s="3">
        <f>HEX2DEC(MID(Table1[[#This Row],[statusRaw]],1+HEX2DEC(LEFT(Z$1,2))*2, 8))/10000</f>
        <v>6.5</v>
      </c>
      <c r="AA87" s="3">
        <f>HEX2DEC(MID(Table1[[#This Row],[statusRaw]],1+HEX2DEC(LEFT(AA$1,2))*2, 2))</f>
        <v>50</v>
      </c>
      <c r="AB87" s="3">
        <f>HEX2DEC(MID(Table1[[#This Row],[statusRaw]],1+HEX2DEC(LEFT(AB$1,2))*2, 8))/10000</f>
        <v>82.474999999999994</v>
      </c>
      <c r="AC87" s="3">
        <f>HEX2DEC(MID(Table1[[#This Row],[statusRaw]],1+HEX2DEC(LEFT(AC$1,2))*2, 2))</f>
        <v>25</v>
      </c>
      <c r="AD87" s="3">
        <f>HEX2DEC(MID(Table1[[#This Row],[statusRaw]],1+HEX2DEC(LEFT(AD$1,2))*2, 2))</f>
        <v>0</v>
      </c>
      <c r="AE87" s="3">
        <f>HEX2DEC(MID(Table1[[#This Row],[statusRaw]],1+HEX2DEC(LEFT(AE$1,2))*2, 8))/10000</f>
        <v>1.1000000000000001</v>
      </c>
      <c r="AF87" s="3">
        <f>IF(AND(Table1[[#This Row],[cgm]],NOT(Table1[[#This Row],[35 - SGV special bit (2)]])), _xlfn.BITAND(HEX2DEC(MID(Table1[[#This Row],[statusRaw]],1+HEX2DEC(LEFT(AF$1,2))*2, 4)),HEX2DEC("1FF")),"")</f>
        <v>170</v>
      </c>
      <c r="AG87" s="3" t="b">
        <f>_xlfn.BITAND(HEX2DEC(MID(Table1[[#This Row],[statusRaw]],1+HEX2DEC(LEFT(AG$1,2))*2, 4)),512)=512</f>
        <v>0</v>
      </c>
      <c r="AH87" s="3" t="str">
        <f>MID(Table1[[#This Row],[statusRaw]],1+HEX2DEC(LEFT(AF$1,2))*2, 8)</f>
        <v>00AA8673</v>
      </c>
      <c r="AI87" s="3" t="str">
        <f>MID(Table1[[#This Row],[statusRaw]],1+HEX2DEC(LEFT(AH$1,2))*2, 8)</f>
        <v>8673E0D0</v>
      </c>
      <c r="AJ87" s="3" t="str">
        <f>HEX2BIN(MID(Table1[[#This Row],[statusRaw]],1+HEX2DEC(LEFT(AJ$1,2))*2, 2),8) &amp; " 0x" &amp;MID(Table1[[#This Row],[statusRaw]],1+HEX2DEC(LEFT(AJ$1,2))*2, 2)</f>
        <v>00000000 0x00</v>
      </c>
      <c r="AK87" s="1" t="str">
        <f>HEX2BIN(MID(Table1[[#This Row],[statusRaw]],1+HEX2DEC(LEFT(AK$1,2))*2, 2),8) &amp; " 0x" &amp;MID(Table1[[#This Row],[statusRaw]],1+HEX2DEC(LEFT(AK$1,2))*2, 2)</f>
        <v>01100000 0x60</v>
      </c>
      <c r="AL87" s="1" t="str">
        <f>VLOOKUP(Table1[[#This Row],[40 trend]],'Arrow status mapping'!$A$1:$B$8,2,FALSE)</f>
        <v>No arrows</v>
      </c>
      <c r="AM87" s="3" t="str">
        <f>HEX2BIN(MID(Table1[[#This Row],[statusRaw]],1+HEX2DEC(LEFT(AM$1,2))*2, 2),8) &amp; " 0x" &amp;MID(Table1[[#This Row],[statusRaw]],1+HEX2DEC(LEFT(AM$1,2))*2, 2)</f>
        <v>00010000 0x10</v>
      </c>
      <c r="AN87" s="3" t="str">
        <f>HEX2BIN(MID(Table1[[#This Row],[statusRaw]],1+HEX2DEC(LEFT(AN$1,2))*2, 2),8) &amp; " 0x" &amp;MID(Table1[[#This Row],[statusRaw]],1+HEX2DEC(LEFT(AN$1,2))*2, 2)</f>
        <v>00000000 0x00</v>
      </c>
      <c r="AO87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0x0276 630</v>
      </c>
      <c r="AP87" s="1" t="str">
        <f>HEX2BIN(MID(Table1[[#This Row],[statusRaw]],1+HEX2DEC(LEFT(AP$1,2))*2, 2),8) &amp; " 0x" &amp;MID(Table1[[#This Row],[statusRaw]],1+HEX2DEC(LEFT(AP$1,2))*2, 2)</f>
        <v>00101011 0x2B</v>
      </c>
      <c r="AQ87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87" s="3">
        <f>TRUNC(_xlfn.NUMBERVALUE(RIGHT(Table1[[#This Row],[46 rate of change (2)]],LEN(Table1[[#This Row],[46 rate of change (2)]])-7))/100)</f>
        <v>0</v>
      </c>
      <c r="AS87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87" s="3" t="b">
        <f>Table1[[#This Row],[calc arrow]]=Table1[[#This Row],[trend]]</f>
        <v>1</v>
      </c>
      <c r="AU87" s="3" t="str">
        <f>HEX2BIN(MID(Table1[[#This Row],[statusRaw]],1+HEX2DEC(LEFT(AU$1,2))*2, 2),8) &amp; " 0x" &amp;MID(Table1[[#This Row],[statusRaw]],1+HEX2DEC(LEFT(AU$1,2))*2, 2)</f>
        <v>00000000 0x00</v>
      </c>
      <c r="AV87" s="3">
        <f>HEX2DEC(MID(Table1[[#This Row],[statusRaw]],1+HEX2DEC(LEFT(AV$1,2))*2, 4))</f>
        <v>0</v>
      </c>
      <c r="AW87" s="3" t="str">
        <f>HEX2BIN(MID(Table1[[#This Row],[statusRaw]],1+HEX2DEC(LEFT(AW$1,2))*2, 2),8) &amp; " 0x" &amp;MID(Table1[[#This Row],[statusRaw]],1+HEX2DEC(LEFT(AW$1,2))*2, 2)</f>
        <v>00000000 0x00</v>
      </c>
      <c r="AX87" s="3" t="str">
        <f>HEX2BIN(MID(Table1[[#This Row],[statusRaw]],1+HEX2DEC(LEFT(AX$1,2))*2, 2),8) &amp; " 0x" &amp;MID(Table1[[#This Row],[statusRaw]],1+HEX2DEC(LEFT(AX$1,2))*2, 2)</f>
        <v>00000000 0x00</v>
      </c>
      <c r="AY87" s="3" t="str">
        <f>MID(Table1[[#This Row],[statusRaw]],1+HEX2DEC(LEFT(AY$1,2))*2, 8)</f>
        <v>00000000</v>
      </c>
      <c r="AZ87" s="3" t="str">
        <f>MID(Table1[[#This Row],[statusRaw]],1+HEX2DEC(LEFT(AZ$1,2))*2, 8)</f>
        <v>00000000</v>
      </c>
      <c r="BA87" s="3" t="str">
        <f>HEX2BIN(MID(Table1[[#This Row],[statusRaw]],1+HEX2DEC(LEFT(BA$1,2))*2, 2),8) &amp; " 0x" &amp;MID(Table1[[#This Row],[statusRaw]],1+HEX2DEC(LEFT(BA$1,2))*2, 2)</f>
        <v>00000000 0x00</v>
      </c>
      <c r="BB87" s="3" t="str">
        <f>HEX2BIN(MID(Table1[[#This Row],[statusRaw]],1+HEX2DEC(LEFT(BB$1,2))*2, 2),8) &amp; " 0x" &amp;MID(Table1[[#This Row],[statusRaw]],1+HEX2DEC(LEFT(BB$1,2))*2, 2)</f>
        <v>00000000 0x00</v>
      </c>
      <c r="BC87" s="3" t="str">
        <f>HEX2BIN(MID(Table1[[#This Row],[statusRaw]],1+HEX2DEC(LEFT(BC$1,2))*2, 2),8) &amp; " 0x" &amp;MID(Table1[[#This Row],[statusRaw]],1+HEX2DEC(LEFT(BC$1,2))*2, 2)</f>
        <v>00000000 0x00</v>
      </c>
      <c r="BD87" s="3" t="str">
        <f>MID(Table1[[#This Row],[statusRaw]],1+HEX2DEC(LEFT(BD$1,2))*2, 8)</f>
        <v>000008C5</v>
      </c>
      <c r="BE87" s="3" t="str">
        <f>MID(Table1[[#This Row],[statusRaw]],1+HEX2DEC(LEFT(BE$1,2))*2, 8)</f>
        <v>000008C5</v>
      </c>
      <c r="BF87" s="9"/>
    </row>
    <row r="88" spans="1:58" x14ac:dyDescent="0.25">
      <c r="A88" s="1" t="s">
        <v>264</v>
      </c>
      <c r="B88" s="1" t="s">
        <v>265</v>
      </c>
      <c r="C88" s="1" t="s">
        <v>7</v>
      </c>
      <c r="D88" s="1" t="s">
        <v>266</v>
      </c>
      <c r="E88" s="1">
        <v>14</v>
      </c>
      <c r="F88" s="3" t="str">
        <f>HEX2BIN(MID(Table1[[#This Row],[statusRaw]],1+HEX2DEC(LEFT(F$1,2))*2, 2),8) &amp; " 0x" &amp;MID(Table1[[#This Row],[statusRaw]],1+HEX2DEC(LEFT(F$1,2))*2, 2)</f>
        <v>01010000 0x50</v>
      </c>
      <c r="G88" s="3" t="b">
        <f>MID(Table1[[#This Row],[03 - pump status (1)]],1,1)="1"</f>
        <v>0</v>
      </c>
      <c r="H88" s="3" t="b">
        <f>MID(Table1[[#This Row],[03 - pump status (1)]],2,1)="1"</f>
        <v>1</v>
      </c>
      <c r="I88" s="3" t="b">
        <f>MID(Table1[[#This Row],[03 - pump status (1)]],3,1)="1"</f>
        <v>0</v>
      </c>
      <c r="J88" s="3" t="b">
        <f>MID(Table1[[#This Row],[03 - pump status (1)]],4,1)="1"</f>
        <v>1</v>
      </c>
      <c r="K88" s="3" t="b">
        <f>MID(Table1[[#This Row],[03 - pump status (1)]],5,1)="1"</f>
        <v>0</v>
      </c>
      <c r="L88" s="3" t="b">
        <f>MID(Table1[[#This Row],[03 - pump status (1)]],6,1)="1"</f>
        <v>0</v>
      </c>
      <c r="M88" s="3" t="b">
        <f>MID(Table1[[#This Row],[03 - pump status (1)]],7,1)="1"</f>
        <v>0</v>
      </c>
      <c r="N88" s="3" t="b">
        <f>MID(Table1[[#This Row],[03 - pump status (1)]],8,1)="1"</f>
        <v>0</v>
      </c>
      <c r="O88" s="3" t="str">
        <f>MID(Table1[[#This Row],[statusRaw]],1+HEX2DEC(LEFT(O$1,2))*2, 8)</f>
        <v>00000000</v>
      </c>
      <c r="P88" s="3" t="str">
        <f>MID(Table1[[#This Row],[statusRaw]],1+HEX2DEC(LEFT(P$1,2))*2, 8)</f>
        <v>00000000</v>
      </c>
      <c r="Q88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88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88" s="3">
        <f>HEX2DEC(MID(Table1[[#This Row],[statusRaw]],1+HEX2DEC(LEFT(S$1,2))*2, 8))/10000</f>
        <v>1.3</v>
      </c>
      <c r="T88" s="3" t="str">
        <f>MID(Table1[[#This Row],[statusRaw]],1+HEX2DEC(LEFT(T$1,2))*2, 8)</f>
        <v>2789C7BF</v>
      </c>
      <c r="U88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88" s="3" t="str">
        <f>HEX2BIN(MID(Table1[[#This Row],[statusRaw]],1+HEX2DEC(LEFT(V$1,2))*2, 2),8) &amp; " 0x" &amp;MID(Table1[[#This Row],[statusRaw]],1+HEX2DEC(LEFT(V$1,2))*2, 2)</f>
        <v>00000001 0x01</v>
      </c>
      <c r="W88" s="3">
        <f>HEX2DEC(MID(Table1[[#This Row],[statusRaw]],1+HEX2DEC(LEFT(W$1,2))*2, 8))/10000</f>
        <v>0.625</v>
      </c>
      <c r="X88" s="3">
        <f>HEX2DEC(MID(Table1[[#This Row],[statusRaw]],1+HEX2DEC(LEFT(X$1,2))*2, 8))/10000</f>
        <v>0</v>
      </c>
      <c r="Y88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88" s="3">
        <f>HEX2DEC(MID(Table1[[#This Row],[statusRaw]],1+HEX2DEC(LEFT(Z$1,2))*2, 8))/10000</f>
        <v>6.45</v>
      </c>
      <c r="AA88" s="3">
        <f>HEX2DEC(MID(Table1[[#This Row],[statusRaw]],1+HEX2DEC(LEFT(AA$1,2))*2, 2))</f>
        <v>50</v>
      </c>
      <c r="AB88" s="3">
        <f>HEX2DEC(MID(Table1[[#This Row],[statusRaw]],1+HEX2DEC(LEFT(AB$1,2))*2, 8))/10000</f>
        <v>82.525000000000006</v>
      </c>
      <c r="AC88" s="3">
        <f>HEX2DEC(MID(Table1[[#This Row],[statusRaw]],1+HEX2DEC(LEFT(AC$1,2))*2, 2))</f>
        <v>25</v>
      </c>
      <c r="AD88" s="3">
        <f>HEX2DEC(MID(Table1[[#This Row],[statusRaw]],1+HEX2DEC(LEFT(AD$1,2))*2, 2))</f>
        <v>0</v>
      </c>
      <c r="AE88" s="3">
        <f>HEX2DEC(MID(Table1[[#This Row],[statusRaw]],1+HEX2DEC(LEFT(AE$1,2))*2, 8))/10000</f>
        <v>1.2</v>
      </c>
      <c r="AF88" s="3">
        <f>IF(AND(Table1[[#This Row],[cgm]],NOT(Table1[[#This Row],[35 - SGV special bit (2)]])), _xlfn.BITAND(HEX2DEC(MID(Table1[[#This Row],[statusRaw]],1+HEX2DEC(LEFT(AF$1,2))*2, 4)),HEX2DEC("1FF")),"")</f>
        <v>168</v>
      </c>
      <c r="AG88" s="3" t="b">
        <f>_xlfn.BITAND(HEX2DEC(MID(Table1[[#This Row],[statusRaw]],1+HEX2DEC(LEFT(AG$1,2))*2, 4)),512)=512</f>
        <v>0</v>
      </c>
      <c r="AH88" s="3" t="str">
        <f>MID(Table1[[#This Row],[statusRaw]],1+HEX2DEC(LEFT(AF$1,2))*2, 8)</f>
        <v>00A88673</v>
      </c>
      <c r="AI88" s="3" t="str">
        <f>MID(Table1[[#This Row],[statusRaw]],1+HEX2DEC(LEFT(AH$1,2))*2, 8)</f>
        <v>8673DFA4</v>
      </c>
      <c r="AJ88" s="3" t="str">
        <f>HEX2BIN(MID(Table1[[#This Row],[statusRaw]],1+HEX2DEC(LEFT(AJ$1,2))*2, 2),8) &amp; " 0x" &amp;MID(Table1[[#This Row],[statusRaw]],1+HEX2DEC(LEFT(AJ$1,2))*2, 2)</f>
        <v>00000000 0x00</v>
      </c>
      <c r="AK88" s="1" t="str">
        <f>HEX2BIN(MID(Table1[[#This Row],[statusRaw]],1+HEX2DEC(LEFT(AK$1,2))*2, 2),8) &amp; " 0x" &amp;MID(Table1[[#This Row],[statusRaw]],1+HEX2DEC(LEFT(AK$1,2))*2, 2)</f>
        <v>01100000 0x60</v>
      </c>
      <c r="AL88" s="1" t="str">
        <f>VLOOKUP(Table1[[#This Row],[40 trend]],'Arrow status mapping'!$A$1:$B$8,2,FALSE)</f>
        <v>No arrows</v>
      </c>
      <c r="AM88" s="3" t="str">
        <f>HEX2BIN(MID(Table1[[#This Row],[statusRaw]],1+HEX2DEC(LEFT(AM$1,2))*2, 2),8) &amp; " 0x" &amp;MID(Table1[[#This Row],[statusRaw]],1+HEX2DEC(LEFT(AM$1,2))*2, 2)</f>
        <v>00010000 0x10</v>
      </c>
      <c r="AN88" s="3" t="str">
        <f>HEX2BIN(MID(Table1[[#This Row],[statusRaw]],1+HEX2DEC(LEFT(AN$1,2))*2, 2),8) &amp; " 0x" &amp;MID(Table1[[#This Row],[statusRaw]],1+HEX2DEC(LEFT(AN$1,2))*2, 2)</f>
        <v>00000000 0x00</v>
      </c>
      <c r="AO88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0x027B 635</v>
      </c>
      <c r="AP88" s="1" t="str">
        <f>HEX2BIN(MID(Table1[[#This Row],[statusRaw]],1+HEX2DEC(LEFT(AP$1,2))*2, 2),8) &amp; " 0x" &amp;MID(Table1[[#This Row],[statusRaw]],1+HEX2DEC(LEFT(AP$1,2))*2, 2)</f>
        <v>00101011 0x2B</v>
      </c>
      <c r="AQ88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88" s="3">
        <f>TRUNC(_xlfn.NUMBERVALUE(RIGHT(Table1[[#This Row],[46 rate of change (2)]],LEN(Table1[[#This Row],[46 rate of change (2)]])-7))/100)</f>
        <v>0</v>
      </c>
      <c r="AS88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88" s="3" t="b">
        <f>Table1[[#This Row],[calc arrow]]=Table1[[#This Row],[trend]]</f>
        <v>1</v>
      </c>
      <c r="AU88" s="3" t="str">
        <f>HEX2BIN(MID(Table1[[#This Row],[statusRaw]],1+HEX2DEC(LEFT(AU$1,2))*2, 2),8) &amp; " 0x" &amp;MID(Table1[[#This Row],[statusRaw]],1+HEX2DEC(LEFT(AU$1,2))*2, 2)</f>
        <v>00000000 0x00</v>
      </c>
      <c r="AV88" s="3">
        <f>HEX2DEC(MID(Table1[[#This Row],[statusRaw]],1+HEX2DEC(LEFT(AV$1,2))*2, 4))</f>
        <v>0</v>
      </c>
      <c r="AW88" s="3" t="str">
        <f>HEX2BIN(MID(Table1[[#This Row],[statusRaw]],1+HEX2DEC(LEFT(AW$1,2))*2, 2),8) &amp; " 0x" &amp;MID(Table1[[#This Row],[statusRaw]],1+HEX2DEC(LEFT(AW$1,2))*2, 2)</f>
        <v>00000000 0x00</v>
      </c>
      <c r="AX88" s="3" t="str">
        <f>HEX2BIN(MID(Table1[[#This Row],[statusRaw]],1+HEX2DEC(LEFT(AX$1,2))*2, 2),8) &amp; " 0x" &amp;MID(Table1[[#This Row],[statusRaw]],1+HEX2DEC(LEFT(AX$1,2))*2, 2)</f>
        <v>00000000 0x00</v>
      </c>
      <c r="AY88" s="3" t="str">
        <f>MID(Table1[[#This Row],[statusRaw]],1+HEX2DEC(LEFT(AY$1,2))*2, 8)</f>
        <v>00000000</v>
      </c>
      <c r="AZ88" s="3" t="str">
        <f>MID(Table1[[#This Row],[statusRaw]],1+HEX2DEC(LEFT(AZ$1,2))*2, 8)</f>
        <v>00000000</v>
      </c>
      <c r="BA88" s="3" t="str">
        <f>HEX2BIN(MID(Table1[[#This Row],[statusRaw]],1+HEX2DEC(LEFT(BA$1,2))*2, 2),8) &amp; " 0x" &amp;MID(Table1[[#This Row],[statusRaw]],1+HEX2DEC(LEFT(BA$1,2))*2, 2)</f>
        <v>00000000 0x00</v>
      </c>
      <c r="BB88" s="3" t="str">
        <f>HEX2BIN(MID(Table1[[#This Row],[statusRaw]],1+HEX2DEC(LEFT(BB$1,2))*2, 2),8) &amp; " 0x" &amp;MID(Table1[[#This Row],[statusRaw]],1+HEX2DEC(LEFT(BB$1,2))*2, 2)</f>
        <v>00000000 0x00</v>
      </c>
      <c r="BC88" s="3" t="str">
        <f>HEX2BIN(MID(Table1[[#This Row],[statusRaw]],1+HEX2DEC(LEFT(BC$1,2))*2, 2),8) &amp; " 0x" &amp;MID(Table1[[#This Row],[statusRaw]],1+HEX2DEC(LEFT(BC$1,2))*2, 2)</f>
        <v>00000000 0x00</v>
      </c>
      <c r="BD88" s="3" t="str">
        <f>MID(Table1[[#This Row],[statusRaw]],1+HEX2DEC(LEFT(BD$1,2))*2, 8)</f>
        <v>000008C5</v>
      </c>
      <c r="BE88" s="3" t="str">
        <f>MID(Table1[[#This Row],[statusRaw]],1+HEX2DEC(LEFT(BE$1,2))*2, 8)</f>
        <v>000008C5</v>
      </c>
      <c r="BF88" s="9"/>
    </row>
    <row r="89" spans="1:58" x14ac:dyDescent="0.25">
      <c r="A89" s="1" t="s">
        <v>267</v>
      </c>
      <c r="B89" s="1" t="s">
        <v>268</v>
      </c>
      <c r="C89" s="1" t="s">
        <v>7</v>
      </c>
      <c r="D89" s="1" t="s">
        <v>269</v>
      </c>
      <c r="E89" s="1">
        <v>14</v>
      </c>
      <c r="F89" s="3" t="str">
        <f>HEX2BIN(MID(Table1[[#This Row],[statusRaw]],1+HEX2DEC(LEFT(F$1,2))*2, 2),8) &amp; " 0x" &amp;MID(Table1[[#This Row],[statusRaw]],1+HEX2DEC(LEFT(F$1,2))*2, 2)</f>
        <v>01010000 0x50</v>
      </c>
      <c r="G89" s="3" t="b">
        <f>MID(Table1[[#This Row],[03 - pump status (1)]],1,1)="1"</f>
        <v>0</v>
      </c>
      <c r="H89" s="3" t="b">
        <f>MID(Table1[[#This Row],[03 - pump status (1)]],2,1)="1"</f>
        <v>1</v>
      </c>
      <c r="I89" s="3" t="b">
        <f>MID(Table1[[#This Row],[03 - pump status (1)]],3,1)="1"</f>
        <v>0</v>
      </c>
      <c r="J89" s="3" t="b">
        <f>MID(Table1[[#This Row],[03 - pump status (1)]],4,1)="1"</f>
        <v>1</v>
      </c>
      <c r="K89" s="3" t="b">
        <f>MID(Table1[[#This Row],[03 - pump status (1)]],5,1)="1"</f>
        <v>0</v>
      </c>
      <c r="L89" s="3" t="b">
        <f>MID(Table1[[#This Row],[03 - pump status (1)]],6,1)="1"</f>
        <v>0</v>
      </c>
      <c r="M89" s="3" t="b">
        <f>MID(Table1[[#This Row],[03 - pump status (1)]],7,1)="1"</f>
        <v>0</v>
      </c>
      <c r="N89" s="3" t="b">
        <f>MID(Table1[[#This Row],[03 - pump status (1)]],8,1)="1"</f>
        <v>0</v>
      </c>
      <c r="O89" s="3" t="str">
        <f>MID(Table1[[#This Row],[statusRaw]],1+HEX2DEC(LEFT(O$1,2))*2, 8)</f>
        <v>00000000</v>
      </c>
      <c r="P89" s="3" t="str">
        <f>MID(Table1[[#This Row],[statusRaw]],1+HEX2DEC(LEFT(P$1,2))*2, 8)</f>
        <v>00000000</v>
      </c>
      <c r="Q89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89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89" s="3">
        <f>HEX2DEC(MID(Table1[[#This Row],[statusRaw]],1+HEX2DEC(LEFT(S$1,2))*2, 8))/10000</f>
        <v>1.3</v>
      </c>
      <c r="T89" s="3" t="str">
        <f>MID(Table1[[#This Row],[statusRaw]],1+HEX2DEC(LEFT(T$1,2))*2, 8)</f>
        <v>2789C7BF</v>
      </c>
      <c r="U89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89" s="3" t="str">
        <f>HEX2BIN(MID(Table1[[#This Row],[statusRaw]],1+HEX2DEC(LEFT(V$1,2))*2, 2),8) &amp; " 0x" &amp;MID(Table1[[#This Row],[statusRaw]],1+HEX2DEC(LEFT(V$1,2))*2, 2)</f>
        <v>00000001 0x01</v>
      </c>
      <c r="W89" s="3">
        <f>HEX2DEC(MID(Table1[[#This Row],[statusRaw]],1+HEX2DEC(LEFT(W$1,2))*2, 8))/10000</f>
        <v>0.625</v>
      </c>
      <c r="X89" s="3">
        <f>HEX2DEC(MID(Table1[[#This Row],[statusRaw]],1+HEX2DEC(LEFT(X$1,2))*2, 8))/10000</f>
        <v>0</v>
      </c>
      <c r="Y89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89" s="3">
        <f>HEX2DEC(MID(Table1[[#This Row],[statusRaw]],1+HEX2DEC(LEFT(Z$1,2))*2, 8))/10000</f>
        <v>6.4</v>
      </c>
      <c r="AA89" s="3">
        <f>HEX2DEC(MID(Table1[[#This Row],[statusRaw]],1+HEX2DEC(LEFT(AA$1,2))*2, 2))</f>
        <v>50</v>
      </c>
      <c r="AB89" s="3">
        <f>HEX2DEC(MID(Table1[[#This Row],[statusRaw]],1+HEX2DEC(LEFT(AB$1,2))*2, 8))/10000</f>
        <v>82.575000000000003</v>
      </c>
      <c r="AC89" s="3">
        <f>HEX2DEC(MID(Table1[[#This Row],[statusRaw]],1+HEX2DEC(LEFT(AC$1,2))*2, 2))</f>
        <v>25</v>
      </c>
      <c r="AD89" s="3">
        <f>HEX2DEC(MID(Table1[[#This Row],[statusRaw]],1+HEX2DEC(LEFT(AD$1,2))*2, 2))</f>
        <v>0</v>
      </c>
      <c r="AE89" s="3">
        <f>HEX2DEC(MID(Table1[[#This Row],[statusRaw]],1+HEX2DEC(LEFT(AE$1,2))*2, 8))/10000</f>
        <v>1.4</v>
      </c>
      <c r="AF89" s="3">
        <f>IF(AND(Table1[[#This Row],[cgm]],NOT(Table1[[#This Row],[35 - SGV special bit (2)]])), _xlfn.BITAND(HEX2DEC(MID(Table1[[#This Row],[statusRaw]],1+HEX2DEC(LEFT(AF$1,2))*2, 4)),HEX2DEC("1FF")),"")</f>
        <v>166</v>
      </c>
      <c r="AG89" s="3" t="b">
        <f>_xlfn.BITAND(HEX2DEC(MID(Table1[[#This Row],[statusRaw]],1+HEX2DEC(LEFT(AG$1,2))*2, 4)),512)=512</f>
        <v>0</v>
      </c>
      <c r="AH89" s="3" t="str">
        <f>MID(Table1[[#This Row],[statusRaw]],1+HEX2DEC(LEFT(AF$1,2))*2, 8)</f>
        <v>00A68673</v>
      </c>
      <c r="AI89" s="3" t="str">
        <f>MID(Table1[[#This Row],[statusRaw]],1+HEX2DEC(LEFT(AH$1,2))*2, 8)</f>
        <v>8673DE78</v>
      </c>
      <c r="AJ89" s="3" t="str">
        <f>HEX2BIN(MID(Table1[[#This Row],[statusRaw]],1+HEX2DEC(LEFT(AJ$1,2))*2, 2),8) &amp; " 0x" &amp;MID(Table1[[#This Row],[statusRaw]],1+HEX2DEC(LEFT(AJ$1,2))*2, 2)</f>
        <v>00000000 0x00</v>
      </c>
      <c r="AK89" s="1" t="str">
        <f>HEX2BIN(MID(Table1[[#This Row],[statusRaw]],1+HEX2DEC(LEFT(AK$1,2))*2, 2),8) &amp; " 0x" &amp;MID(Table1[[#This Row],[statusRaw]],1+HEX2DEC(LEFT(AK$1,2))*2, 2)</f>
        <v>01000000 0x40</v>
      </c>
      <c r="AL89" s="1" t="str">
        <f>VLOOKUP(Table1[[#This Row],[40 trend]],'Arrow status mapping'!$A$1:$B$8,2,FALSE)</f>
        <v>1 arrows down</v>
      </c>
      <c r="AM89" s="3" t="str">
        <f>HEX2BIN(MID(Table1[[#This Row],[statusRaw]],1+HEX2DEC(LEFT(AM$1,2))*2, 2),8) &amp; " 0x" &amp;MID(Table1[[#This Row],[statusRaw]],1+HEX2DEC(LEFT(AM$1,2))*2, 2)</f>
        <v>00010000 0x10</v>
      </c>
      <c r="AN89" s="3" t="str">
        <f>HEX2BIN(MID(Table1[[#This Row],[statusRaw]],1+HEX2DEC(LEFT(AN$1,2))*2, 2),8) &amp; " 0x" &amp;MID(Table1[[#This Row],[statusRaw]],1+HEX2DEC(LEFT(AN$1,2))*2, 2)</f>
        <v>00000000 0x00</v>
      </c>
      <c r="AO89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0x0280 640</v>
      </c>
      <c r="AP89" s="1" t="str">
        <f>HEX2BIN(MID(Table1[[#This Row],[statusRaw]],1+HEX2DEC(LEFT(AP$1,2))*2, 2),8) &amp; " 0x" &amp;MID(Table1[[#This Row],[statusRaw]],1+HEX2DEC(LEFT(AP$1,2))*2, 2)</f>
        <v>00101011 0x2B</v>
      </c>
      <c r="AQ89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0xFF73 -141</v>
      </c>
      <c r="AR89" s="3">
        <f>TRUNC(_xlfn.NUMBERVALUE(RIGHT(Table1[[#This Row],[46 rate of change (2)]],LEN(Table1[[#This Row],[46 rate of change (2)]])-7))/100)</f>
        <v>-1</v>
      </c>
      <c r="AS89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down</v>
      </c>
      <c r="AT89" s="3" t="b">
        <f>Table1[[#This Row],[calc arrow]]=Table1[[#This Row],[trend]]</f>
        <v>1</v>
      </c>
      <c r="AU89" s="3" t="str">
        <f>HEX2BIN(MID(Table1[[#This Row],[statusRaw]],1+HEX2DEC(LEFT(AU$1,2))*2, 2),8) &amp; " 0x" &amp;MID(Table1[[#This Row],[statusRaw]],1+HEX2DEC(LEFT(AU$1,2))*2, 2)</f>
        <v>00000000 0x00</v>
      </c>
      <c r="AV89" s="3">
        <f>HEX2DEC(MID(Table1[[#This Row],[statusRaw]],1+HEX2DEC(LEFT(AV$1,2))*2, 4))</f>
        <v>0</v>
      </c>
      <c r="AW89" s="3" t="str">
        <f>HEX2BIN(MID(Table1[[#This Row],[statusRaw]],1+HEX2DEC(LEFT(AW$1,2))*2, 2),8) &amp; " 0x" &amp;MID(Table1[[#This Row],[statusRaw]],1+HEX2DEC(LEFT(AW$1,2))*2, 2)</f>
        <v>00000000 0x00</v>
      </c>
      <c r="AX89" s="3" t="str">
        <f>HEX2BIN(MID(Table1[[#This Row],[statusRaw]],1+HEX2DEC(LEFT(AX$1,2))*2, 2),8) &amp; " 0x" &amp;MID(Table1[[#This Row],[statusRaw]],1+HEX2DEC(LEFT(AX$1,2))*2, 2)</f>
        <v>00000000 0x00</v>
      </c>
      <c r="AY89" s="3" t="str">
        <f>MID(Table1[[#This Row],[statusRaw]],1+HEX2DEC(LEFT(AY$1,2))*2, 8)</f>
        <v>00000000</v>
      </c>
      <c r="AZ89" s="3" t="str">
        <f>MID(Table1[[#This Row],[statusRaw]],1+HEX2DEC(LEFT(AZ$1,2))*2, 8)</f>
        <v>00000000</v>
      </c>
      <c r="BA89" s="3" t="str">
        <f>HEX2BIN(MID(Table1[[#This Row],[statusRaw]],1+HEX2DEC(LEFT(BA$1,2))*2, 2),8) &amp; " 0x" &amp;MID(Table1[[#This Row],[statusRaw]],1+HEX2DEC(LEFT(BA$1,2))*2, 2)</f>
        <v>00000000 0x00</v>
      </c>
      <c r="BB89" s="3" t="str">
        <f>HEX2BIN(MID(Table1[[#This Row],[statusRaw]],1+HEX2DEC(LEFT(BB$1,2))*2, 2),8) &amp; " 0x" &amp;MID(Table1[[#This Row],[statusRaw]],1+HEX2DEC(LEFT(BB$1,2))*2, 2)</f>
        <v>00000000 0x00</v>
      </c>
      <c r="BC89" s="3" t="str">
        <f>HEX2BIN(MID(Table1[[#This Row],[statusRaw]],1+HEX2DEC(LEFT(BC$1,2))*2, 2),8) &amp; " 0x" &amp;MID(Table1[[#This Row],[statusRaw]],1+HEX2DEC(LEFT(BC$1,2))*2, 2)</f>
        <v>00000000 0x00</v>
      </c>
      <c r="BD89" s="3" t="str">
        <f>MID(Table1[[#This Row],[statusRaw]],1+HEX2DEC(LEFT(BD$1,2))*2, 8)</f>
        <v>000008C5</v>
      </c>
      <c r="BE89" s="3" t="str">
        <f>MID(Table1[[#This Row],[statusRaw]],1+HEX2DEC(LEFT(BE$1,2))*2, 8)</f>
        <v>000008C5</v>
      </c>
      <c r="BF89" s="9"/>
    </row>
    <row r="90" spans="1:58" x14ac:dyDescent="0.25">
      <c r="A90" s="1" t="s">
        <v>270</v>
      </c>
      <c r="B90" s="1" t="s">
        <v>271</v>
      </c>
      <c r="C90" s="1" t="s">
        <v>7</v>
      </c>
      <c r="D90" s="1" t="s">
        <v>272</v>
      </c>
      <c r="E90" s="1">
        <v>14</v>
      </c>
      <c r="F90" s="3" t="str">
        <f>HEX2BIN(MID(Table1[[#This Row],[statusRaw]],1+HEX2DEC(LEFT(F$1,2))*2, 2),8) &amp; " 0x" &amp;MID(Table1[[#This Row],[statusRaw]],1+HEX2DEC(LEFT(F$1,2))*2, 2)</f>
        <v>01010000 0x50</v>
      </c>
      <c r="G90" s="3" t="b">
        <f>MID(Table1[[#This Row],[03 - pump status (1)]],1,1)="1"</f>
        <v>0</v>
      </c>
      <c r="H90" s="3" t="b">
        <f>MID(Table1[[#This Row],[03 - pump status (1)]],2,1)="1"</f>
        <v>1</v>
      </c>
      <c r="I90" s="3" t="b">
        <f>MID(Table1[[#This Row],[03 - pump status (1)]],3,1)="1"</f>
        <v>0</v>
      </c>
      <c r="J90" s="3" t="b">
        <f>MID(Table1[[#This Row],[03 - pump status (1)]],4,1)="1"</f>
        <v>1</v>
      </c>
      <c r="K90" s="3" t="b">
        <f>MID(Table1[[#This Row],[03 - pump status (1)]],5,1)="1"</f>
        <v>0</v>
      </c>
      <c r="L90" s="3" t="b">
        <f>MID(Table1[[#This Row],[03 - pump status (1)]],6,1)="1"</f>
        <v>0</v>
      </c>
      <c r="M90" s="3" t="b">
        <f>MID(Table1[[#This Row],[03 - pump status (1)]],7,1)="1"</f>
        <v>0</v>
      </c>
      <c r="N90" s="3" t="b">
        <f>MID(Table1[[#This Row],[03 - pump status (1)]],8,1)="1"</f>
        <v>0</v>
      </c>
      <c r="O90" s="3" t="str">
        <f>MID(Table1[[#This Row],[statusRaw]],1+HEX2DEC(LEFT(O$1,2))*2, 8)</f>
        <v>00000000</v>
      </c>
      <c r="P90" s="3" t="str">
        <f>MID(Table1[[#This Row],[statusRaw]],1+HEX2DEC(LEFT(P$1,2))*2, 8)</f>
        <v>00000000</v>
      </c>
      <c r="Q90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90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90" s="3">
        <f>HEX2DEC(MID(Table1[[#This Row],[statusRaw]],1+HEX2DEC(LEFT(S$1,2))*2, 8))/10000</f>
        <v>1.3</v>
      </c>
      <c r="T90" s="3" t="str">
        <f>MID(Table1[[#This Row],[statusRaw]],1+HEX2DEC(LEFT(T$1,2))*2, 8)</f>
        <v>2789C7BF</v>
      </c>
      <c r="U90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90" s="3" t="str">
        <f>HEX2BIN(MID(Table1[[#This Row],[statusRaw]],1+HEX2DEC(LEFT(V$1,2))*2, 2),8) &amp; " 0x" &amp;MID(Table1[[#This Row],[statusRaw]],1+HEX2DEC(LEFT(V$1,2))*2, 2)</f>
        <v>00000001 0x01</v>
      </c>
      <c r="W90" s="3">
        <f>HEX2DEC(MID(Table1[[#This Row],[statusRaw]],1+HEX2DEC(LEFT(W$1,2))*2, 8))/10000</f>
        <v>0.625</v>
      </c>
      <c r="X90" s="3">
        <f>HEX2DEC(MID(Table1[[#This Row],[statusRaw]],1+HEX2DEC(LEFT(X$1,2))*2, 8))/10000</f>
        <v>0</v>
      </c>
      <c r="Y90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90" s="3">
        <f>HEX2DEC(MID(Table1[[#This Row],[statusRaw]],1+HEX2DEC(LEFT(Z$1,2))*2, 8))/10000</f>
        <v>6.3</v>
      </c>
      <c r="AA90" s="3">
        <f>HEX2DEC(MID(Table1[[#This Row],[statusRaw]],1+HEX2DEC(LEFT(AA$1,2))*2, 2))</f>
        <v>50</v>
      </c>
      <c r="AB90" s="3">
        <f>HEX2DEC(MID(Table1[[#This Row],[statusRaw]],1+HEX2DEC(LEFT(AB$1,2))*2, 8))/10000</f>
        <v>82.674999999999997</v>
      </c>
      <c r="AC90" s="3">
        <f>HEX2DEC(MID(Table1[[#This Row],[statusRaw]],1+HEX2DEC(LEFT(AC$1,2))*2, 2))</f>
        <v>25</v>
      </c>
      <c r="AD90" s="3">
        <f>HEX2DEC(MID(Table1[[#This Row],[statusRaw]],1+HEX2DEC(LEFT(AD$1,2))*2, 2))</f>
        <v>0</v>
      </c>
      <c r="AE90" s="3">
        <f>HEX2DEC(MID(Table1[[#This Row],[statusRaw]],1+HEX2DEC(LEFT(AE$1,2))*2, 8))/10000</f>
        <v>1.6</v>
      </c>
      <c r="AF90" s="3">
        <f>IF(AND(Table1[[#This Row],[cgm]],NOT(Table1[[#This Row],[35 - SGV special bit (2)]])), _xlfn.BITAND(HEX2DEC(MID(Table1[[#This Row],[statusRaw]],1+HEX2DEC(LEFT(AF$1,2))*2, 4)),HEX2DEC("1FF")),"")</f>
        <v>186</v>
      </c>
      <c r="AG90" s="3" t="b">
        <f>_xlfn.BITAND(HEX2DEC(MID(Table1[[#This Row],[statusRaw]],1+HEX2DEC(LEFT(AG$1,2))*2, 4)),512)=512</f>
        <v>0</v>
      </c>
      <c r="AH90" s="3" t="str">
        <f>MID(Table1[[#This Row],[statusRaw]],1+HEX2DEC(LEFT(AF$1,2))*2, 8)</f>
        <v>00BA8673</v>
      </c>
      <c r="AI90" s="3" t="str">
        <f>MID(Table1[[#This Row],[statusRaw]],1+HEX2DEC(LEFT(AH$1,2))*2, 8)</f>
        <v>8673DC20</v>
      </c>
      <c r="AJ90" s="3" t="str">
        <f>HEX2BIN(MID(Table1[[#This Row],[statusRaw]],1+HEX2DEC(LEFT(AJ$1,2))*2, 2),8) &amp; " 0x" &amp;MID(Table1[[#This Row],[statusRaw]],1+HEX2DEC(LEFT(AJ$1,2))*2, 2)</f>
        <v>00000000 0x00</v>
      </c>
      <c r="AK90" s="1" t="str">
        <f>HEX2BIN(MID(Table1[[#This Row],[statusRaw]],1+HEX2DEC(LEFT(AK$1,2))*2, 2),8) &amp; " 0x" &amp;MID(Table1[[#This Row],[statusRaw]],1+HEX2DEC(LEFT(AK$1,2))*2, 2)</f>
        <v>01100000 0x60</v>
      </c>
      <c r="AL90" s="1" t="str">
        <f>VLOOKUP(Table1[[#This Row],[40 trend]],'Arrow status mapping'!$A$1:$B$8,2,FALSE)</f>
        <v>No arrows</v>
      </c>
      <c r="AM90" s="3" t="str">
        <f>HEX2BIN(MID(Table1[[#This Row],[statusRaw]],1+HEX2DEC(LEFT(AM$1,2))*2, 2),8) &amp; " 0x" &amp;MID(Table1[[#This Row],[statusRaw]],1+HEX2DEC(LEFT(AM$1,2))*2, 2)</f>
        <v>00010000 0x10</v>
      </c>
      <c r="AN90" s="3" t="str">
        <f>HEX2BIN(MID(Table1[[#This Row],[statusRaw]],1+HEX2DEC(LEFT(AN$1,2))*2, 2),8) &amp; " 0x" &amp;MID(Table1[[#This Row],[statusRaw]],1+HEX2DEC(LEFT(AN$1,2))*2, 2)</f>
        <v>00000000 0x00</v>
      </c>
      <c r="AO90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0x028A 650</v>
      </c>
      <c r="AP90" s="1" t="str">
        <f>HEX2BIN(MID(Table1[[#This Row],[statusRaw]],1+HEX2DEC(LEFT(AP$1,2))*2, 2),8) &amp; " 0x" &amp;MID(Table1[[#This Row],[statusRaw]],1+HEX2DEC(LEFT(AP$1,2))*2, 2)</f>
        <v>00101011 0x2B</v>
      </c>
      <c r="AQ90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0xFFC9 -55</v>
      </c>
      <c r="AR90" s="3">
        <f>TRUNC(_xlfn.NUMBERVALUE(RIGHT(Table1[[#This Row],[46 rate of change (2)]],LEN(Table1[[#This Row],[46 rate of change (2)]])-7))/100)</f>
        <v>0</v>
      </c>
      <c r="AS90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90" s="3" t="b">
        <f>Table1[[#This Row],[calc arrow]]=Table1[[#This Row],[trend]]</f>
        <v>1</v>
      </c>
      <c r="AU90" s="3" t="str">
        <f>HEX2BIN(MID(Table1[[#This Row],[statusRaw]],1+HEX2DEC(LEFT(AU$1,2))*2, 2),8) &amp; " 0x" &amp;MID(Table1[[#This Row],[statusRaw]],1+HEX2DEC(LEFT(AU$1,2))*2, 2)</f>
        <v>00000000 0x00</v>
      </c>
      <c r="AV90" s="3">
        <f>HEX2DEC(MID(Table1[[#This Row],[statusRaw]],1+HEX2DEC(LEFT(AV$1,2))*2, 4))</f>
        <v>0</v>
      </c>
      <c r="AW90" s="3" t="str">
        <f>HEX2BIN(MID(Table1[[#This Row],[statusRaw]],1+HEX2DEC(LEFT(AW$1,2))*2, 2),8) &amp; " 0x" &amp;MID(Table1[[#This Row],[statusRaw]],1+HEX2DEC(LEFT(AW$1,2))*2, 2)</f>
        <v>00000000 0x00</v>
      </c>
      <c r="AX90" s="3" t="str">
        <f>HEX2BIN(MID(Table1[[#This Row],[statusRaw]],1+HEX2DEC(LEFT(AX$1,2))*2, 2),8) &amp; " 0x" &amp;MID(Table1[[#This Row],[statusRaw]],1+HEX2DEC(LEFT(AX$1,2))*2, 2)</f>
        <v>00000000 0x00</v>
      </c>
      <c r="AY90" s="3" t="str">
        <f>MID(Table1[[#This Row],[statusRaw]],1+HEX2DEC(LEFT(AY$1,2))*2, 8)</f>
        <v>00000000</v>
      </c>
      <c r="AZ90" s="3" t="str">
        <f>MID(Table1[[#This Row],[statusRaw]],1+HEX2DEC(LEFT(AZ$1,2))*2, 8)</f>
        <v>00000000</v>
      </c>
      <c r="BA90" s="3" t="str">
        <f>HEX2BIN(MID(Table1[[#This Row],[statusRaw]],1+HEX2DEC(LEFT(BA$1,2))*2, 2),8) &amp; " 0x" &amp;MID(Table1[[#This Row],[statusRaw]],1+HEX2DEC(LEFT(BA$1,2))*2, 2)</f>
        <v>00000000 0x00</v>
      </c>
      <c r="BB90" s="3" t="str">
        <f>HEX2BIN(MID(Table1[[#This Row],[statusRaw]],1+HEX2DEC(LEFT(BB$1,2))*2, 2),8) &amp; " 0x" &amp;MID(Table1[[#This Row],[statusRaw]],1+HEX2DEC(LEFT(BB$1,2))*2, 2)</f>
        <v>00000000 0x00</v>
      </c>
      <c r="BC90" s="3" t="str">
        <f>HEX2BIN(MID(Table1[[#This Row],[statusRaw]],1+HEX2DEC(LEFT(BC$1,2))*2, 2),8) &amp; " 0x" &amp;MID(Table1[[#This Row],[statusRaw]],1+HEX2DEC(LEFT(BC$1,2))*2, 2)</f>
        <v>00000000 0x00</v>
      </c>
      <c r="BD90" s="3" t="str">
        <f>MID(Table1[[#This Row],[statusRaw]],1+HEX2DEC(LEFT(BD$1,2))*2, 8)</f>
        <v>000008C5</v>
      </c>
      <c r="BE90" s="3" t="str">
        <f>MID(Table1[[#This Row],[statusRaw]],1+HEX2DEC(LEFT(BE$1,2))*2, 8)</f>
        <v>000008C5</v>
      </c>
      <c r="BF90" s="9"/>
    </row>
    <row r="91" spans="1:58" x14ac:dyDescent="0.25">
      <c r="A91" s="1" t="s">
        <v>273</v>
      </c>
      <c r="B91" s="1" t="s">
        <v>274</v>
      </c>
      <c r="C91" s="1" t="s">
        <v>7</v>
      </c>
      <c r="D91" s="1" t="s">
        <v>275</v>
      </c>
      <c r="E91" s="1">
        <v>14</v>
      </c>
      <c r="F91" s="3" t="str">
        <f>HEX2BIN(MID(Table1[[#This Row],[statusRaw]],1+HEX2DEC(LEFT(F$1,2))*2, 2),8) &amp; " 0x" &amp;MID(Table1[[#This Row],[statusRaw]],1+HEX2DEC(LEFT(F$1,2))*2, 2)</f>
        <v>01010000 0x50</v>
      </c>
      <c r="G91" s="3" t="b">
        <f>MID(Table1[[#This Row],[03 - pump status (1)]],1,1)="1"</f>
        <v>0</v>
      </c>
      <c r="H91" s="3" t="b">
        <f>MID(Table1[[#This Row],[03 - pump status (1)]],2,1)="1"</f>
        <v>1</v>
      </c>
      <c r="I91" s="3" t="b">
        <f>MID(Table1[[#This Row],[03 - pump status (1)]],3,1)="1"</f>
        <v>0</v>
      </c>
      <c r="J91" s="3" t="b">
        <f>MID(Table1[[#This Row],[03 - pump status (1)]],4,1)="1"</f>
        <v>1</v>
      </c>
      <c r="K91" s="3" t="b">
        <f>MID(Table1[[#This Row],[03 - pump status (1)]],5,1)="1"</f>
        <v>0</v>
      </c>
      <c r="L91" s="3" t="b">
        <f>MID(Table1[[#This Row],[03 - pump status (1)]],6,1)="1"</f>
        <v>0</v>
      </c>
      <c r="M91" s="3" t="b">
        <f>MID(Table1[[#This Row],[03 - pump status (1)]],7,1)="1"</f>
        <v>0</v>
      </c>
      <c r="N91" s="3" t="b">
        <f>MID(Table1[[#This Row],[03 - pump status (1)]],8,1)="1"</f>
        <v>0</v>
      </c>
      <c r="O91" s="3" t="str">
        <f>MID(Table1[[#This Row],[statusRaw]],1+HEX2DEC(LEFT(O$1,2))*2, 8)</f>
        <v>00000000</v>
      </c>
      <c r="P91" s="3" t="str">
        <f>MID(Table1[[#This Row],[statusRaw]],1+HEX2DEC(LEFT(P$1,2))*2, 8)</f>
        <v>00000000</v>
      </c>
      <c r="Q91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91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91" s="3">
        <f>HEX2DEC(MID(Table1[[#This Row],[statusRaw]],1+HEX2DEC(LEFT(S$1,2))*2, 8))/10000</f>
        <v>1.3</v>
      </c>
      <c r="T91" s="3" t="str">
        <f>MID(Table1[[#This Row],[statusRaw]],1+HEX2DEC(LEFT(T$1,2))*2, 8)</f>
        <v>2789C7BF</v>
      </c>
      <c r="U91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91" s="3" t="str">
        <f>HEX2BIN(MID(Table1[[#This Row],[statusRaw]],1+HEX2DEC(LEFT(V$1,2))*2, 2),8) &amp; " 0x" &amp;MID(Table1[[#This Row],[statusRaw]],1+HEX2DEC(LEFT(V$1,2))*2, 2)</f>
        <v>00000001 0x01</v>
      </c>
      <c r="W91" s="3">
        <f>HEX2DEC(MID(Table1[[#This Row],[statusRaw]],1+HEX2DEC(LEFT(W$1,2))*2, 8))/10000</f>
        <v>0.625</v>
      </c>
      <c r="X91" s="3">
        <f>HEX2DEC(MID(Table1[[#This Row],[statusRaw]],1+HEX2DEC(LEFT(X$1,2))*2, 8))/10000</f>
        <v>0</v>
      </c>
      <c r="Y91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91" s="3">
        <f>HEX2DEC(MID(Table1[[#This Row],[statusRaw]],1+HEX2DEC(LEFT(Z$1,2))*2, 8))/10000</f>
        <v>6.25</v>
      </c>
      <c r="AA91" s="3">
        <f>HEX2DEC(MID(Table1[[#This Row],[statusRaw]],1+HEX2DEC(LEFT(AA$1,2))*2, 2))</f>
        <v>50</v>
      </c>
      <c r="AB91" s="3">
        <f>HEX2DEC(MID(Table1[[#This Row],[statusRaw]],1+HEX2DEC(LEFT(AB$1,2))*2, 8))/10000</f>
        <v>82.724999999999994</v>
      </c>
      <c r="AC91" s="3">
        <f>HEX2DEC(MID(Table1[[#This Row],[statusRaw]],1+HEX2DEC(LEFT(AC$1,2))*2, 2))</f>
        <v>25</v>
      </c>
      <c r="AD91" s="3">
        <f>HEX2DEC(MID(Table1[[#This Row],[statusRaw]],1+HEX2DEC(LEFT(AD$1,2))*2, 2))</f>
        <v>0</v>
      </c>
      <c r="AE91" s="3">
        <f>HEX2DEC(MID(Table1[[#This Row],[statusRaw]],1+HEX2DEC(LEFT(AE$1,2))*2, 8))/10000</f>
        <v>1.7</v>
      </c>
      <c r="AF91" s="3">
        <f>IF(AND(Table1[[#This Row],[cgm]],NOT(Table1[[#This Row],[35 - SGV special bit (2)]])), _xlfn.BITAND(HEX2DEC(MID(Table1[[#This Row],[statusRaw]],1+HEX2DEC(LEFT(AF$1,2))*2, 4)),HEX2DEC("1FF")),"")</f>
        <v>192</v>
      </c>
      <c r="AG91" s="3" t="b">
        <f>_xlfn.BITAND(HEX2DEC(MID(Table1[[#This Row],[statusRaw]],1+HEX2DEC(LEFT(AG$1,2))*2, 4)),512)=512</f>
        <v>0</v>
      </c>
      <c r="AH91" s="3" t="str">
        <f>MID(Table1[[#This Row],[statusRaw]],1+HEX2DEC(LEFT(AF$1,2))*2, 8)</f>
        <v>00C08673</v>
      </c>
      <c r="AI91" s="3" t="str">
        <f>MID(Table1[[#This Row],[statusRaw]],1+HEX2DEC(LEFT(AH$1,2))*2, 8)</f>
        <v>8673DAF4</v>
      </c>
      <c r="AJ91" s="3" t="str">
        <f>HEX2BIN(MID(Table1[[#This Row],[statusRaw]],1+HEX2DEC(LEFT(AJ$1,2))*2, 2),8) &amp; " 0x" &amp;MID(Table1[[#This Row],[statusRaw]],1+HEX2DEC(LEFT(AJ$1,2))*2, 2)</f>
        <v>00000000 0x00</v>
      </c>
      <c r="AK91" s="1" t="str">
        <f>HEX2BIN(MID(Table1[[#This Row],[statusRaw]],1+HEX2DEC(LEFT(AK$1,2))*2, 2),8) &amp; " 0x" &amp;MID(Table1[[#This Row],[statusRaw]],1+HEX2DEC(LEFT(AK$1,2))*2, 2)</f>
        <v>01100000 0x60</v>
      </c>
      <c r="AL91" s="1" t="str">
        <f>VLOOKUP(Table1[[#This Row],[40 trend]],'Arrow status mapping'!$A$1:$B$8,2,FALSE)</f>
        <v>No arrows</v>
      </c>
      <c r="AM91" s="3" t="str">
        <f>HEX2BIN(MID(Table1[[#This Row],[statusRaw]],1+HEX2DEC(LEFT(AM$1,2))*2, 2),8) &amp; " 0x" &amp;MID(Table1[[#This Row],[statusRaw]],1+HEX2DEC(LEFT(AM$1,2))*2, 2)</f>
        <v>00010000 0x10</v>
      </c>
      <c r="AN91" s="3" t="str">
        <f>HEX2BIN(MID(Table1[[#This Row],[statusRaw]],1+HEX2DEC(LEFT(AN$1,2))*2, 2),8) &amp; " 0x" &amp;MID(Table1[[#This Row],[statusRaw]],1+HEX2DEC(LEFT(AN$1,2))*2, 2)</f>
        <v>00000000 0x00</v>
      </c>
      <c r="AO91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0x028F 655</v>
      </c>
      <c r="AP91" s="1" t="str">
        <f>HEX2BIN(MID(Table1[[#This Row],[statusRaw]],1+HEX2DEC(LEFT(AP$1,2))*2, 2),8) &amp; " 0x" &amp;MID(Table1[[#This Row],[statusRaw]],1+HEX2DEC(LEFT(AP$1,2))*2, 2)</f>
        <v>00101011 0x2B</v>
      </c>
      <c r="AQ91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0xFFC9 -55</v>
      </c>
      <c r="AR91" s="3">
        <f>TRUNC(_xlfn.NUMBERVALUE(RIGHT(Table1[[#This Row],[46 rate of change (2)]],LEN(Table1[[#This Row],[46 rate of change (2)]])-7))/100)</f>
        <v>0</v>
      </c>
      <c r="AS91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91" s="3" t="b">
        <f>Table1[[#This Row],[calc arrow]]=Table1[[#This Row],[trend]]</f>
        <v>1</v>
      </c>
      <c r="AU91" s="3" t="str">
        <f>HEX2BIN(MID(Table1[[#This Row],[statusRaw]],1+HEX2DEC(LEFT(AU$1,2))*2, 2),8) &amp; " 0x" &amp;MID(Table1[[#This Row],[statusRaw]],1+HEX2DEC(LEFT(AU$1,2))*2, 2)</f>
        <v>00000000 0x00</v>
      </c>
      <c r="AV91" s="3">
        <f>HEX2DEC(MID(Table1[[#This Row],[statusRaw]],1+HEX2DEC(LEFT(AV$1,2))*2, 4))</f>
        <v>0</v>
      </c>
      <c r="AW91" s="3" t="str">
        <f>HEX2BIN(MID(Table1[[#This Row],[statusRaw]],1+HEX2DEC(LEFT(AW$1,2))*2, 2),8) &amp; " 0x" &amp;MID(Table1[[#This Row],[statusRaw]],1+HEX2DEC(LEFT(AW$1,2))*2, 2)</f>
        <v>00000000 0x00</v>
      </c>
      <c r="AX91" s="3" t="str">
        <f>HEX2BIN(MID(Table1[[#This Row],[statusRaw]],1+HEX2DEC(LEFT(AX$1,2))*2, 2),8) &amp; " 0x" &amp;MID(Table1[[#This Row],[statusRaw]],1+HEX2DEC(LEFT(AX$1,2))*2, 2)</f>
        <v>00000000 0x00</v>
      </c>
      <c r="AY91" s="3" t="str">
        <f>MID(Table1[[#This Row],[statusRaw]],1+HEX2DEC(LEFT(AY$1,2))*2, 8)</f>
        <v>00000000</v>
      </c>
      <c r="AZ91" s="3" t="str">
        <f>MID(Table1[[#This Row],[statusRaw]],1+HEX2DEC(LEFT(AZ$1,2))*2, 8)</f>
        <v>00000000</v>
      </c>
      <c r="BA91" s="3" t="str">
        <f>HEX2BIN(MID(Table1[[#This Row],[statusRaw]],1+HEX2DEC(LEFT(BA$1,2))*2, 2),8) &amp; " 0x" &amp;MID(Table1[[#This Row],[statusRaw]],1+HEX2DEC(LEFT(BA$1,2))*2, 2)</f>
        <v>00000000 0x00</v>
      </c>
      <c r="BB91" s="3" t="str">
        <f>HEX2BIN(MID(Table1[[#This Row],[statusRaw]],1+HEX2DEC(LEFT(BB$1,2))*2, 2),8) &amp; " 0x" &amp;MID(Table1[[#This Row],[statusRaw]],1+HEX2DEC(LEFT(BB$1,2))*2, 2)</f>
        <v>00000000 0x00</v>
      </c>
      <c r="BC91" s="3" t="str">
        <f>HEX2BIN(MID(Table1[[#This Row],[statusRaw]],1+HEX2DEC(LEFT(BC$1,2))*2, 2),8) &amp; " 0x" &amp;MID(Table1[[#This Row],[statusRaw]],1+HEX2DEC(LEFT(BC$1,2))*2, 2)</f>
        <v>00000000 0x00</v>
      </c>
      <c r="BD91" s="3" t="str">
        <f>MID(Table1[[#This Row],[statusRaw]],1+HEX2DEC(LEFT(BD$1,2))*2, 8)</f>
        <v>000008C5</v>
      </c>
      <c r="BE91" s="3" t="str">
        <f>MID(Table1[[#This Row],[statusRaw]],1+HEX2DEC(LEFT(BE$1,2))*2, 8)</f>
        <v>000008C5</v>
      </c>
      <c r="BF91" s="9"/>
    </row>
    <row r="92" spans="1:58" x14ac:dyDescent="0.25">
      <c r="A92" s="1" t="s">
        <v>276</v>
      </c>
      <c r="B92" s="1" t="s">
        <v>277</v>
      </c>
      <c r="C92" s="1" t="s">
        <v>7</v>
      </c>
      <c r="D92" s="1" t="s">
        <v>278</v>
      </c>
      <c r="E92" s="1">
        <v>14</v>
      </c>
      <c r="F92" s="3" t="str">
        <f>HEX2BIN(MID(Table1[[#This Row],[statusRaw]],1+HEX2DEC(LEFT(F$1,2))*2, 2),8) &amp; " 0x" &amp;MID(Table1[[#This Row],[statusRaw]],1+HEX2DEC(LEFT(F$1,2))*2, 2)</f>
        <v>01010000 0x50</v>
      </c>
      <c r="G92" s="3" t="b">
        <f>MID(Table1[[#This Row],[03 - pump status (1)]],1,1)="1"</f>
        <v>0</v>
      </c>
      <c r="H92" s="3" t="b">
        <f>MID(Table1[[#This Row],[03 - pump status (1)]],2,1)="1"</f>
        <v>1</v>
      </c>
      <c r="I92" s="3" t="b">
        <f>MID(Table1[[#This Row],[03 - pump status (1)]],3,1)="1"</f>
        <v>0</v>
      </c>
      <c r="J92" s="3" t="b">
        <f>MID(Table1[[#This Row],[03 - pump status (1)]],4,1)="1"</f>
        <v>1</v>
      </c>
      <c r="K92" s="3" t="b">
        <f>MID(Table1[[#This Row],[03 - pump status (1)]],5,1)="1"</f>
        <v>0</v>
      </c>
      <c r="L92" s="3" t="b">
        <f>MID(Table1[[#This Row],[03 - pump status (1)]],6,1)="1"</f>
        <v>0</v>
      </c>
      <c r="M92" s="3" t="b">
        <f>MID(Table1[[#This Row],[03 - pump status (1)]],7,1)="1"</f>
        <v>0</v>
      </c>
      <c r="N92" s="3" t="b">
        <f>MID(Table1[[#This Row],[03 - pump status (1)]],8,1)="1"</f>
        <v>0</v>
      </c>
      <c r="O92" s="3" t="str">
        <f>MID(Table1[[#This Row],[statusRaw]],1+HEX2DEC(LEFT(O$1,2))*2, 8)</f>
        <v>00000000</v>
      </c>
      <c r="P92" s="3" t="str">
        <f>MID(Table1[[#This Row],[statusRaw]],1+HEX2DEC(LEFT(P$1,2))*2, 8)</f>
        <v>00000000</v>
      </c>
      <c r="Q92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92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92" s="3">
        <f>HEX2DEC(MID(Table1[[#This Row],[statusRaw]],1+HEX2DEC(LEFT(S$1,2))*2, 8))/10000</f>
        <v>1.3</v>
      </c>
      <c r="T92" s="3" t="str">
        <f>MID(Table1[[#This Row],[statusRaw]],1+HEX2DEC(LEFT(T$1,2))*2, 8)</f>
        <v>2789C7BF</v>
      </c>
      <c r="U92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92" s="3" t="str">
        <f>HEX2BIN(MID(Table1[[#This Row],[statusRaw]],1+HEX2DEC(LEFT(V$1,2))*2, 2),8) &amp; " 0x" &amp;MID(Table1[[#This Row],[statusRaw]],1+HEX2DEC(LEFT(V$1,2))*2, 2)</f>
        <v>00000001 0x01</v>
      </c>
      <c r="W92" s="3">
        <f>HEX2DEC(MID(Table1[[#This Row],[statusRaw]],1+HEX2DEC(LEFT(W$1,2))*2, 8))/10000</f>
        <v>0.625</v>
      </c>
      <c r="X92" s="3">
        <f>HEX2DEC(MID(Table1[[#This Row],[statusRaw]],1+HEX2DEC(LEFT(X$1,2))*2, 8))/10000</f>
        <v>0</v>
      </c>
      <c r="Y92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92" s="3">
        <f>HEX2DEC(MID(Table1[[#This Row],[statusRaw]],1+HEX2DEC(LEFT(Z$1,2))*2, 8))/10000</f>
        <v>6.2</v>
      </c>
      <c r="AA92" s="3">
        <f>HEX2DEC(MID(Table1[[#This Row],[statusRaw]],1+HEX2DEC(LEFT(AA$1,2))*2, 2))</f>
        <v>50</v>
      </c>
      <c r="AB92" s="3">
        <f>HEX2DEC(MID(Table1[[#This Row],[statusRaw]],1+HEX2DEC(LEFT(AB$1,2))*2, 8))/10000</f>
        <v>82.775000000000006</v>
      </c>
      <c r="AC92" s="3">
        <f>HEX2DEC(MID(Table1[[#This Row],[statusRaw]],1+HEX2DEC(LEFT(AC$1,2))*2, 2))</f>
        <v>25</v>
      </c>
      <c r="AD92" s="3">
        <f>HEX2DEC(MID(Table1[[#This Row],[statusRaw]],1+HEX2DEC(LEFT(AD$1,2))*2, 2))</f>
        <v>0</v>
      </c>
      <c r="AE92" s="3">
        <f>HEX2DEC(MID(Table1[[#This Row],[statusRaw]],1+HEX2DEC(LEFT(AE$1,2))*2, 8))/10000</f>
        <v>1.8</v>
      </c>
      <c r="AF92" s="3">
        <f>IF(AND(Table1[[#This Row],[cgm]],NOT(Table1[[#This Row],[35 - SGV special bit (2)]])), _xlfn.BITAND(HEX2DEC(MID(Table1[[#This Row],[statusRaw]],1+HEX2DEC(LEFT(AF$1,2))*2, 4)),HEX2DEC("1FF")),"")</f>
        <v>197</v>
      </c>
      <c r="AG92" s="3" t="b">
        <f>_xlfn.BITAND(HEX2DEC(MID(Table1[[#This Row],[statusRaw]],1+HEX2DEC(LEFT(AG$1,2))*2, 4)),512)=512</f>
        <v>0</v>
      </c>
      <c r="AH92" s="3" t="str">
        <f>MID(Table1[[#This Row],[statusRaw]],1+HEX2DEC(LEFT(AF$1,2))*2, 8)</f>
        <v>00C58673</v>
      </c>
      <c r="AI92" s="3" t="str">
        <f>MID(Table1[[#This Row],[statusRaw]],1+HEX2DEC(LEFT(AH$1,2))*2, 8)</f>
        <v>8673D9C8</v>
      </c>
      <c r="AJ92" s="3" t="str">
        <f>HEX2BIN(MID(Table1[[#This Row],[statusRaw]],1+HEX2DEC(LEFT(AJ$1,2))*2, 2),8) &amp; " 0x" &amp;MID(Table1[[#This Row],[statusRaw]],1+HEX2DEC(LEFT(AJ$1,2))*2, 2)</f>
        <v>00000000 0x00</v>
      </c>
      <c r="AK92" s="1" t="str">
        <f>HEX2BIN(MID(Table1[[#This Row],[statusRaw]],1+HEX2DEC(LEFT(AK$1,2))*2, 2),8) &amp; " 0x" &amp;MID(Table1[[#This Row],[statusRaw]],1+HEX2DEC(LEFT(AK$1,2))*2, 2)</f>
        <v>01100000 0x60</v>
      </c>
      <c r="AL92" s="1" t="str">
        <f>VLOOKUP(Table1[[#This Row],[40 trend]],'Arrow status mapping'!$A$1:$B$8,2,FALSE)</f>
        <v>No arrows</v>
      </c>
      <c r="AM92" s="3" t="str">
        <f>HEX2BIN(MID(Table1[[#This Row],[statusRaw]],1+HEX2DEC(LEFT(AM$1,2))*2, 2),8) &amp; " 0x" &amp;MID(Table1[[#This Row],[statusRaw]],1+HEX2DEC(LEFT(AM$1,2))*2, 2)</f>
        <v>00010000 0x10</v>
      </c>
      <c r="AN92" s="3" t="str">
        <f>HEX2BIN(MID(Table1[[#This Row],[statusRaw]],1+HEX2DEC(LEFT(AN$1,2))*2, 2),8) &amp; " 0x" &amp;MID(Table1[[#This Row],[statusRaw]],1+HEX2DEC(LEFT(AN$1,2))*2, 2)</f>
        <v>00000000 0x00</v>
      </c>
      <c r="AO92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0x0294 660</v>
      </c>
      <c r="AP92" s="1" t="str">
        <f>HEX2BIN(MID(Table1[[#This Row],[statusRaw]],1+HEX2DEC(LEFT(AP$1,2))*2, 2),8) &amp; " 0x" &amp;MID(Table1[[#This Row],[statusRaw]],1+HEX2DEC(LEFT(AP$1,2))*2, 2)</f>
        <v>00101011 0x2B</v>
      </c>
      <c r="AQ92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0xFFB5 -75</v>
      </c>
      <c r="AR92" s="3">
        <f>TRUNC(_xlfn.NUMBERVALUE(RIGHT(Table1[[#This Row],[46 rate of change (2)]],LEN(Table1[[#This Row],[46 rate of change (2)]])-7))/100)</f>
        <v>0</v>
      </c>
      <c r="AS92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92" s="3" t="b">
        <f>Table1[[#This Row],[calc arrow]]=Table1[[#This Row],[trend]]</f>
        <v>1</v>
      </c>
      <c r="AU92" s="3" t="str">
        <f>HEX2BIN(MID(Table1[[#This Row],[statusRaw]],1+HEX2DEC(LEFT(AU$1,2))*2, 2),8) &amp; " 0x" &amp;MID(Table1[[#This Row],[statusRaw]],1+HEX2DEC(LEFT(AU$1,2))*2, 2)</f>
        <v>00000000 0x00</v>
      </c>
      <c r="AV92" s="3">
        <f>HEX2DEC(MID(Table1[[#This Row],[statusRaw]],1+HEX2DEC(LEFT(AV$1,2))*2, 4))</f>
        <v>0</v>
      </c>
      <c r="AW92" s="3" t="str">
        <f>HEX2BIN(MID(Table1[[#This Row],[statusRaw]],1+HEX2DEC(LEFT(AW$1,2))*2, 2),8) &amp; " 0x" &amp;MID(Table1[[#This Row],[statusRaw]],1+HEX2DEC(LEFT(AW$1,2))*2, 2)</f>
        <v>00000000 0x00</v>
      </c>
      <c r="AX92" s="3" t="str">
        <f>HEX2BIN(MID(Table1[[#This Row],[statusRaw]],1+HEX2DEC(LEFT(AX$1,2))*2, 2),8) &amp; " 0x" &amp;MID(Table1[[#This Row],[statusRaw]],1+HEX2DEC(LEFT(AX$1,2))*2, 2)</f>
        <v>00000000 0x00</v>
      </c>
      <c r="AY92" s="3" t="str">
        <f>MID(Table1[[#This Row],[statusRaw]],1+HEX2DEC(LEFT(AY$1,2))*2, 8)</f>
        <v>00000000</v>
      </c>
      <c r="AZ92" s="3" t="str">
        <f>MID(Table1[[#This Row],[statusRaw]],1+HEX2DEC(LEFT(AZ$1,2))*2, 8)</f>
        <v>00000000</v>
      </c>
      <c r="BA92" s="3" t="str">
        <f>HEX2BIN(MID(Table1[[#This Row],[statusRaw]],1+HEX2DEC(LEFT(BA$1,2))*2, 2),8) &amp; " 0x" &amp;MID(Table1[[#This Row],[statusRaw]],1+HEX2DEC(LEFT(BA$1,2))*2, 2)</f>
        <v>00000000 0x00</v>
      </c>
      <c r="BB92" s="3" t="str">
        <f>HEX2BIN(MID(Table1[[#This Row],[statusRaw]],1+HEX2DEC(LEFT(BB$1,2))*2, 2),8) &amp; " 0x" &amp;MID(Table1[[#This Row],[statusRaw]],1+HEX2DEC(LEFT(BB$1,2))*2, 2)</f>
        <v>00000000 0x00</v>
      </c>
      <c r="BC92" s="3" t="str">
        <f>HEX2BIN(MID(Table1[[#This Row],[statusRaw]],1+HEX2DEC(LEFT(BC$1,2))*2, 2),8) &amp; " 0x" &amp;MID(Table1[[#This Row],[statusRaw]],1+HEX2DEC(LEFT(BC$1,2))*2, 2)</f>
        <v>00000000 0x00</v>
      </c>
      <c r="BD92" s="3" t="str">
        <f>MID(Table1[[#This Row],[statusRaw]],1+HEX2DEC(LEFT(BD$1,2))*2, 8)</f>
        <v>000008C5</v>
      </c>
      <c r="BE92" s="3" t="str">
        <f>MID(Table1[[#This Row],[statusRaw]],1+HEX2DEC(LEFT(BE$1,2))*2, 8)</f>
        <v>000008C5</v>
      </c>
      <c r="BF92" s="9"/>
    </row>
    <row r="93" spans="1:58" x14ac:dyDescent="0.25">
      <c r="A93" s="1" t="s">
        <v>279</v>
      </c>
      <c r="B93" s="1" t="s">
        <v>280</v>
      </c>
      <c r="C93" s="1" t="s">
        <v>7</v>
      </c>
      <c r="D93" s="1" t="s">
        <v>281</v>
      </c>
      <c r="E93" s="1">
        <v>13</v>
      </c>
      <c r="F93" s="3" t="str">
        <f>HEX2BIN(MID(Table1[[#This Row],[statusRaw]],1+HEX2DEC(LEFT(F$1,2))*2, 2),8) &amp; " 0x" &amp;MID(Table1[[#This Row],[statusRaw]],1+HEX2DEC(LEFT(F$1,2))*2, 2)</f>
        <v>01010000 0x50</v>
      </c>
      <c r="G93" s="3" t="b">
        <f>MID(Table1[[#This Row],[03 - pump status (1)]],1,1)="1"</f>
        <v>0</v>
      </c>
      <c r="H93" s="3" t="b">
        <f>MID(Table1[[#This Row],[03 - pump status (1)]],2,1)="1"</f>
        <v>1</v>
      </c>
      <c r="I93" s="3" t="b">
        <f>MID(Table1[[#This Row],[03 - pump status (1)]],3,1)="1"</f>
        <v>0</v>
      </c>
      <c r="J93" s="3" t="b">
        <f>MID(Table1[[#This Row],[03 - pump status (1)]],4,1)="1"</f>
        <v>1</v>
      </c>
      <c r="K93" s="3" t="b">
        <f>MID(Table1[[#This Row],[03 - pump status (1)]],5,1)="1"</f>
        <v>0</v>
      </c>
      <c r="L93" s="3" t="b">
        <f>MID(Table1[[#This Row],[03 - pump status (1)]],6,1)="1"</f>
        <v>0</v>
      </c>
      <c r="M93" s="3" t="b">
        <f>MID(Table1[[#This Row],[03 - pump status (1)]],7,1)="1"</f>
        <v>0</v>
      </c>
      <c r="N93" s="3" t="b">
        <f>MID(Table1[[#This Row],[03 - pump status (1)]],8,1)="1"</f>
        <v>0</v>
      </c>
      <c r="O93" s="3" t="str">
        <f>MID(Table1[[#This Row],[statusRaw]],1+HEX2DEC(LEFT(O$1,2))*2, 8)</f>
        <v>00000000</v>
      </c>
      <c r="P93" s="3" t="str">
        <f>MID(Table1[[#This Row],[statusRaw]],1+HEX2DEC(LEFT(P$1,2))*2, 8)</f>
        <v>00000000</v>
      </c>
      <c r="Q93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93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93" s="3">
        <f>HEX2DEC(MID(Table1[[#This Row],[statusRaw]],1+HEX2DEC(LEFT(S$1,2))*2, 8))/10000</f>
        <v>1.3</v>
      </c>
      <c r="T93" s="3" t="str">
        <f>MID(Table1[[#This Row],[statusRaw]],1+HEX2DEC(LEFT(T$1,2))*2, 8)</f>
        <v>2789C7BF</v>
      </c>
      <c r="U93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93" s="3" t="str">
        <f>HEX2BIN(MID(Table1[[#This Row],[statusRaw]],1+HEX2DEC(LEFT(V$1,2))*2, 2),8) &amp; " 0x" &amp;MID(Table1[[#This Row],[statusRaw]],1+HEX2DEC(LEFT(V$1,2))*2, 2)</f>
        <v>00000001 0x01</v>
      </c>
      <c r="W93" s="3">
        <f>HEX2DEC(MID(Table1[[#This Row],[statusRaw]],1+HEX2DEC(LEFT(W$1,2))*2, 8))/10000</f>
        <v>0.5</v>
      </c>
      <c r="X93" s="3">
        <f>HEX2DEC(MID(Table1[[#This Row],[statusRaw]],1+HEX2DEC(LEFT(X$1,2))*2, 8))/10000</f>
        <v>0</v>
      </c>
      <c r="Y93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93" s="3">
        <f>HEX2DEC(MID(Table1[[#This Row],[statusRaw]],1+HEX2DEC(LEFT(Z$1,2))*2, 8))/10000</f>
        <v>6.125</v>
      </c>
      <c r="AA93" s="3">
        <f>HEX2DEC(MID(Table1[[#This Row],[statusRaw]],1+HEX2DEC(LEFT(AA$1,2))*2, 2))</f>
        <v>50</v>
      </c>
      <c r="AB93" s="3">
        <f>HEX2DEC(MID(Table1[[#This Row],[statusRaw]],1+HEX2DEC(LEFT(AB$1,2))*2, 8))/10000</f>
        <v>82.85</v>
      </c>
      <c r="AC93" s="3">
        <f>HEX2DEC(MID(Table1[[#This Row],[statusRaw]],1+HEX2DEC(LEFT(AC$1,2))*2, 2))</f>
        <v>25</v>
      </c>
      <c r="AD93" s="3">
        <f>HEX2DEC(MID(Table1[[#This Row],[statusRaw]],1+HEX2DEC(LEFT(AD$1,2))*2, 2))</f>
        <v>0</v>
      </c>
      <c r="AE93" s="3">
        <f>HEX2DEC(MID(Table1[[#This Row],[statusRaw]],1+HEX2DEC(LEFT(AE$1,2))*2, 8))/10000</f>
        <v>1.9</v>
      </c>
      <c r="AF93" s="3">
        <f>IF(AND(Table1[[#This Row],[cgm]],NOT(Table1[[#This Row],[35 - SGV special bit (2)]])), _xlfn.BITAND(HEX2DEC(MID(Table1[[#This Row],[statusRaw]],1+HEX2DEC(LEFT(AF$1,2))*2, 4)),HEX2DEC("1FF")),"")</f>
        <v>203</v>
      </c>
      <c r="AG93" s="3" t="b">
        <f>_xlfn.BITAND(HEX2DEC(MID(Table1[[#This Row],[statusRaw]],1+HEX2DEC(LEFT(AG$1,2))*2, 4)),512)=512</f>
        <v>0</v>
      </c>
      <c r="AH93" s="3" t="str">
        <f>MID(Table1[[#This Row],[statusRaw]],1+HEX2DEC(LEFT(AF$1,2))*2, 8)</f>
        <v>00CB8673</v>
      </c>
      <c r="AI93" s="3" t="str">
        <f>MID(Table1[[#This Row],[statusRaw]],1+HEX2DEC(LEFT(AH$1,2))*2, 8)</f>
        <v>8673D89C</v>
      </c>
      <c r="AJ93" s="3" t="str">
        <f>HEX2BIN(MID(Table1[[#This Row],[statusRaw]],1+HEX2DEC(LEFT(AJ$1,2))*2, 2),8) &amp; " 0x" &amp;MID(Table1[[#This Row],[statusRaw]],1+HEX2DEC(LEFT(AJ$1,2))*2, 2)</f>
        <v>00000001 0x01</v>
      </c>
      <c r="AK93" s="1" t="str">
        <f>HEX2BIN(MID(Table1[[#This Row],[statusRaw]],1+HEX2DEC(LEFT(AK$1,2))*2, 2),8) &amp; " 0x" &amp;MID(Table1[[#This Row],[statusRaw]],1+HEX2DEC(LEFT(AK$1,2))*2, 2)</f>
        <v>01100000 0x60</v>
      </c>
      <c r="AL93" s="1" t="str">
        <f>VLOOKUP(Table1[[#This Row],[40 trend]],'Arrow status mapping'!$A$1:$B$8,2,FALSE)</f>
        <v>No arrows</v>
      </c>
      <c r="AM93" s="3" t="str">
        <f>HEX2BIN(MID(Table1[[#This Row],[statusRaw]],1+HEX2DEC(LEFT(AM$1,2))*2, 2),8) &amp; " 0x" &amp;MID(Table1[[#This Row],[statusRaw]],1+HEX2DEC(LEFT(AM$1,2))*2, 2)</f>
        <v>00010000 0x10</v>
      </c>
      <c r="AN93" s="3" t="str">
        <f>HEX2BIN(MID(Table1[[#This Row],[statusRaw]],1+HEX2DEC(LEFT(AN$1,2))*2, 2),8) &amp; " 0x" &amp;MID(Table1[[#This Row],[statusRaw]],1+HEX2DEC(LEFT(AN$1,2))*2, 2)</f>
        <v>00000000 0x00</v>
      </c>
      <c r="AO93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0x0299 665</v>
      </c>
      <c r="AP93" s="1" t="str">
        <f>HEX2BIN(MID(Table1[[#This Row],[statusRaw]],1+HEX2DEC(LEFT(AP$1,2))*2, 2),8) &amp; " 0x" &amp;MID(Table1[[#This Row],[statusRaw]],1+HEX2DEC(LEFT(AP$1,2))*2, 2)</f>
        <v>00101011 0x2B</v>
      </c>
      <c r="AQ93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0xFFD3 -45</v>
      </c>
      <c r="AR93" s="3">
        <f>TRUNC(_xlfn.NUMBERVALUE(RIGHT(Table1[[#This Row],[46 rate of change (2)]],LEN(Table1[[#This Row],[46 rate of change (2)]])-7))/100)</f>
        <v>0</v>
      </c>
      <c r="AS93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93" s="3" t="b">
        <f>Table1[[#This Row],[calc arrow]]=Table1[[#This Row],[trend]]</f>
        <v>1</v>
      </c>
      <c r="AU93" s="3" t="str">
        <f>HEX2BIN(MID(Table1[[#This Row],[statusRaw]],1+HEX2DEC(LEFT(AU$1,2))*2, 2),8) &amp; " 0x" &amp;MID(Table1[[#This Row],[statusRaw]],1+HEX2DEC(LEFT(AU$1,2))*2, 2)</f>
        <v>00000000 0x00</v>
      </c>
      <c r="AV93" s="3">
        <f>HEX2DEC(MID(Table1[[#This Row],[statusRaw]],1+HEX2DEC(LEFT(AV$1,2))*2, 4))</f>
        <v>0</v>
      </c>
      <c r="AW93" s="3" t="str">
        <f>HEX2BIN(MID(Table1[[#This Row],[statusRaw]],1+HEX2DEC(LEFT(AW$1,2))*2, 2),8) &amp; " 0x" &amp;MID(Table1[[#This Row],[statusRaw]],1+HEX2DEC(LEFT(AW$1,2))*2, 2)</f>
        <v>00000000 0x00</v>
      </c>
      <c r="AX93" s="3" t="str">
        <f>HEX2BIN(MID(Table1[[#This Row],[statusRaw]],1+HEX2DEC(LEFT(AX$1,2))*2, 2),8) &amp; " 0x" &amp;MID(Table1[[#This Row],[statusRaw]],1+HEX2DEC(LEFT(AX$1,2))*2, 2)</f>
        <v>00000000 0x00</v>
      </c>
      <c r="AY93" s="3" t="str">
        <f>MID(Table1[[#This Row],[statusRaw]],1+HEX2DEC(LEFT(AY$1,2))*2, 8)</f>
        <v>00000000</v>
      </c>
      <c r="AZ93" s="3" t="str">
        <f>MID(Table1[[#This Row],[statusRaw]],1+HEX2DEC(LEFT(AZ$1,2))*2, 8)</f>
        <v>00000000</v>
      </c>
      <c r="BA93" s="3" t="str">
        <f>HEX2BIN(MID(Table1[[#This Row],[statusRaw]],1+HEX2DEC(LEFT(BA$1,2))*2, 2),8) &amp; " 0x" &amp;MID(Table1[[#This Row],[statusRaw]],1+HEX2DEC(LEFT(BA$1,2))*2, 2)</f>
        <v>00000000 0x00</v>
      </c>
      <c r="BB93" s="3" t="str">
        <f>HEX2BIN(MID(Table1[[#This Row],[statusRaw]],1+HEX2DEC(LEFT(BB$1,2))*2, 2),8) &amp; " 0x" &amp;MID(Table1[[#This Row],[statusRaw]],1+HEX2DEC(LEFT(BB$1,2))*2, 2)</f>
        <v>00000000 0x00</v>
      </c>
      <c r="BC93" s="3" t="str">
        <f>HEX2BIN(MID(Table1[[#This Row],[statusRaw]],1+HEX2DEC(LEFT(BC$1,2))*2, 2),8) &amp; " 0x" &amp;MID(Table1[[#This Row],[statusRaw]],1+HEX2DEC(LEFT(BC$1,2))*2, 2)</f>
        <v>00000000 0x00</v>
      </c>
      <c r="BD93" s="3" t="str">
        <f>MID(Table1[[#This Row],[statusRaw]],1+HEX2DEC(LEFT(BD$1,2))*2, 8)</f>
        <v>000008C5</v>
      </c>
      <c r="BE93" s="3" t="str">
        <f>MID(Table1[[#This Row],[statusRaw]],1+HEX2DEC(LEFT(BE$1,2))*2, 8)</f>
        <v>000008C5</v>
      </c>
      <c r="BF93" s="9"/>
    </row>
    <row r="94" spans="1:58" x14ac:dyDescent="0.25">
      <c r="A94" s="1" t="s">
        <v>282</v>
      </c>
      <c r="B94" s="1" t="s">
        <v>283</v>
      </c>
      <c r="C94" s="1" t="s">
        <v>7</v>
      </c>
      <c r="D94" s="1" t="s">
        <v>284</v>
      </c>
      <c r="E94" s="1">
        <v>13</v>
      </c>
      <c r="F94" s="3" t="str">
        <f>HEX2BIN(MID(Table1[[#This Row],[statusRaw]],1+HEX2DEC(LEFT(F$1,2))*2, 2),8) &amp; " 0x" &amp;MID(Table1[[#This Row],[statusRaw]],1+HEX2DEC(LEFT(F$1,2))*2, 2)</f>
        <v>01010000 0x50</v>
      </c>
      <c r="G94" s="3" t="b">
        <f>MID(Table1[[#This Row],[03 - pump status (1)]],1,1)="1"</f>
        <v>0</v>
      </c>
      <c r="H94" s="3" t="b">
        <f>MID(Table1[[#This Row],[03 - pump status (1)]],2,1)="1"</f>
        <v>1</v>
      </c>
      <c r="I94" s="3" t="b">
        <f>MID(Table1[[#This Row],[03 - pump status (1)]],3,1)="1"</f>
        <v>0</v>
      </c>
      <c r="J94" s="3" t="b">
        <f>MID(Table1[[#This Row],[03 - pump status (1)]],4,1)="1"</f>
        <v>1</v>
      </c>
      <c r="K94" s="3" t="b">
        <f>MID(Table1[[#This Row],[03 - pump status (1)]],5,1)="1"</f>
        <v>0</v>
      </c>
      <c r="L94" s="3" t="b">
        <f>MID(Table1[[#This Row],[03 - pump status (1)]],6,1)="1"</f>
        <v>0</v>
      </c>
      <c r="M94" s="3" t="b">
        <f>MID(Table1[[#This Row],[03 - pump status (1)]],7,1)="1"</f>
        <v>0</v>
      </c>
      <c r="N94" s="3" t="b">
        <f>MID(Table1[[#This Row],[03 - pump status (1)]],8,1)="1"</f>
        <v>0</v>
      </c>
      <c r="O94" s="3" t="str">
        <f>MID(Table1[[#This Row],[statusRaw]],1+HEX2DEC(LEFT(O$1,2))*2, 8)</f>
        <v>00000000</v>
      </c>
      <c r="P94" s="3" t="str">
        <f>MID(Table1[[#This Row],[statusRaw]],1+HEX2DEC(LEFT(P$1,2))*2, 8)</f>
        <v>00000000</v>
      </c>
      <c r="Q94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94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94" s="3">
        <f>HEX2DEC(MID(Table1[[#This Row],[statusRaw]],1+HEX2DEC(LEFT(S$1,2))*2, 8))/10000</f>
        <v>1.3</v>
      </c>
      <c r="T94" s="3" t="str">
        <f>MID(Table1[[#This Row],[statusRaw]],1+HEX2DEC(LEFT(T$1,2))*2, 8)</f>
        <v>2789C7BF</v>
      </c>
      <c r="U94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94" s="3" t="str">
        <f>HEX2BIN(MID(Table1[[#This Row],[statusRaw]],1+HEX2DEC(LEFT(V$1,2))*2, 2),8) &amp; " 0x" &amp;MID(Table1[[#This Row],[statusRaw]],1+HEX2DEC(LEFT(V$1,2))*2, 2)</f>
        <v>00000001 0x01</v>
      </c>
      <c r="W94" s="3">
        <f>HEX2DEC(MID(Table1[[#This Row],[statusRaw]],1+HEX2DEC(LEFT(W$1,2))*2, 8))/10000</f>
        <v>0.5</v>
      </c>
      <c r="X94" s="3">
        <f>HEX2DEC(MID(Table1[[#This Row],[statusRaw]],1+HEX2DEC(LEFT(X$1,2))*2, 8))/10000</f>
        <v>0</v>
      </c>
      <c r="Y94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94" s="3">
        <f>HEX2DEC(MID(Table1[[#This Row],[statusRaw]],1+HEX2DEC(LEFT(Z$1,2))*2, 8))/10000</f>
        <v>6.1</v>
      </c>
      <c r="AA94" s="3">
        <f>HEX2DEC(MID(Table1[[#This Row],[statusRaw]],1+HEX2DEC(LEFT(AA$1,2))*2, 2))</f>
        <v>50</v>
      </c>
      <c r="AB94" s="3">
        <f>HEX2DEC(MID(Table1[[#This Row],[statusRaw]],1+HEX2DEC(LEFT(AB$1,2))*2, 8))/10000</f>
        <v>82.875</v>
      </c>
      <c r="AC94" s="3">
        <f>HEX2DEC(MID(Table1[[#This Row],[statusRaw]],1+HEX2DEC(LEFT(AC$1,2))*2, 2))</f>
        <v>25</v>
      </c>
      <c r="AD94" s="3">
        <f>HEX2DEC(MID(Table1[[#This Row],[statusRaw]],1+HEX2DEC(LEFT(AD$1,2))*2, 2))</f>
        <v>0</v>
      </c>
      <c r="AE94" s="3">
        <f>HEX2DEC(MID(Table1[[#This Row],[statusRaw]],1+HEX2DEC(LEFT(AE$1,2))*2, 8))/10000</f>
        <v>2</v>
      </c>
      <c r="AF94" s="3">
        <f>IF(AND(Table1[[#This Row],[cgm]],NOT(Table1[[#This Row],[35 - SGV special bit (2)]])), _xlfn.BITAND(HEX2DEC(MID(Table1[[#This Row],[statusRaw]],1+HEX2DEC(LEFT(AF$1,2))*2, 4)),HEX2DEC("1FF")),"")</f>
        <v>203</v>
      </c>
      <c r="AG94" s="3" t="b">
        <f>_xlfn.BITAND(HEX2DEC(MID(Table1[[#This Row],[statusRaw]],1+HEX2DEC(LEFT(AG$1,2))*2, 4)),512)=512</f>
        <v>0</v>
      </c>
      <c r="AH94" s="3" t="str">
        <f>MID(Table1[[#This Row],[statusRaw]],1+HEX2DEC(LEFT(AF$1,2))*2, 8)</f>
        <v>00CB8673</v>
      </c>
      <c r="AI94" s="3" t="str">
        <f>MID(Table1[[#This Row],[statusRaw]],1+HEX2DEC(LEFT(AH$1,2))*2, 8)</f>
        <v>8673D89C</v>
      </c>
      <c r="AJ94" s="3" t="str">
        <f>HEX2BIN(MID(Table1[[#This Row],[statusRaw]],1+HEX2DEC(LEFT(AJ$1,2))*2, 2),8) &amp; " 0x" &amp;MID(Table1[[#This Row],[statusRaw]],1+HEX2DEC(LEFT(AJ$1,2))*2, 2)</f>
        <v>00000001 0x01</v>
      </c>
      <c r="AK94" s="1" t="str">
        <f>HEX2BIN(MID(Table1[[#This Row],[statusRaw]],1+HEX2DEC(LEFT(AK$1,2))*2, 2),8) &amp; " 0x" &amp;MID(Table1[[#This Row],[statusRaw]],1+HEX2DEC(LEFT(AK$1,2))*2, 2)</f>
        <v>01100000 0x60</v>
      </c>
      <c r="AL94" s="1" t="str">
        <f>VLOOKUP(Table1[[#This Row],[40 trend]],'Arrow status mapping'!$A$1:$B$8,2,FALSE)</f>
        <v>No arrows</v>
      </c>
      <c r="AM94" s="3" t="str">
        <f>HEX2BIN(MID(Table1[[#This Row],[statusRaw]],1+HEX2DEC(LEFT(AM$1,2))*2, 2),8) &amp; " 0x" &amp;MID(Table1[[#This Row],[statusRaw]],1+HEX2DEC(LEFT(AM$1,2))*2, 2)</f>
        <v>00010000 0x10</v>
      </c>
      <c r="AN94" s="3" t="str">
        <f>HEX2BIN(MID(Table1[[#This Row],[statusRaw]],1+HEX2DEC(LEFT(AN$1,2))*2, 2),8) &amp; " 0x" &amp;MID(Table1[[#This Row],[statusRaw]],1+HEX2DEC(LEFT(AN$1,2))*2, 2)</f>
        <v>00000000 0x00</v>
      </c>
      <c r="AO94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0x0299 665</v>
      </c>
      <c r="AP94" s="1" t="str">
        <f>HEX2BIN(MID(Table1[[#This Row],[statusRaw]],1+HEX2DEC(LEFT(AP$1,2))*2, 2),8) &amp; " 0x" &amp;MID(Table1[[#This Row],[statusRaw]],1+HEX2DEC(LEFT(AP$1,2))*2, 2)</f>
        <v>00101011 0x2B</v>
      </c>
      <c r="AQ94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0xFFD3 -45</v>
      </c>
      <c r="AR94" s="3">
        <f>TRUNC(_xlfn.NUMBERVALUE(RIGHT(Table1[[#This Row],[46 rate of change (2)]],LEN(Table1[[#This Row],[46 rate of change (2)]])-7))/100)</f>
        <v>0</v>
      </c>
      <c r="AS94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94" s="3" t="b">
        <f>Table1[[#This Row],[calc arrow]]=Table1[[#This Row],[trend]]</f>
        <v>1</v>
      </c>
      <c r="AU94" s="3" t="str">
        <f>HEX2BIN(MID(Table1[[#This Row],[statusRaw]],1+HEX2DEC(LEFT(AU$1,2))*2, 2),8) &amp; " 0x" &amp;MID(Table1[[#This Row],[statusRaw]],1+HEX2DEC(LEFT(AU$1,2))*2, 2)</f>
        <v>00000000 0x00</v>
      </c>
      <c r="AV94" s="3">
        <f>HEX2DEC(MID(Table1[[#This Row],[statusRaw]],1+HEX2DEC(LEFT(AV$1,2))*2, 4))</f>
        <v>0</v>
      </c>
      <c r="AW94" s="3" t="str">
        <f>HEX2BIN(MID(Table1[[#This Row],[statusRaw]],1+HEX2DEC(LEFT(AW$1,2))*2, 2),8) &amp; " 0x" &amp;MID(Table1[[#This Row],[statusRaw]],1+HEX2DEC(LEFT(AW$1,2))*2, 2)</f>
        <v>00000000 0x00</v>
      </c>
      <c r="AX94" s="3" t="str">
        <f>HEX2BIN(MID(Table1[[#This Row],[statusRaw]],1+HEX2DEC(LEFT(AX$1,2))*2, 2),8) &amp; " 0x" &amp;MID(Table1[[#This Row],[statusRaw]],1+HEX2DEC(LEFT(AX$1,2))*2, 2)</f>
        <v>00000000 0x00</v>
      </c>
      <c r="AY94" s="3" t="str">
        <f>MID(Table1[[#This Row],[statusRaw]],1+HEX2DEC(LEFT(AY$1,2))*2, 8)</f>
        <v>00000000</v>
      </c>
      <c r="AZ94" s="3" t="str">
        <f>MID(Table1[[#This Row],[statusRaw]],1+HEX2DEC(LEFT(AZ$1,2))*2, 8)</f>
        <v>00000000</v>
      </c>
      <c r="BA94" s="3" t="str">
        <f>HEX2BIN(MID(Table1[[#This Row],[statusRaw]],1+HEX2DEC(LEFT(BA$1,2))*2, 2),8) &amp; " 0x" &amp;MID(Table1[[#This Row],[statusRaw]],1+HEX2DEC(LEFT(BA$1,2))*2, 2)</f>
        <v>00000000 0x00</v>
      </c>
      <c r="BB94" s="3" t="str">
        <f>HEX2BIN(MID(Table1[[#This Row],[statusRaw]],1+HEX2DEC(LEFT(BB$1,2))*2, 2),8) &amp; " 0x" &amp;MID(Table1[[#This Row],[statusRaw]],1+HEX2DEC(LEFT(BB$1,2))*2, 2)</f>
        <v>00000000 0x00</v>
      </c>
      <c r="BC94" s="3" t="str">
        <f>HEX2BIN(MID(Table1[[#This Row],[statusRaw]],1+HEX2DEC(LEFT(BC$1,2))*2, 2),8) &amp; " 0x" &amp;MID(Table1[[#This Row],[statusRaw]],1+HEX2DEC(LEFT(BC$1,2))*2, 2)</f>
        <v>00000000 0x00</v>
      </c>
      <c r="BD94" s="3" t="str">
        <f>MID(Table1[[#This Row],[statusRaw]],1+HEX2DEC(LEFT(BD$1,2))*2, 8)</f>
        <v>000008C5</v>
      </c>
      <c r="BE94" s="3" t="str">
        <f>MID(Table1[[#This Row],[statusRaw]],1+HEX2DEC(LEFT(BE$1,2))*2, 8)</f>
        <v>000008C5</v>
      </c>
      <c r="BF94" s="9"/>
    </row>
    <row r="95" spans="1:58" x14ac:dyDescent="0.25">
      <c r="A95" s="1" t="s">
        <v>285</v>
      </c>
      <c r="B95" s="1" t="s">
        <v>286</v>
      </c>
      <c r="C95" s="1" t="s">
        <v>7</v>
      </c>
      <c r="D95" s="1" t="s">
        <v>287</v>
      </c>
      <c r="E95" s="1">
        <v>13</v>
      </c>
      <c r="F95" s="3" t="str">
        <f>HEX2BIN(MID(Table1[[#This Row],[statusRaw]],1+HEX2DEC(LEFT(F$1,2))*2, 2),8) &amp; " 0x" &amp;MID(Table1[[#This Row],[statusRaw]],1+HEX2DEC(LEFT(F$1,2))*2, 2)</f>
        <v>01010000 0x50</v>
      </c>
      <c r="G95" s="3" t="b">
        <f>MID(Table1[[#This Row],[03 - pump status (1)]],1,1)="1"</f>
        <v>0</v>
      </c>
      <c r="H95" s="3" t="b">
        <f>MID(Table1[[#This Row],[03 - pump status (1)]],2,1)="1"</f>
        <v>1</v>
      </c>
      <c r="I95" s="3" t="b">
        <f>MID(Table1[[#This Row],[03 - pump status (1)]],3,1)="1"</f>
        <v>0</v>
      </c>
      <c r="J95" s="3" t="b">
        <f>MID(Table1[[#This Row],[03 - pump status (1)]],4,1)="1"</f>
        <v>1</v>
      </c>
      <c r="K95" s="3" t="b">
        <f>MID(Table1[[#This Row],[03 - pump status (1)]],5,1)="1"</f>
        <v>0</v>
      </c>
      <c r="L95" s="3" t="b">
        <f>MID(Table1[[#This Row],[03 - pump status (1)]],6,1)="1"</f>
        <v>0</v>
      </c>
      <c r="M95" s="3" t="b">
        <f>MID(Table1[[#This Row],[03 - pump status (1)]],7,1)="1"</f>
        <v>0</v>
      </c>
      <c r="N95" s="3" t="b">
        <f>MID(Table1[[#This Row],[03 - pump status (1)]],8,1)="1"</f>
        <v>0</v>
      </c>
      <c r="O95" s="3" t="str">
        <f>MID(Table1[[#This Row],[statusRaw]],1+HEX2DEC(LEFT(O$1,2))*2, 8)</f>
        <v>00000000</v>
      </c>
      <c r="P95" s="3" t="str">
        <f>MID(Table1[[#This Row],[statusRaw]],1+HEX2DEC(LEFT(P$1,2))*2, 8)</f>
        <v>00000000</v>
      </c>
      <c r="Q95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95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95" s="3">
        <f>HEX2DEC(MID(Table1[[#This Row],[statusRaw]],1+HEX2DEC(LEFT(S$1,2))*2, 8))/10000</f>
        <v>1.3</v>
      </c>
      <c r="T95" s="3" t="str">
        <f>MID(Table1[[#This Row],[statusRaw]],1+HEX2DEC(LEFT(T$1,2))*2, 8)</f>
        <v>2789C7BF</v>
      </c>
      <c r="U95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95" s="3" t="str">
        <f>HEX2BIN(MID(Table1[[#This Row],[statusRaw]],1+HEX2DEC(LEFT(V$1,2))*2, 2),8) &amp; " 0x" &amp;MID(Table1[[#This Row],[statusRaw]],1+HEX2DEC(LEFT(V$1,2))*2, 2)</f>
        <v>00000001 0x01</v>
      </c>
      <c r="W95" s="3">
        <f>HEX2DEC(MID(Table1[[#This Row],[statusRaw]],1+HEX2DEC(LEFT(W$1,2))*2, 8))/10000</f>
        <v>0.5</v>
      </c>
      <c r="X95" s="3">
        <f>HEX2DEC(MID(Table1[[#This Row],[statusRaw]],1+HEX2DEC(LEFT(X$1,2))*2, 8))/10000</f>
        <v>0</v>
      </c>
      <c r="Y95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95" s="3">
        <f>HEX2DEC(MID(Table1[[#This Row],[statusRaw]],1+HEX2DEC(LEFT(Z$1,2))*2, 8))/10000</f>
        <v>6</v>
      </c>
      <c r="AA95" s="3">
        <f>HEX2DEC(MID(Table1[[#This Row],[statusRaw]],1+HEX2DEC(LEFT(AA$1,2))*2, 2))</f>
        <v>50</v>
      </c>
      <c r="AB95" s="3">
        <f>HEX2DEC(MID(Table1[[#This Row],[statusRaw]],1+HEX2DEC(LEFT(AB$1,2))*2, 8))/10000</f>
        <v>82.974999999999994</v>
      </c>
      <c r="AC95" s="3">
        <f>HEX2DEC(MID(Table1[[#This Row],[statusRaw]],1+HEX2DEC(LEFT(AC$1,2))*2, 2))</f>
        <v>25</v>
      </c>
      <c r="AD95" s="3">
        <f>HEX2DEC(MID(Table1[[#This Row],[statusRaw]],1+HEX2DEC(LEFT(AD$1,2))*2, 2))</f>
        <v>0</v>
      </c>
      <c r="AE95" s="3">
        <f>HEX2DEC(MID(Table1[[#This Row],[statusRaw]],1+HEX2DEC(LEFT(AE$1,2))*2, 8))/10000</f>
        <v>2.2999999999999998</v>
      </c>
      <c r="AF95" s="3">
        <f>IF(AND(Table1[[#This Row],[cgm]],NOT(Table1[[#This Row],[35 - SGV special bit (2)]])), _xlfn.BITAND(HEX2DEC(MID(Table1[[#This Row],[statusRaw]],1+HEX2DEC(LEFT(AF$1,2))*2, 4)),HEX2DEC("1FF")),"")</f>
        <v>202</v>
      </c>
      <c r="AG95" s="3" t="b">
        <f>_xlfn.BITAND(HEX2DEC(MID(Table1[[#This Row],[statusRaw]],1+HEX2DEC(LEFT(AG$1,2))*2, 4)),512)=512</f>
        <v>0</v>
      </c>
      <c r="AH95" s="3" t="str">
        <f>MID(Table1[[#This Row],[statusRaw]],1+HEX2DEC(LEFT(AF$1,2))*2, 8)</f>
        <v>00CA8673</v>
      </c>
      <c r="AI95" s="3" t="str">
        <f>MID(Table1[[#This Row],[statusRaw]],1+HEX2DEC(LEFT(AH$1,2))*2, 8)</f>
        <v>8673D518</v>
      </c>
      <c r="AJ95" s="3" t="str">
        <f>HEX2BIN(MID(Table1[[#This Row],[statusRaw]],1+HEX2DEC(LEFT(AJ$1,2))*2, 2),8) &amp; " 0x" &amp;MID(Table1[[#This Row],[statusRaw]],1+HEX2DEC(LEFT(AJ$1,2))*2, 2)</f>
        <v>00000101 0x05</v>
      </c>
      <c r="AK95" s="1" t="str">
        <f>HEX2BIN(MID(Table1[[#This Row],[statusRaw]],1+HEX2DEC(LEFT(AK$1,2))*2, 2),8) &amp; " 0x" &amp;MID(Table1[[#This Row],[statusRaw]],1+HEX2DEC(LEFT(AK$1,2))*2, 2)</f>
        <v>01100000 0x60</v>
      </c>
      <c r="AL95" s="1" t="str">
        <f>VLOOKUP(Table1[[#This Row],[40 trend]],'Arrow status mapping'!$A$1:$B$8,2,FALSE)</f>
        <v>No arrows</v>
      </c>
      <c r="AM95" s="3" t="str">
        <f>HEX2BIN(MID(Table1[[#This Row],[statusRaw]],1+HEX2DEC(LEFT(AM$1,2))*2, 2),8) &amp; " 0x" &amp;MID(Table1[[#This Row],[statusRaw]],1+HEX2DEC(LEFT(AM$1,2))*2, 2)</f>
        <v>00010000 0x10</v>
      </c>
      <c r="AN95" s="3" t="str">
        <f>HEX2BIN(MID(Table1[[#This Row],[statusRaw]],1+HEX2DEC(LEFT(AN$1,2))*2, 2),8) &amp; " 0x" &amp;MID(Table1[[#This Row],[statusRaw]],1+HEX2DEC(LEFT(AN$1,2))*2, 2)</f>
        <v>00000000 0x00</v>
      </c>
      <c r="AO95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0x02A8 680</v>
      </c>
      <c r="AP95" s="1" t="str">
        <f>HEX2BIN(MID(Table1[[#This Row],[statusRaw]],1+HEX2DEC(LEFT(AP$1,2))*2, 2),8) &amp; " 0x" &amp;MID(Table1[[#This Row],[statusRaw]],1+HEX2DEC(LEFT(AP$1,2))*2, 2)</f>
        <v>00101011 0x2B</v>
      </c>
      <c r="AQ95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0x0013 19</v>
      </c>
      <c r="AR95" s="3">
        <f>TRUNC(_xlfn.NUMBERVALUE(RIGHT(Table1[[#This Row],[46 rate of change (2)]],LEN(Table1[[#This Row],[46 rate of change (2)]])-7))/100)</f>
        <v>0</v>
      </c>
      <c r="AS95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95" s="3" t="b">
        <f>Table1[[#This Row],[calc arrow]]=Table1[[#This Row],[trend]]</f>
        <v>1</v>
      </c>
      <c r="AU95" s="3" t="str">
        <f>HEX2BIN(MID(Table1[[#This Row],[statusRaw]],1+HEX2DEC(LEFT(AU$1,2))*2, 2),8) &amp; " 0x" &amp;MID(Table1[[#This Row],[statusRaw]],1+HEX2DEC(LEFT(AU$1,2))*2, 2)</f>
        <v>00000000 0x00</v>
      </c>
      <c r="AV95" s="3">
        <f>HEX2DEC(MID(Table1[[#This Row],[statusRaw]],1+HEX2DEC(LEFT(AV$1,2))*2, 4))</f>
        <v>0</v>
      </c>
      <c r="AW95" s="3" t="str">
        <f>HEX2BIN(MID(Table1[[#This Row],[statusRaw]],1+HEX2DEC(LEFT(AW$1,2))*2, 2),8) &amp; " 0x" &amp;MID(Table1[[#This Row],[statusRaw]],1+HEX2DEC(LEFT(AW$1,2))*2, 2)</f>
        <v>00000000 0x00</v>
      </c>
      <c r="AX95" s="3" t="str">
        <f>HEX2BIN(MID(Table1[[#This Row],[statusRaw]],1+HEX2DEC(LEFT(AX$1,2))*2, 2),8) &amp; " 0x" &amp;MID(Table1[[#This Row],[statusRaw]],1+HEX2DEC(LEFT(AX$1,2))*2, 2)</f>
        <v>00000000 0x00</v>
      </c>
      <c r="AY95" s="3" t="str">
        <f>MID(Table1[[#This Row],[statusRaw]],1+HEX2DEC(LEFT(AY$1,2))*2, 8)</f>
        <v>00000000</v>
      </c>
      <c r="AZ95" s="3" t="str">
        <f>MID(Table1[[#This Row],[statusRaw]],1+HEX2DEC(LEFT(AZ$1,2))*2, 8)</f>
        <v>00000000</v>
      </c>
      <c r="BA95" s="3" t="str">
        <f>HEX2BIN(MID(Table1[[#This Row],[statusRaw]],1+HEX2DEC(LEFT(BA$1,2))*2, 2),8) &amp; " 0x" &amp;MID(Table1[[#This Row],[statusRaw]],1+HEX2DEC(LEFT(BA$1,2))*2, 2)</f>
        <v>00000000 0x00</v>
      </c>
      <c r="BB95" s="3" t="str">
        <f>HEX2BIN(MID(Table1[[#This Row],[statusRaw]],1+HEX2DEC(LEFT(BB$1,2))*2, 2),8) &amp; " 0x" &amp;MID(Table1[[#This Row],[statusRaw]],1+HEX2DEC(LEFT(BB$1,2))*2, 2)</f>
        <v>00000000 0x00</v>
      </c>
      <c r="BC95" s="3" t="str">
        <f>HEX2BIN(MID(Table1[[#This Row],[statusRaw]],1+HEX2DEC(LEFT(BC$1,2))*2, 2),8) &amp; " 0x" &amp;MID(Table1[[#This Row],[statusRaw]],1+HEX2DEC(LEFT(BC$1,2))*2, 2)</f>
        <v>00000000 0x00</v>
      </c>
      <c r="BD95" s="3" t="str">
        <f>MID(Table1[[#This Row],[statusRaw]],1+HEX2DEC(LEFT(BD$1,2))*2, 8)</f>
        <v>000008C5</v>
      </c>
      <c r="BE95" s="3" t="str">
        <f>MID(Table1[[#This Row],[statusRaw]],1+HEX2DEC(LEFT(BE$1,2))*2, 8)</f>
        <v>000008C5</v>
      </c>
      <c r="BF95" s="9"/>
    </row>
    <row r="96" spans="1:58" x14ac:dyDescent="0.25">
      <c r="A96" s="1" t="s">
        <v>288</v>
      </c>
      <c r="B96" s="1" t="s">
        <v>289</v>
      </c>
      <c r="C96" s="1" t="s">
        <v>7</v>
      </c>
      <c r="D96" s="1" t="s">
        <v>290</v>
      </c>
      <c r="E96" s="1">
        <v>13</v>
      </c>
      <c r="F96" s="3" t="str">
        <f>HEX2BIN(MID(Table1[[#This Row],[statusRaw]],1+HEX2DEC(LEFT(F$1,2))*2, 2),8) &amp; " 0x" &amp;MID(Table1[[#This Row],[statusRaw]],1+HEX2DEC(LEFT(F$1,2))*2, 2)</f>
        <v>01010000 0x50</v>
      </c>
      <c r="G96" s="3" t="b">
        <f>MID(Table1[[#This Row],[03 - pump status (1)]],1,1)="1"</f>
        <v>0</v>
      </c>
      <c r="H96" s="3" t="b">
        <f>MID(Table1[[#This Row],[03 - pump status (1)]],2,1)="1"</f>
        <v>1</v>
      </c>
      <c r="I96" s="3" t="b">
        <f>MID(Table1[[#This Row],[03 - pump status (1)]],3,1)="1"</f>
        <v>0</v>
      </c>
      <c r="J96" s="3" t="b">
        <f>MID(Table1[[#This Row],[03 - pump status (1)]],4,1)="1"</f>
        <v>1</v>
      </c>
      <c r="K96" s="3" t="b">
        <f>MID(Table1[[#This Row],[03 - pump status (1)]],5,1)="1"</f>
        <v>0</v>
      </c>
      <c r="L96" s="3" t="b">
        <f>MID(Table1[[#This Row],[03 - pump status (1)]],6,1)="1"</f>
        <v>0</v>
      </c>
      <c r="M96" s="3" t="b">
        <f>MID(Table1[[#This Row],[03 - pump status (1)]],7,1)="1"</f>
        <v>0</v>
      </c>
      <c r="N96" s="3" t="b">
        <f>MID(Table1[[#This Row],[03 - pump status (1)]],8,1)="1"</f>
        <v>0</v>
      </c>
      <c r="O96" s="3" t="str">
        <f>MID(Table1[[#This Row],[statusRaw]],1+HEX2DEC(LEFT(O$1,2))*2, 8)</f>
        <v>00000000</v>
      </c>
      <c r="P96" s="3" t="str">
        <f>MID(Table1[[#This Row],[statusRaw]],1+HEX2DEC(LEFT(P$1,2))*2, 8)</f>
        <v>00000000</v>
      </c>
      <c r="Q96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96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96" s="3">
        <f>HEX2DEC(MID(Table1[[#This Row],[statusRaw]],1+HEX2DEC(LEFT(S$1,2))*2, 8))/10000</f>
        <v>1.3</v>
      </c>
      <c r="T96" s="3" t="str">
        <f>MID(Table1[[#This Row],[statusRaw]],1+HEX2DEC(LEFT(T$1,2))*2, 8)</f>
        <v>2789C7BF</v>
      </c>
      <c r="U96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96" s="3" t="str">
        <f>HEX2BIN(MID(Table1[[#This Row],[statusRaw]],1+HEX2DEC(LEFT(V$1,2))*2, 2),8) &amp; " 0x" &amp;MID(Table1[[#This Row],[statusRaw]],1+HEX2DEC(LEFT(V$1,2))*2, 2)</f>
        <v>00000001 0x01</v>
      </c>
      <c r="W96" s="3">
        <f>HEX2DEC(MID(Table1[[#This Row],[statusRaw]],1+HEX2DEC(LEFT(W$1,2))*2, 8))/10000</f>
        <v>0.5</v>
      </c>
      <c r="X96" s="3">
        <f>HEX2DEC(MID(Table1[[#This Row],[statusRaw]],1+HEX2DEC(LEFT(X$1,2))*2, 8))/10000</f>
        <v>0</v>
      </c>
      <c r="Y96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96" s="3">
        <f>HEX2DEC(MID(Table1[[#This Row],[statusRaw]],1+HEX2DEC(LEFT(Z$1,2))*2, 8))/10000</f>
        <v>5.9749999999999996</v>
      </c>
      <c r="AA96" s="3">
        <f>HEX2DEC(MID(Table1[[#This Row],[statusRaw]],1+HEX2DEC(LEFT(AA$1,2))*2, 2))</f>
        <v>50</v>
      </c>
      <c r="AB96" s="3">
        <f>HEX2DEC(MID(Table1[[#This Row],[statusRaw]],1+HEX2DEC(LEFT(AB$1,2))*2, 8))/10000</f>
        <v>83</v>
      </c>
      <c r="AC96" s="3">
        <f>HEX2DEC(MID(Table1[[#This Row],[statusRaw]],1+HEX2DEC(LEFT(AC$1,2))*2, 2))</f>
        <v>25</v>
      </c>
      <c r="AD96" s="3">
        <f>HEX2DEC(MID(Table1[[#This Row],[statusRaw]],1+HEX2DEC(LEFT(AD$1,2))*2, 2))</f>
        <v>0</v>
      </c>
      <c r="AE96" s="3">
        <f>HEX2DEC(MID(Table1[[#This Row],[statusRaw]],1+HEX2DEC(LEFT(AE$1,2))*2, 8))/10000</f>
        <v>2.4</v>
      </c>
      <c r="AF96" s="3">
        <f>IF(AND(Table1[[#This Row],[cgm]],NOT(Table1[[#This Row],[35 - SGV special bit (2)]])), _xlfn.BITAND(HEX2DEC(MID(Table1[[#This Row],[statusRaw]],1+HEX2DEC(LEFT(AF$1,2))*2, 4)),HEX2DEC("1FF")),"")</f>
        <v>196</v>
      </c>
      <c r="AG96" s="3" t="b">
        <f>_xlfn.BITAND(HEX2DEC(MID(Table1[[#This Row],[statusRaw]],1+HEX2DEC(LEFT(AG$1,2))*2, 4)),512)=512</f>
        <v>0</v>
      </c>
      <c r="AH96" s="3" t="str">
        <f>MID(Table1[[#This Row],[statusRaw]],1+HEX2DEC(LEFT(AF$1,2))*2, 8)</f>
        <v>00C48673</v>
      </c>
      <c r="AI96" s="3" t="str">
        <f>MID(Table1[[#This Row],[statusRaw]],1+HEX2DEC(LEFT(AH$1,2))*2, 8)</f>
        <v>8673D3EC</v>
      </c>
      <c r="AJ96" s="3" t="str">
        <f>HEX2BIN(MID(Table1[[#This Row],[statusRaw]],1+HEX2DEC(LEFT(AJ$1,2))*2, 2),8) &amp; " 0x" &amp;MID(Table1[[#This Row],[statusRaw]],1+HEX2DEC(LEFT(AJ$1,2))*2, 2)</f>
        <v>00000000 0x00</v>
      </c>
      <c r="AK96" s="1" t="str">
        <f>HEX2BIN(MID(Table1[[#This Row],[statusRaw]],1+HEX2DEC(LEFT(AK$1,2))*2, 2),8) &amp; " 0x" &amp;MID(Table1[[#This Row],[statusRaw]],1+HEX2DEC(LEFT(AK$1,2))*2, 2)</f>
        <v>01100000 0x60</v>
      </c>
      <c r="AL96" s="1" t="str">
        <f>VLOOKUP(Table1[[#This Row],[40 trend]],'Arrow status mapping'!$A$1:$B$8,2,FALSE)</f>
        <v>No arrows</v>
      </c>
      <c r="AM96" s="3" t="str">
        <f>HEX2BIN(MID(Table1[[#This Row],[statusRaw]],1+HEX2DEC(LEFT(AM$1,2))*2, 2),8) &amp; " 0x" &amp;MID(Table1[[#This Row],[statusRaw]],1+HEX2DEC(LEFT(AM$1,2))*2, 2)</f>
        <v>00010000 0x10</v>
      </c>
      <c r="AN96" s="3" t="str">
        <f>HEX2BIN(MID(Table1[[#This Row],[statusRaw]],1+HEX2DEC(LEFT(AN$1,2))*2, 2),8) &amp; " 0x" &amp;MID(Table1[[#This Row],[statusRaw]],1+HEX2DEC(LEFT(AN$1,2))*2, 2)</f>
        <v>00000000 0x00</v>
      </c>
      <c r="AO96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0x02AD 685</v>
      </c>
      <c r="AP96" s="1" t="str">
        <f>HEX2BIN(MID(Table1[[#This Row],[statusRaw]],1+HEX2DEC(LEFT(AP$1,2))*2, 2),8) &amp; " 0x" &amp;MID(Table1[[#This Row],[statusRaw]],1+HEX2DEC(LEFT(AP$1,2))*2, 2)</f>
        <v>00101011 0x2B</v>
      </c>
      <c r="AQ96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0x0013 19</v>
      </c>
      <c r="AR96" s="3">
        <f>TRUNC(_xlfn.NUMBERVALUE(RIGHT(Table1[[#This Row],[46 rate of change (2)]],LEN(Table1[[#This Row],[46 rate of change (2)]])-7))/100)</f>
        <v>0</v>
      </c>
      <c r="AS96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96" s="3" t="b">
        <f>Table1[[#This Row],[calc arrow]]=Table1[[#This Row],[trend]]</f>
        <v>1</v>
      </c>
      <c r="AU96" s="3" t="str">
        <f>HEX2BIN(MID(Table1[[#This Row],[statusRaw]],1+HEX2DEC(LEFT(AU$1,2))*2, 2),8) &amp; " 0x" &amp;MID(Table1[[#This Row],[statusRaw]],1+HEX2DEC(LEFT(AU$1,2))*2, 2)</f>
        <v>00000000 0x00</v>
      </c>
      <c r="AV96" s="3">
        <f>HEX2DEC(MID(Table1[[#This Row],[statusRaw]],1+HEX2DEC(LEFT(AV$1,2))*2, 4))</f>
        <v>0</v>
      </c>
      <c r="AW96" s="3" t="str">
        <f>HEX2BIN(MID(Table1[[#This Row],[statusRaw]],1+HEX2DEC(LEFT(AW$1,2))*2, 2),8) &amp; " 0x" &amp;MID(Table1[[#This Row],[statusRaw]],1+HEX2DEC(LEFT(AW$1,2))*2, 2)</f>
        <v>00000000 0x00</v>
      </c>
      <c r="AX96" s="3" t="str">
        <f>HEX2BIN(MID(Table1[[#This Row],[statusRaw]],1+HEX2DEC(LEFT(AX$1,2))*2, 2),8) &amp; " 0x" &amp;MID(Table1[[#This Row],[statusRaw]],1+HEX2DEC(LEFT(AX$1,2))*2, 2)</f>
        <v>00000000 0x00</v>
      </c>
      <c r="AY96" s="3" t="str">
        <f>MID(Table1[[#This Row],[statusRaw]],1+HEX2DEC(LEFT(AY$1,2))*2, 8)</f>
        <v>00000000</v>
      </c>
      <c r="AZ96" s="3" t="str">
        <f>MID(Table1[[#This Row],[statusRaw]],1+HEX2DEC(LEFT(AZ$1,2))*2, 8)</f>
        <v>00000000</v>
      </c>
      <c r="BA96" s="3" t="str">
        <f>HEX2BIN(MID(Table1[[#This Row],[statusRaw]],1+HEX2DEC(LEFT(BA$1,2))*2, 2),8) &amp; " 0x" &amp;MID(Table1[[#This Row],[statusRaw]],1+HEX2DEC(LEFT(BA$1,2))*2, 2)</f>
        <v>00000000 0x00</v>
      </c>
      <c r="BB96" s="3" t="str">
        <f>HEX2BIN(MID(Table1[[#This Row],[statusRaw]],1+HEX2DEC(LEFT(BB$1,2))*2, 2),8) &amp; " 0x" &amp;MID(Table1[[#This Row],[statusRaw]],1+HEX2DEC(LEFT(BB$1,2))*2, 2)</f>
        <v>00000000 0x00</v>
      </c>
      <c r="BC96" s="3" t="str">
        <f>HEX2BIN(MID(Table1[[#This Row],[statusRaw]],1+HEX2DEC(LEFT(BC$1,2))*2, 2),8) &amp; " 0x" &amp;MID(Table1[[#This Row],[statusRaw]],1+HEX2DEC(LEFT(BC$1,2))*2, 2)</f>
        <v>00000000 0x00</v>
      </c>
      <c r="BD96" s="3" t="str">
        <f>MID(Table1[[#This Row],[statusRaw]],1+HEX2DEC(LEFT(BD$1,2))*2, 8)</f>
        <v>000008C5</v>
      </c>
      <c r="BE96" s="3" t="str">
        <f>MID(Table1[[#This Row],[statusRaw]],1+HEX2DEC(LEFT(BE$1,2))*2, 8)</f>
        <v>000008C5</v>
      </c>
      <c r="BF96" s="9"/>
    </row>
    <row r="97" spans="1:58" x14ac:dyDescent="0.25">
      <c r="A97" s="1" t="s">
        <v>291</v>
      </c>
      <c r="B97" s="1" t="s">
        <v>292</v>
      </c>
      <c r="C97" s="1" t="s">
        <v>7</v>
      </c>
      <c r="D97" s="1" t="s">
        <v>293</v>
      </c>
      <c r="E97" s="1">
        <v>13</v>
      </c>
      <c r="F97" s="3" t="str">
        <f>HEX2BIN(MID(Table1[[#This Row],[statusRaw]],1+HEX2DEC(LEFT(F$1,2))*2, 2),8) &amp; " 0x" &amp;MID(Table1[[#This Row],[statusRaw]],1+HEX2DEC(LEFT(F$1,2))*2, 2)</f>
        <v>01010000 0x50</v>
      </c>
      <c r="G97" s="3" t="b">
        <f>MID(Table1[[#This Row],[03 - pump status (1)]],1,1)="1"</f>
        <v>0</v>
      </c>
      <c r="H97" s="3" t="b">
        <f>MID(Table1[[#This Row],[03 - pump status (1)]],2,1)="1"</f>
        <v>1</v>
      </c>
      <c r="I97" s="3" t="b">
        <f>MID(Table1[[#This Row],[03 - pump status (1)]],3,1)="1"</f>
        <v>0</v>
      </c>
      <c r="J97" s="3" t="b">
        <f>MID(Table1[[#This Row],[03 - pump status (1)]],4,1)="1"</f>
        <v>1</v>
      </c>
      <c r="K97" s="3" t="b">
        <f>MID(Table1[[#This Row],[03 - pump status (1)]],5,1)="1"</f>
        <v>0</v>
      </c>
      <c r="L97" s="3" t="b">
        <f>MID(Table1[[#This Row],[03 - pump status (1)]],6,1)="1"</f>
        <v>0</v>
      </c>
      <c r="M97" s="3" t="b">
        <f>MID(Table1[[#This Row],[03 - pump status (1)]],7,1)="1"</f>
        <v>0</v>
      </c>
      <c r="N97" s="3" t="b">
        <f>MID(Table1[[#This Row],[03 - pump status (1)]],8,1)="1"</f>
        <v>0</v>
      </c>
      <c r="O97" s="3" t="str">
        <f>MID(Table1[[#This Row],[statusRaw]],1+HEX2DEC(LEFT(O$1,2))*2, 8)</f>
        <v>00000000</v>
      </c>
      <c r="P97" s="3" t="str">
        <f>MID(Table1[[#This Row],[statusRaw]],1+HEX2DEC(LEFT(P$1,2))*2, 8)</f>
        <v>00000000</v>
      </c>
      <c r="Q97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97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97" s="3">
        <f>HEX2DEC(MID(Table1[[#This Row],[statusRaw]],1+HEX2DEC(LEFT(S$1,2))*2, 8))/10000</f>
        <v>1.3</v>
      </c>
      <c r="T97" s="3" t="str">
        <f>MID(Table1[[#This Row],[statusRaw]],1+HEX2DEC(LEFT(T$1,2))*2, 8)</f>
        <v>2789C7BF</v>
      </c>
      <c r="U97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97" s="3" t="str">
        <f>HEX2BIN(MID(Table1[[#This Row],[statusRaw]],1+HEX2DEC(LEFT(V$1,2))*2, 2),8) &amp; " 0x" &amp;MID(Table1[[#This Row],[statusRaw]],1+HEX2DEC(LEFT(V$1,2))*2, 2)</f>
        <v>00000001 0x01</v>
      </c>
      <c r="W97" s="3">
        <f>HEX2DEC(MID(Table1[[#This Row],[statusRaw]],1+HEX2DEC(LEFT(W$1,2))*2, 8))/10000</f>
        <v>0.5</v>
      </c>
      <c r="X97" s="3">
        <f>HEX2DEC(MID(Table1[[#This Row],[statusRaw]],1+HEX2DEC(LEFT(X$1,2))*2, 8))/10000</f>
        <v>0</v>
      </c>
      <c r="Y97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97" s="3">
        <f>HEX2DEC(MID(Table1[[#This Row],[statusRaw]],1+HEX2DEC(LEFT(Z$1,2))*2, 8))/10000</f>
        <v>5.9249999999999998</v>
      </c>
      <c r="AA97" s="3">
        <f>HEX2DEC(MID(Table1[[#This Row],[statusRaw]],1+HEX2DEC(LEFT(AA$1,2))*2, 2))</f>
        <v>50</v>
      </c>
      <c r="AB97" s="3">
        <f>HEX2DEC(MID(Table1[[#This Row],[statusRaw]],1+HEX2DEC(LEFT(AB$1,2))*2, 8))/10000</f>
        <v>83.05</v>
      </c>
      <c r="AC97" s="3">
        <f>HEX2DEC(MID(Table1[[#This Row],[statusRaw]],1+HEX2DEC(LEFT(AC$1,2))*2, 2))</f>
        <v>25</v>
      </c>
      <c r="AD97" s="3">
        <f>HEX2DEC(MID(Table1[[#This Row],[statusRaw]],1+HEX2DEC(LEFT(AD$1,2))*2, 2))</f>
        <v>0</v>
      </c>
      <c r="AE97" s="3">
        <f>HEX2DEC(MID(Table1[[#This Row],[statusRaw]],1+HEX2DEC(LEFT(AE$1,2))*2, 8))/10000</f>
        <v>2.5</v>
      </c>
      <c r="AF97" s="3">
        <f>IF(AND(Table1[[#This Row],[cgm]],NOT(Table1[[#This Row],[35 - SGV special bit (2)]])), _xlfn.BITAND(HEX2DEC(MID(Table1[[#This Row],[statusRaw]],1+HEX2DEC(LEFT(AF$1,2))*2, 4)),HEX2DEC("1FF")),"")</f>
        <v>194</v>
      </c>
      <c r="AG97" s="3" t="b">
        <f>_xlfn.BITAND(HEX2DEC(MID(Table1[[#This Row],[statusRaw]],1+HEX2DEC(LEFT(AG$1,2))*2, 4)),512)=512</f>
        <v>0</v>
      </c>
      <c r="AH97" s="3" t="str">
        <f>MID(Table1[[#This Row],[statusRaw]],1+HEX2DEC(LEFT(AF$1,2))*2, 8)</f>
        <v>00C28673</v>
      </c>
      <c r="AI97" s="3" t="str">
        <f>MID(Table1[[#This Row],[statusRaw]],1+HEX2DEC(LEFT(AH$1,2))*2, 8)</f>
        <v>8673D2C0</v>
      </c>
      <c r="AJ97" s="3" t="str">
        <f>HEX2BIN(MID(Table1[[#This Row],[statusRaw]],1+HEX2DEC(LEFT(AJ$1,2))*2, 2),8) &amp; " 0x" &amp;MID(Table1[[#This Row],[statusRaw]],1+HEX2DEC(LEFT(AJ$1,2))*2, 2)</f>
        <v>00000000 0x00</v>
      </c>
      <c r="AK97" s="1" t="str">
        <f>HEX2BIN(MID(Table1[[#This Row],[statusRaw]],1+HEX2DEC(LEFT(AK$1,2))*2, 2),8) &amp; " 0x" &amp;MID(Table1[[#This Row],[statusRaw]],1+HEX2DEC(LEFT(AK$1,2))*2, 2)</f>
        <v>01100000 0x60</v>
      </c>
      <c r="AL97" s="1" t="str">
        <f>VLOOKUP(Table1[[#This Row],[40 trend]],'Arrow status mapping'!$A$1:$B$8,2,FALSE)</f>
        <v>No arrows</v>
      </c>
      <c r="AM97" s="3" t="str">
        <f>HEX2BIN(MID(Table1[[#This Row],[statusRaw]],1+HEX2DEC(LEFT(AM$1,2))*2, 2),8) &amp; " 0x" &amp;MID(Table1[[#This Row],[statusRaw]],1+HEX2DEC(LEFT(AM$1,2))*2, 2)</f>
        <v>00010000 0x10</v>
      </c>
      <c r="AN97" s="3" t="str">
        <f>HEX2BIN(MID(Table1[[#This Row],[statusRaw]],1+HEX2DEC(LEFT(AN$1,2))*2, 2),8) &amp; " 0x" &amp;MID(Table1[[#This Row],[statusRaw]],1+HEX2DEC(LEFT(AN$1,2))*2, 2)</f>
        <v>00000000 0x00</v>
      </c>
      <c r="AO97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0x02B2 690</v>
      </c>
      <c r="AP97" s="1" t="str">
        <f>HEX2BIN(MID(Table1[[#This Row],[statusRaw]],1+HEX2DEC(LEFT(AP$1,2))*2, 2),8) &amp; " 0x" &amp;MID(Table1[[#This Row],[statusRaw]],1+HEX2DEC(LEFT(AP$1,2))*2, 2)</f>
        <v>00101011 0x2B</v>
      </c>
      <c r="AQ97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0x0006 6</v>
      </c>
      <c r="AR97" s="3">
        <f>TRUNC(_xlfn.NUMBERVALUE(RIGHT(Table1[[#This Row],[46 rate of change (2)]],LEN(Table1[[#This Row],[46 rate of change (2)]])-7))/100)</f>
        <v>0</v>
      </c>
      <c r="AS97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97" s="3" t="b">
        <f>Table1[[#This Row],[calc arrow]]=Table1[[#This Row],[trend]]</f>
        <v>1</v>
      </c>
      <c r="AU97" s="3" t="str">
        <f>HEX2BIN(MID(Table1[[#This Row],[statusRaw]],1+HEX2DEC(LEFT(AU$1,2))*2, 2),8) &amp; " 0x" &amp;MID(Table1[[#This Row],[statusRaw]],1+HEX2DEC(LEFT(AU$1,2))*2, 2)</f>
        <v>00000000 0x00</v>
      </c>
      <c r="AV97" s="3">
        <f>HEX2DEC(MID(Table1[[#This Row],[statusRaw]],1+HEX2DEC(LEFT(AV$1,2))*2, 4))</f>
        <v>0</v>
      </c>
      <c r="AW97" s="3" t="str">
        <f>HEX2BIN(MID(Table1[[#This Row],[statusRaw]],1+HEX2DEC(LEFT(AW$1,2))*2, 2),8) &amp; " 0x" &amp;MID(Table1[[#This Row],[statusRaw]],1+HEX2DEC(LEFT(AW$1,2))*2, 2)</f>
        <v>00000000 0x00</v>
      </c>
      <c r="AX97" s="3" t="str">
        <f>HEX2BIN(MID(Table1[[#This Row],[statusRaw]],1+HEX2DEC(LEFT(AX$1,2))*2, 2),8) &amp; " 0x" &amp;MID(Table1[[#This Row],[statusRaw]],1+HEX2DEC(LEFT(AX$1,2))*2, 2)</f>
        <v>00000000 0x00</v>
      </c>
      <c r="AY97" s="3" t="str">
        <f>MID(Table1[[#This Row],[statusRaw]],1+HEX2DEC(LEFT(AY$1,2))*2, 8)</f>
        <v>00000000</v>
      </c>
      <c r="AZ97" s="3" t="str">
        <f>MID(Table1[[#This Row],[statusRaw]],1+HEX2DEC(LEFT(AZ$1,2))*2, 8)</f>
        <v>00000000</v>
      </c>
      <c r="BA97" s="3" t="str">
        <f>HEX2BIN(MID(Table1[[#This Row],[statusRaw]],1+HEX2DEC(LEFT(BA$1,2))*2, 2),8) &amp; " 0x" &amp;MID(Table1[[#This Row],[statusRaw]],1+HEX2DEC(LEFT(BA$1,2))*2, 2)</f>
        <v>00000000 0x00</v>
      </c>
      <c r="BB97" s="3" t="str">
        <f>HEX2BIN(MID(Table1[[#This Row],[statusRaw]],1+HEX2DEC(LEFT(BB$1,2))*2, 2),8) &amp; " 0x" &amp;MID(Table1[[#This Row],[statusRaw]],1+HEX2DEC(LEFT(BB$1,2))*2, 2)</f>
        <v>00000000 0x00</v>
      </c>
      <c r="BC97" s="3" t="str">
        <f>HEX2BIN(MID(Table1[[#This Row],[statusRaw]],1+HEX2DEC(LEFT(BC$1,2))*2, 2),8) &amp; " 0x" &amp;MID(Table1[[#This Row],[statusRaw]],1+HEX2DEC(LEFT(BC$1,2))*2, 2)</f>
        <v>00000000 0x00</v>
      </c>
      <c r="BD97" s="3" t="str">
        <f>MID(Table1[[#This Row],[statusRaw]],1+HEX2DEC(LEFT(BD$1,2))*2, 8)</f>
        <v>000008C5</v>
      </c>
      <c r="BE97" s="3" t="str">
        <f>MID(Table1[[#This Row],[statusRaw]],1+HEX2DEC(LEFT(BE$1,2))*2, 8)</f>
        <v>000008C5</v>
      </c>
      <c r="BF97" s="9"/>
    </row>
    <row r="98" spans="1:58" x14ac:dyDescent="0.25">
      <c r="A98" s="1" t="s">
        <v>294</v>
      </c>
      <c r="B98" s="1" t="s">
        <v>295</v>
      </c>
      <c r="C98" s="1" t="s">
        <v>7</v>
      </c>
      <c r="D98" s="1" t="s">
        <v>296</v>
      </c>
      <c r="E98" s="1">
        <v>13</v>
      </c>
      <c r="F98" s="3" t="str">
        <f>HEX2BIN(MID(Table1[[#This Row],[statusRaw]],1+HEX2DEC(LEFT(F$1,2))*2, 2),8) &amp; " 0x" &amp;MID(Table1[[#This Row],[statusRaw]],1+HEX2DEC(LEFT(F$1,2))*2, 2)</f>
        <v>01010000 0x50</v>
      </c>
      <c r="G98" s="3" t="b">
        <f>MID(Table1[[#This Row],[03 - pump status (1)]],1,1)="1"</f>
        <v>0</v>
      </c>
      <c r="H98" s="3" t="b">
        <f>MID(Table1[[#This Row],[03 - pump status (1)]],2,1)="1"</f>
        <v>1</v>
      </c>
      <c r="I98" s="3" t="b">
        <f>MID(Table1[[#This Row],[03 - pump status (1)]],3,1)="1"</f>
        <v>0</v>
      </c>
      <c r="J98" s="3" t="b">
        <f>MID(Table1[[#This Row],[03 - pump status (1)]],4,1)="1"</f>
        <v>1</v>
      </c>
      <c r="K98" s="3" t="b">
        <f>MID(Table1[[#This Row],[03 - pump status (1)]],5,1)="1"</f>
        <v>0</v>
      </c>
      <c r="L98" s="3" t="b">
        <f>MID(Table1[[#This Row],[03 - pump status (1)]],6,1)="1"</f>
        <v>0</v>
      </c>
      <c r="M98" s="3" t="b">
        <f>MID(Table1[[#This Row],[03 - pump status (1)]],7,1)="1"</f>
        <v>0</v>
      </c>
      <c r="N98" s="3" t="b">
        <f>MID(Table1[[#This Row],[03 - pump status (1)]],8,1)="1"</f>
        <v>0</v>
      </c>
      <c r="O98" s="3" t="str">
        <f>MID(Table1[[#This Row],[statusRaw]],1+HEX2DEC(LEFT(O$1,2))*2, 8)</f>
        <v>00000000</v>
      </c>
      <c r="P98" s="3" t="str">
        <f>MID(Table1[[#This Row],[statusRaw]],1+HEX2DEC(LEFT(P$1,2))*2, 8)</f>
        <v>00000000</v>
      </c>
      <c r="Q98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98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98" s="3">
        <f>HEX2DEC(MID(Table1[[#This Row],[statusRaw]],1+HEX2DEC(LEFT(S$1,2))*2, 8))/10000</f>
        <v>1.3</v>
      </c>
      <c r="T98" s="3" t="str">
        <f>MID(Table1[[#This Row],[statusRaw]],1+HEX2DEC(LEFT(T$1,2))*2, 8)</f>
        <v>2789C7BF</v>
      </c>
      <c r="U98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98" s="3" t="str">
        <f>HEX2BIN(MID(Table1[[#This Row],[statusRaw]],1+HEX2DEC(LEFT(V$1,2))*2, 2),8) &amp; " 0x" &amp;MID(Table1[[#This Row],[statusRaw]],1+HEX2DEC(LEFT(V$1,2))*2, 2)</f>
        <v>00000001 0x01</v>
      </c>
      <c r="W98" s="3">
        <f>HEX2DEC(MID(Table1[[#This Row],[statusRaw]],1+HEX2DEC(LEFT(W$1,2))*2, 8))/10000</f>
        <v>0.5</v>
      </c>
      <c r="X98" s="3">
        <f>HEX2DEC(MID(Table1[[#This Row],[statusRaw]],1+HEX2DEC(LEFT(X$1,2))*2, 8))/10000</f>
        <v>0</v>
      </c>
      <c r="Y98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98" s="3">
        <f>HEX2DEC(MID(Table1[[#This Row],[statusRaw]],1+HEX2DEC(LEFT(Z$1,2))*2, 8))/10000</f>
        <v>5.85</v>
      </c>
      <c r="AA98" s="3">
        <f>HEX2DEC(MID(Table1[[#This Row],[statusRaw]],1+HEX2DEC(LEFT(AA$1,2))*2, 2))</f>
        <v>50</v>
      </c>
      <c r="AB98" s="3">
        <f>HEX2DEC(MID(Table1[[#This Row],[statusRaw]],1+HEX2DEC(LEFT(AB$1,2))*2, 8))/10000</f>
        <v>83.125</v>
      </c>
      <c r="AC98" s="3">
        <f>HEX2DEC(MID(Table1[[#This Row],[statusRaw]],1+HEX2DEC(LEFT(AC$1,2))*2, 2))</f>
        <v>25</v>
      </c>
      <c r="AD98" s="3">
        <f>HEX2DEC(MID(Table1[[#This Row],[statusRaw]],1+HEX2DEC(LEFT(AD$1,2))*2, 2))</f>
        <v>0</v>
      </c>
      <c r="AE98" s="3">
        <f>HEX2DEC(MID(Table1[[#This Row],[statusRaw]],1+HEX2DEC(LEFT(AE$1,2))*2, 8))/10000</f>
        <v>2.7</v>
      </c>
      <c r="AF98" s="3">
        <f>IF(AND(Table1[[#This Row],[cgm]],NOT(Table1[[#This Row],[35 - SGV special bit (2)]])), _xlfn.BITAND(HEX2DEC(MID(Table1[[#This Row],[statusRaw]],1+HEX2DEC(LEFT(AF$1,2))*2, 4)),HEX2DEC("1FF")),"")</f>
        <v>188</v>
      </c>
      <c r="AG98" s="3" t="b">
        <f>_xlfn.BITAND(HEX2DEC(MID(Table1[[#This Row],[statusRaw]],1+HEX2DEC(LEFT(AG$1,2))*2, 4)),512)=512</f>
        <v>0</v>
      </c>
      <c r="AH98" s="3" t="str">
        <f>MID(Table1[[#This Row],[statusRaw]],1+HEX2DEC(LEFT(AF$1,2))*2, 8)</f>
        <v>00BC8673</v>
      </c>
      <c r="AI98" s="3" t="str">
        <f>MID(Table1[[#This Row],[statusRaw]],1+HEX2DEC(LEFT(AH$1,2))*2, 8)</f>
        <v>8673D068</v>
      </c>
      <c r="AJ98" s="3" t="str">
        <f>HEX2BIN(MID(Table1[[#This Row],[statusRaw]],1+HEX2DEC(LEFT(AJ$1,2))*2, 2),8) &amp; " 0x" &amp;MID(Table1[[#This Row],[statusRaw]],1+HEX2DEC(LEFT(AJ$1,2))*2, 2)</f>
        <v>00000000 0x00</v>
      </c>
      <c r="AK98" s="1" t="str">
        <f>HEX2BIN(MID(Table1[[#This Row],[statusRaw]],1+HEX2DEC(LEFT(AK$1,2))*2, 2),8) &amp; " 0x" &amp;MID(Table1[[#This Row],[statusRaw]],1+HEX2DEC(LEFT(AK$1,2))*2, 2)</f>
        <v>01100000 0x60</v>
      </c>
      <c r="AL98" s="1" t="str">
        <f>VLOOKUP(Table1[[#This Row],[40 trend]],'Arrow status mapping'!$A$1:$B$8,2,FALSE)</f>
        <v>No arrows</v>
      </c>
      <c r="AM98" s="3" t="str">
        <f>HEX2BIN(MID(Table1[[#This Row],[statusRaw]],1+HEX2DEC(LEFT(AM$1,2))*2, 2),8) &amp; " 0x" &amp;MID(Table1[[#This Row],[statusRaw]],1+HEX2DEC(LEFT(AM$1,2))*2, 2)</f>
        <v>00010000 0x10</v>
      </c>
      <c r="AN98" s="3" t="str">
        <f>HEX2BIN(MID(Table1[[#This Row],[statusRaw]],1+HEX2DEC(LEFT(AN$1,2))*2, 2),8) &amp; " 0x" &amp;MID(Table1[[#This Row],[statusRaw]],1+HEX2DEC(LEFT(AN$1,2))*2, 2)</f>
        <v>00000000 0x00</v>
      </c>
      <c r="AO98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0x02BC 700</v>
      </c>
      <c r="AP98" s="1" t="str">
        <f>HEX2BIN(MID(Table1[[#This Row],[statusRaw]],1+HEX2DEC(LEFT(AP$1,2))*2, 2),8) &amp; " 0x" &amp;MID(Table1[[#This Row],[statusRaw]],1+HEX2DEC(LEFT(AP$1,2))*2, 2)</f>
        <v>00101011 0x2B</v>
      </c>
      <c r="AQ98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0xFFDB -37</v>
      </c>
      <c r="AR98" s="3">
        <f>TRUNC(_xlfn.NUMBERVALUE(RIGHT(Table1[[#This Row],[46 rate of change (2)]],LEN(Table1[[#This Row],[46 rate of change (2)]])-7))/100)</f>
        <v>0</v>
      </c>
      <c r="AS98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98" s="3" t="b">
        <f>Table1[[#This Row],[calc arrow]]=Table1[[#This Row],[trend]]</f>
        <v>1</v>
      </c>
      <c r="AU98" s="3" t="str">
        <f>HEX2BIN(MID(Table1[[#This Row],[statusRaw]],1+HEX2DEC(LEFT(AU$1,2))*2, 2),8) &amp; " 0x" &amp;MID(Table1[[#This Row],[statusRaw]],1+HEX2DEC(LEFT(AU$1,2))*2, 2)</f>
        <v>00000000 0x00</v>
      </c>
      <c r="AV98" s="3">
        <f>HEX2DEC(MID(Table1[[#This Row],[statusRaw]],1+HEX2DEC(LEFT(AV$1,2))*2, 4))</f>
        <v>0</v>
      </c>
      <c r="AW98" s="3" t="str">
        <f>HEX2BIN(MID(Table1[[#This Row],[statusRaw]],1+HEX2DEC(LEFT(AW$1,2))*2, 2),8) &amp; " 0x" &amp;MID(Table1[[#This Row],[statusRaw]],1+HEX2DEC(LEFT(AW$1,2))*2, 2)</f>
        <v>00000000 0x00</v>
      </c>
      <c r="AX98" s="3" t="str">
        <f>HEX2BIN(MID(Table1[[#This Row],[statusRaw]],1+HEX2DEC(LEFT(AX$1,2))*2, 2),8) &amp; " 0x" &amp;MID(Table1[[#This Row],[statusRaw]],1+HEX2DEC(LEFT(AX$1,2))*2, 2)</f>
        <v>00000000 0x00</v>
      </c>
      <c r="AY98" s="3" t="str">
        <f>MID(Table1[[#This Row],[statusRaw]],1+HEX2DEC(LEFT(AY$1,2))*2, 8)</f>
        <v>00000000</v>
      </c>
      <c r="AZ98" s="3" t="str">
        <f>MID(Table1[[#This Row],[statusRaw]],1+HEX2DEC(LEFT(AZ$1,2))*2, 8)</f>
        <v>00000000</v>
      </c>
      <c r="BA98" s="3" t="str">
        <f>HEX2BIN(MID(Table1[[#This Row],[statusRaw]],1+HEX2DEC(LEFT(BA$1,2))*2, 2),8) &amp; " 0x" &amp;MID(Table1[[#This Row],[statusRaw]],1+HEX2DEC(LEFT(BA$1,2))*2, 2)</f>
        <v>00000000 0x00</v>
      </c>
      <c r="BB98" s="3" t="str">
        <f>HEX2BIN(MID(Table1[[#This Row],[statusRaw]],1+HEX2DEC(LEFT(BB$1,2))*2, 2),8) &amp; " 0x" &amp;MID(Table1[[#This Row],[statusRaw]],1+HEX2DEC(LEFT(BB$1,2))*2, 2)</f>
        <v>00000000 0x00</v>
      </c>
      <c r="BC98" s="3" t="str">
        <f>HEX2BIN(MID(Table1[[#This Row],[statusRaw]],1+HEX2DEC(LEFT(BC$1,2))*2, 2),8) &amp; " 0x" &amp;MID(Table1[[#This Row],[statusRaw]],1+HEX2DEC(LEFT(BC$1,2))*2, 2)</f>
        <v>00000000 0x00</v>
      </c>
      <c r="BD98" s="3" t="str">
        <f>MID(Table1[[#This Row],[statusRaw]],1+HEX2DEC(LEFT(BD$1,2))*2, 8)</f>
        <v>000008C5</v>
      </c>
      <c r="BE98" s="3" t="str">
        <f>MID(Table1[[#This Row],[statusRaw]],1+HEX2DEC(LEFT(BE$1,2))*2, 8)</f>
        <v>000008C5</v>
      </c>
      <c r="BF98" s="9"/>
    </row>
    <row r="99" spans="1:58" x14ac:dyDescent="0.25">
      <c r="A99" s="1" t="s">
        <v>297</v>
      </c>
      <c r="B99" s="1" t="s">
        <v>298</v>
      </c>
      <c r="C99" s="1" t="s">
        <v>7</v>
      </c>
      <c r="D99" s="1" t="s">
        <v>299</v>
      </c>
      <c r="E99" s="1">
        <v>13</v>
      </c>
      <c r="F99" s="3" t="str">
        <f>HEX2BIN(MID(Table1[[#This Row],[statusRaw]],1+HEX2DEC(LEFT(F$1,2))*2, 2),8) &amp; " 0x" &amp;MID(Table1[[#This Row],[statusRaw]],1+HEX2DEC(LEFT(F$1,2))*2, 2)</f>
        <v>01010000 0x50</v>
      </c>
      <c r="G99" s="3" t="b">
        <f>MID(Table1[[#This Row],[03 - pump status (1)]],1,1)="1"</f>
        <v>0</v>
      </c>
      <c r="H99" s="3" t="b">
        <f>MID(Table1[[#This Row],[03 - pump status (1)]],2,1)="1"</f>
        <v>1</v>
      </c>
      <c r="I99" s="3" t="b">
        <f>MID(Table1[[#This Row],[03 - pump status (1)]],3,1)="1"</f>
        <v>0</v>
      </c>
      <c r="J99" s="3" t="b">
        <f>MID(Table1[[#This Row],[03 - pump status (1)]],4,1)="1"</f>
        <v>1</v>
      </c>
      <c r="K99" s="3" t="b">
        <f>MID(Table1[[#This Row],[03 - pump status (1)]],5,1)="1"</f>
        <v>0</v>
      </c>
      <c r="L99" s="3" t="b">
        <f>MID(Table1[[#This Row],[03 - pump status (1)]],6,1)="1"</f>
        <v>0</v>
      </c>
      <c r="M99" s="3" t="b">
        <f>MID(Table1[[#This Row],[03 - pump status (1)]],7,1)="1"</f>
        <v>0</v>
      </c>
      <c r="N99" s="3" t="b">
        <f>MID(Table1[[#This Row],[03 - pump status (1)]],8,1)="1"</f>
        <v>0</v>
      </c>
      <c r="O99" s="3" t="str">
        <f>MID(Table1[[#This Row],[statusRaw]],1+HEX2DEC(LEFT(O$1,2))*2, 8)</f>
        <v>00000000</v>
      </c>
      <c r="P99" s="3" t="str">
        <f>MID(Table1[[#This Row],[statusRaw]],1+HEX2DEC(LEFT(P$1,2))*2, 8)</f>
        <v>00000000</v>
      </c>
      <c r="Q99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99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99" s="3">
        <f>HEX2DEC(MID(Table1[[#This Row],[statusRaw]],1+HEX2DEC(LEFT(S$1,2))*2, 8))/10000</f>
        <v>0.9</v>
      </c>
      <c r="T99" s="3" t="str">
        <f>MID(Table1[[#This Row],[statusRaw]],1+HEX2DEC(LEFT(T$1,2))*2, 8)</f>
        <v>2789BBC5</v>
      </c>
      <c r="U99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0x2600 9728</v>
      </c>
      <c r="V99" s="3" t="str">
        <f>HEX2BIN(MID(Table1[[#This Row],[statusRaw]],1+HEX2DEC(LEFT(V$1,2))*2, 2),8) &amp; " 0x" &amp;MID(Table1[[#This Row],[statusRaw]],1+HEX2DEC(LEFT(V$1,2))*2, 2)</f>
        <v>00000001 0x01</v>
      </c>
      <c r="W99" s="3">
        <f>HEX2DEC(MID(Table1[[#This Row],[statusRaw]],1+HEX2DEC(LEFT(W$1,2))*2, 8))/10000</f>
        <v>0.5</v>
      </c>
      <c r="X99" s="3">
        <f>HEX2DEC(MID(Table1[[#This Row],[statusRaw]],1+HEX2DEC(LEFT(X$1,2))*2, 8))/10000</f>
        <v>0</v>
      </c>
      <c r="Y99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99" s="3">
        <f>HEX2DEC(MID(Table1[[#This Row],[statusRaw]],1+HEX2DEC(LEFT(Z$1,2))*2, 8))/10000</f>
        <v>5.75</v>
      </c>
      <c r="AA99" s="3">
        <f>HEX2DEC(MID(Table1[[#This Row],[statusRaw]],1+HEX2DEC(LEFT(AA$1,2))*2, 2))</f>
        <v>50</v>
      </c>
      <c r="AB99" s="3">
        <f>HEX2DEC(MID(Table1[[#This Row],[statusRaw]],1+HEX2DEC(LEFT(AB$1,2))*2, 8))/10000</f>
        <v>84.525000000000006</v>
      </c>
      <c r="AC99" s="3">
        <f>HEX2DEC(MID(Table1[[#This Row],[statusRaw]],1+HEX2DEC(LEFT(AC$1,2))*2, 2))</f>
        <v>25</v>
      </c>
      <c r="AD99" s="3">
        <f>HEX2DEC(MID(Table1[[#This Row],[statusRaw]],1+HEX2DEC(LEFT(AD$1,2))*2, 2))</f>
        <v>0</v>
      </c>
      <c r="AE99" s="3">
        <f>HEX2DEC(MID(Table1[[#This Row],[statusRaw]],1+HEX2DEC(LEFT(AE$1,2))*2, 8))/10000</f>
        <v>1.6</v>
      </c>
      <c r="AF99" s="3">
        <f>IF(AND(Table1[[#This Row],[cgm]],NOT(Table1[[#This Row],[35 - SGV special bit (2)]])), _xlfn.BITAND(HEX2DEC(MID(Table1[[#This Row],[statusRaw]],1+HEX2DEC(LEFT(AF$1,2))*2, 4)),HEX2DEC("1FF")),"")</f>
        <v>193</v>
      </c>
      <c r="AG99" s="3" t="b">
        <f>_xlfn.BITAND(HEX2DEC(MID(Table1[[#This Row],[statusRaw]],1+HEX2DEC(LEFT(AG$1,2))*2, 4)),512)=512</f>
        <v>0</v>
      </c>
      <c r="AH99" s="3" t="str">
        <f>MID(Table1[[#This Row],[statusRaw]],1+HEX2DEC(LEFT(AF$1,2))*2, 8)</f>
        <v>00C18673</v>
      </c>
      <c r="AI99" s="3" t="str">
        <f>MID(Table1[[#This Row],[statusRaw]],1+HEX2DEC(LEFT(AH$1,2))*2, 8)</f>
        <v>8673CE10</v>
      </c>
      <c r="AJ99" s="3" t="str">
        <f>HEX2BIN(MID(Table1[[#This Row],[statusRaw]],1+HEX2DEC(LEFT(AJ$1,2))*2, 2),8) &amp; " 0x" &amp;MID(Table1[[#This Row],[statusRaw]],1+HEX2DEC(LEFT(AJ$1,2))*2, 2)</f>
        <v>00000000 0x00</v>
      </c>
      <c r="AK99" s="1" t="str">
        <f>HEX2BIN(MID(Table1[[#This Row],[statusRaw]],1+HEX2DEC(LEFT(AK$1,2))*2, 2),8) &amp; " 0x" &amp;MID(Table1[[#This Row],[statusRaw]],1+HEX2DEC(LEFT(AK$1,2))*2, 2)</f>
        <v>01100000 0x60</v>
      </c>
      <c r="AL99" s="1" t="str">
        <f>VLOOKUP(Table1[[#This Row],[40 trend]],'Arrow status mapping'!$A$1:$B$8,2,FALSE)</f>
        <v>No arrows</v>
      </c>
      <c r="AM99" s="3" t="str">
        <f>HEX2BIN(MID(Table1[[#This Row],[statusRaw]],1+HEX2DEC(LEFT(AM$1,2))*2, 2),8) &amp; " 0x" &amp;MID(Table1[[#This Row],[statusRaw]],1+HEX2DEC(LEFT(AM$1,2))*2, 2)</f>
        <v>00010000 0x10</v>
      </c>
      <c r="AN99" s="3" t="str">
        <f>HEX2BIN(MID(Table1[[#This Row],[statusRaw]],1+HEX2DEC(LEFT(AN$1,2))*2, 2),8) &amp; " 0x" &amp;MID(Table1[[#This Row],[statusRaw]],1+HEX2DEC(LEFT(AN$1,2))*2, 2)</f>
        <v>00000000 0x00</v>
      </c>
      <c r="AO99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0x02C6 710</v>
      </c>
      <c r="AP99" s="1" t="str">
        <f>HEX2BIN(MID(Table1[[#This Row],[statusRaw]],1+HEX2DEC(LEFT(AP$1,2))*2, 2),8) &amp; " 0x" &amp;MID(Table1[[#This Row],[statusRaw]],1+HEX2DEC(LEFT(AP$1,2))*2, 2)</f>
        <v>00101011 0x2B</v>
      </c>
      <c r="AQ99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0xFFD3 -45</v>
      </c>
      <c r="AR99" s="3">
        <f>TRUNC(_xlfn.NUMBERVALUE(RIGHT(Table1[[#This Row],[46 rate of change (2)]],LEN(Table1[[#This Row],[46 rate of change (2)]])-7))/100)</f>
        <v>0</v>
      </c>
      <c r="AS99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99" s="3" t="b">
        <f>Table1[[#This Row],[calc arrow]]=Table1[[#This Row],[trend]]</f>
        <v>1</v>
      </c>
      <c r="AU99" s="3" t="str">
        <f>HEX2BIN(MID(Table1[[#This Row],[statusRaw]],1+HEX2DEC(LEFT(AU$1,2))*2, 2),8) &amp; " 0x" &amp;MID(Table1[[#This Row],[statusRaw]],1+HEX2DEC(LEFT(AU$1,2))*2, 2)</f>
        <v>00000000 0x00</v>
      </c>
      <c r="AV99" s="3">
        <f>HEX2DEC(MID(Table1[[#This Row],[statusRaw]],1+HEX2DEC(LEFT(AV$1,2))*2, 4))</f>
        <v>0</v>
      </c>
      <c r="AW99" s="3" t="str">
        <f>HEX2BIN(MID(Table1[[#This Row],[statusRaw]],1+HEX2DEC(LEFT(AW$1,2))*2, 2),8) &amp; " 0x" &amp;MID(Table1[[#This Row],[statusRaw]],1+HEX2DEC(LEFT(AW$1,2))*2, 2)</f>
        <v>00000000 0x00</v>
      </c>
      <c r="AX99" s="3" t="str">
        <f>HEX2BIN(MID(Table1[[#This Row],[statusRaw]],1+HEX2DEC(LEFT(AX$1,2))*2, 2),8) &amp; " 0x" &amp;MID(Table1[[#This Row],[statusRaw]],1+HEX2DEC(LEFT(AX$1,2))*2, 2)</f>
        <v>00000000 0x00</v>
      </c>
      <c r="AY99" s="3" t="str">
        <f>MID(Table1[[#This Row],[statusRaw]],1+HEX2DEC(LEFT(AY$1,2))*2, 8)</f>
        <v>00000000</v>
      </c>
      <c r="AZ99" s="3" t="str">
        <f>MID(Table1[[#This Row],[statusRaw]],1+HEX2DEC(LEFT(AZ$1,2))*2, 8)</f>
        <v>00000000</v>
      </c>
      <c r="BA99" s="3" t="str">
        <f>HEX2BIN(MID(Table1[[#This Row],[statusRaw]],1+HEX2DEC(LEFT(BA$1,2))*2, 2),8) &amp; " 0x" &amp;MID(Table1[[#This Row],[statusRaw]],1+HEX2DEC(LEFT(BA$1,2))*2, 2)</f>
        <v>00000000 0x00</v>
      </c>
      <c r="BB99" s="3" t="str">
        <f>HEX2BIN(MID(Table1[[#This Row],[statusRaw]],1+HEX2DEC(LEFT(BB$1,2))*2, 2),8) &amp; " 0x" &amp;MID(Table1[[#This Row],[statusRaw]],1+HEX2DEC(LEFT(BB$1,2))*2, 2)</f>
        <v>00000000 0x00</v>
      </c>
      <c r="BC99" s="3" t="str">
        <f>HEX2BIN(MID(Table1[[#This Row],[statusRaw]],1+HEX2DEC(LEFT(BC$1,2))*2, 2),8) &amp; " 0x" &amp;MID(Table1[[#This Row],[statusRaw]],1+HEX2DEC(LEFT(BC$1,2))*2, 2)</f>
        <v>00000000 0x00</v>
      </c>
      <c r="BD99" s="3" t="str">
        <f>MID(Table1[[#This Row],[statusRaw]],1+HEX2DEC(LEFT(BD$1,2))*2, 8)</f>
        <v>000008C5</v>
      </c>
      <c r="BE99" s="3" t="str">
        <f>MID(Table1[[#This Row],[statusRaw]],1+HEX2DEC(LEFT(BE$1,2))*2, 8)</f>
        <v>000008C5</v>
      </c>
      <c r="BF99" s="9"/>
    </row>
    <row r="100" spans="1:58" x14ac:dyDescent="0.25">
      <c r="A100" s="1" t="s">
        <v>300</v>
      </c>
      <c r="B100" s="1" t="s">
        <v>301</v>
      </c>
      <c r="C100" s="1" t="s">
        <v>7</v>
      </c>
      <c r="D100" s="1" t="s">
        <v>302</v>
      </c>
      <c r="E100" s="1">
        <v>13</v>
      </c>
      <c r="F100" s="3" t="str">
        <f>HEX2BIN(MID(Table1[[#This Row],[statusRaw]],1+HEX2DEC(LEFT(F$1,2))*2, 2),8) &amp; " 0x" &amp;MID(Table1[[#This Row],[statusRaw]],1+HEX2DEC(LEFT(F$1,2))*2, 2)</f>
        <v>01010000 0x50</v>
      </c>
      <c r="G100" s="3" t="b">
        <f>MID(Table1[[#This Row],[03 - pump status (1)]],1,1)="1"</f>
        <v>0</v>
      </c>
      <c r="H100" s="3" t="b">
        <f>MID(Table1[[#This Row],[03 - pump status (1)]],2,1)="1"</f>
        <v>1</v>
      </c>
      <c r="I100" s="3" t="b">
        <f>MID(Table1[[#This Row],[03 - pump status (1)]],3,1)="1"</f>
        <v>0</v>
      </c>
      <c r="J100" s="3" t="b">
        <f>MID(Table1[[#This Row],[03 - pump status (1)]],4,1)="1"</f>
        <v>1</v>
      </c>
      <c r="K100" s="3" t="b">
        <f>MID(Table1[[#This Row],[03 - pump status (1)]],5,1)="1"</f>
        <v>0</v>
      </c>
      <c r="L100" s="3" t="b">
        <f>MID(Table1[[#This Row],[03 - pump status (1)]],6,1)="1"</f>
        <v>0</v>
      </c>
      <c r="M100" s="3" t="b">
        <f>MID(Table1[[#This Row],[03 - pump status (1)]],7,1)="1"</f>
        <v>0</v>
      </c>
      <c r="N100" s="3" t="b">
        <f>MID(Table1[[#This Row],[03 - pump status (1)]],8,1)="1"</f>
        <v>0</v>
      </c>
      <c r="O100" s="3" t="str">
        <f>MID(Table1[[#This Row],[statusRaw]],1+HEX2DEC(LEFT(O$1,2))*2, 8)</f>
        <v>00000000</v>
      </c>
      <c r="P100" s="3" t="str">
        <f>MID(Table1[[#This Row],[statusRaw]],1+HEX2DEC(LEFT(P$1,2))*2, 8)</f>
        <v>00000000</v>
      </c>
      <c r="Q100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00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00" s="3">
        <f>HEX2DEC(MID(Table1[[#This Row],[statusRaw]],1+HEX2DEC(LEFT(S$1,2))*2, 8))/10000</f>
        <v>0.9</v>
      </c>
      <c r="T100" s="3" t="str">
        <f>MID(Table1[[#This Row],[statusRaw]],1+HEX2DEC(LEFT(T$1,2))*2, 8)</f>
        <v>2789BBC5</v>
      </c>
      <c r="U100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0x2600 9728</v>
      </c>
      <c r="V100" s="3" t="str">
        <f>HEX2BIN(MID(Table1[[#This Row],[statusRaw]],1+HEX2DEC(LEFT(V$1,2))*2, 2),8) &amp; " 0x" &amp;MID(Table1[[#This Row],[statusRaw]],1+HEX2DEC(LEFT(V$1,2))*2, 2)</f>
        <v>00000001 0x01</v>
      </c>
      <c r="W100" s="3">
        <f>HEX2DEC(MID(Table1[[#This Row],[statusRaw]],1+HEX2DEC(LEFT(W$1,2))*2, 8))/10000</f>
        <v>0.5</v>
      </c>
      <c r="X100" s="3">
        <f>HEX2DEC(MID(Table1[[#This Row],[statusRaw]],1+HEX2DEC(LEFT(X$1,2))*2, 8))/10000</f>
        <v>0</v>
      </c>
      <c r="Y100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00" s="3">
        <f>HEX2DEC(MID(Table1[[#This Row],[statusRaw]],1+HEX2DEC(LEFT(Z$1,2))*2, 8))/10000</f>
        <v>5.7249999999999996</v>
      </c>
      <c r="AA100" s="3">
        <f>HEX2DEC(MID(Table1[[#This Row],[statusRaw]],1+HEX2DEC(LEFT(AA$1,2))*2, 2))</f>
        <v>50</v>
      </c>
      <c r="AB100" s="3">
        <f>HEX2DEC(MID(Table1[[#This Row],[statusRaw]],1+HEX2DEC(LEFT(AB$1,2))*2, 8))/10000</f>
        <v>84.55</v>
      </c>
      <c r="AC100" s="3">
        <f>HEX2DEC(MID(Table1[[#This Row],[statusRaw]],1+HEX2DEC(LEFT(AC$1,2))*2, 2))</f>
        <v>25</v>
      </c>
      <c r="AD100" s="3">
        <f>HEX2DEC(MID(Table1[[#This Row],[statusRaw]],1+HEX2DEC(LEFT(AD$1,2))*2, 2))</f>
        <v>0</v>
      </c>
      <c r="AE100" s="3">
        <f>HEX2DEC(MID(Table1[[#This Row],[statusRaw]],1+HEX2DEC(LEFT(AE$1,2))*2, 8))/10000</f>
        <v>1.7</v>
      </c>
      <c r="AF100" s="3">
        <f>IF(AND(Table1[[#This Row],[cgm]],NOT(Table1[[#This Row],[35 - SGV special bit (2)]])), _xlfn.BITAND(HEX2DEC(MID(Table1[[#This Row],[statusRaw]],1+HEX2DEC(LEFT(AF$1,2))*2, 4)),HEX2DEC("1FF")),"")</f>
        <v>193</v>
      </c>
      <c r="AG100" s="3" t="b">
        <f>_xlfn.BITAND(HEX2DEC(MID(Table1[[#This Row],[statusRaw]],1+HEX2DEC(LEFT(AG$1,2))*2, 4)),512)=512</f>
        <v>0</v>
      </c>
      <c r="AH100" s="3" t="str">
        <f>MID(Table1[[#This Row],[statusRaw]],1+HEX2DEC(LEFT(AF$1,2))*2, 8)</f>
        <v>00C18673</v>
      </c>
      <c r="AI100" s="3" t="str">
        <f>MID(Table1[[#This Row],[statusRaw]],1+HEX2DEC(LEFT(AH$1,2))*2, 8)</f>
        <v>8673CE10</v>
      </c>
      <c r="AJ100" s="3" t="str">
        <f>HEX2BIN(MID(Table1[[#This Row],[statusRaw]],1+HEX2DEC(LEFT(AJ$1,2))*2, 2),8) &amp; " 0x" &amp;MID(Table1[[#This Row],[statusRaw]],1+HEX2DEC(LEFT(AJ$1,2))*2, 2)</f>
        <v>00000000 0x00</v>
      </c>
      <c r="AK100" s="1" t="str">
        <f>HEX2BIN(MID(Table1[[#This Row],[statusRaw]],1+HEX2DEC(LEFT(AK$1,2))*2, 2),8) &amp; " 0x" &amp;MID(Table1[[#This Row],[statusRaw]],1+HEX2DEC(LEFT(AK$1,2))*2, 2)</f>
        <v>01100000 0x60</v>
      </c>
      <c r="AL100" s="1" t="str">
        <f>VLOOKUP(Table1[[#This Row],[40 trend]],'Arrow status mapping'!$A$1:$B$8,2,FALSE)</f>
        <v>No arrows</v>
      </c>
      <c r="AM100" s="3" t="str">
        <f>HEX2BIN(MID(Table1[[#This Row],[statusRaw]],1+HEX2DEC(LEFT(AM$1,2))*2, 2),8) &amp; " 0x" &amp;MID(Table1[[#This Row],[statusRaw]],1+HEX2DEC(LEFT(AM$1,2))*2, 2)</f>
        <v>00010000 0x10</v>
      </c>
      <c r="AN100" s="3" t="str">
        <f>HEX2BIN(MID(Table1[[#This Row],[statusRaw]],1+HEX2DEC(LEFT(AN$1,2))*2, 2),8) &amp; " 0x" &amp;MID(Table1[[#This Row],[statusRaw]],1+HEX2DEC(LEFT(AN$1,2))*2, 2)</f>
        <v>00000000 0x00</v>
      </c>
      <c r="AO100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0x02C6 710</v>
      </c>
      <c r="AP100" s="1" t="str">
        <f>HEX2BIN(MID(Table1[[#This Row],[statusRaw]],1+HEX2DEC(LEFT(AP$1,2))*2, 2),8) &amp; " 0x" &amp;MID(Table1[[#This Row],[statusRaw]],1+HEX2DEC(LEFT(AP$1,2))*2, 2)</f>
        <v>00101011 0x2B</v>
      </c>
      <c r="AQ100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0xFFD3 -45</v>
      </c>
      <c r="AR100" s="3">
        <f>TRUNC(_xlfn.NUMBERVALUE(RIGHT(Table1[[#This Row],[46 rate of change (2)]],LEN(Table1[[#This Row],[46 rate of change (2)]])-7))/100)</f>
        <v>0</v>
      </c>
      <c r="AS100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00" s="3" t="b">
        <f>Table1[[#This Row],[calc arrow]]=Table1[[#This Row],[trend]]</f>
        <v>1</v>
      </c>
      <c r="AU100" s="3" t="str">
        <f>HEX2BIN(MID(Table1[[#This Row],[statusRaw]],1+HEX2DEC(LEFT(AU$1,2))*2, 2),8) &amp; " 0x" &amp;MID(Table1[[#This Row],[statusRaw]],1+HEX2DEC(LEFT(AU$1,2))*2, 2)</f>
        <v>00000000 0x00</v>
      </c>
      <c r="AV100" s="3">
        <f>HEX2DEC(MID(Table1[[#This Row],[statusRaw]],1+HEX2DEC(LEFT(AV$1,2))*2, 4))</f>
        <v>0</v>
      </c>
      <c r="AW100" s="3" t="str">
        <f>HEX2BIN(MID(Table1[[#This Row],[statusRaw]],1+HEX2DEC(LEFT(AW$1,2))*2, 2),8) &amp; " 0x" &amp;MID(Table1[[#This Row],[statusRaw]],1+HEX2DEC(LEFT(AW$1,2))*2, 2)</f>
        <v>00000000 0x00</v>
      </c>
      <c r="AX100" s="3" t="str">
        <f>HEX2BIN(MID(Table1[[#This Row],[statusRaw]],1+HEX2DEC(LEFT(AX$1,2))*2, 2),8) &amp; " 0x" &amp;MID(Table1[[#This Row],[statusRaw]],1+HEX2DEC(LEFT(AX$1,2))*2, 2)</f>
        <v>00000000 0x00</v>
      </c>
      <c r="AY100" s="3" t="str">
        <f>MID(Table1[[#This Row],[statusRaw]],1+HEX2DEC(LEFT(AY$1,2))*2, 8)</f>
        <v>00000000</v>
      </c>
      <c r="AZ100" s="3" t="str">
        <f>MID(Table1[[#This Row],[statusRaw]],1+HEX2DEC(LEFT(AZ$1,2))*2, 8)</f>
        <v>00000000</v>
      </c>
      <c r="BA100" s="3" t="str">
        <f>HEX2BIN(MID(Table1[[#This Row],[statusRaw]],1+HEX2DEC(LEFT(BA$1,2))*2, 2),8) &amp; " 0x" &amp;MID(Table1[[#This Row],[statusRaw]],1+HEX2DEC(LEFT(BA$1,2))*2, 2)</f>
        <v>00000000 0x00</v>
      </c>
      <c r="BB100" s="3" t="str">
        <f>HEX2BIN(MID(Table1[[#This Row],[statusRaw]],1+HEX2DEC(LEFT(BB$1,2))*2, 2),8) &amp; " 0x" &amp;MID(Table1[[#This Row],[statusRaw]],1+HEX2DEC(LEFT(BB$1,2))*2, 2)</f>
        <v>00000000 0x00</v>
      </c>
      <c r="BC100" s="3" t="str">
        <f>HEX2BIN(MID(Table1[[#This Row],[statusRaw]],1+HEX2DEC(LEFT(BC$1,2))*2, 2),8) &amp; " 0x" &amp;MID(Table1[[#This Row],[statusRaw]],1+HEX2DEC(LEFT(BC$1,2))*2, 2)</f>
        <v>00000000 0x00</v>
      </c>
      <c r="BD100" s="3" t="str">
        <f>MID(Table1[[#This Row],[statusRaw]],1+HEX2DEC(LEFT(BD$1,2))*2, 8)</f>
        <v>000008C5</v>
      </c>
      <c r="BE100" s="3" t="str">
        <f>MID(Table1[[#This Row],[statusRaw]],1+HEX2DEC(LEFT(BE$1,2))*2, 8)</f>
        <v>000008C5</v>
      </c>
      <c r="BF100" s="9"/>
    </row>
    <row r="101" spans="1:58" x14ac:dyDescent="0.25">
      <c r="A101" s="1" t="s">
        <v>303</v>
      </c>
      <c r="B101" s="1" t="s">
        <v>304</v>
      </c>
      <c r="C101" s="1" t="s">
        <v>7</v>
      </c>
      <c r="D101" s="1" t="s">
        <v>305</v>
      </c>
      <c r="E101" s="1">
        <v>13</v>
      </c>
      <c r="F101" s="3" t="str">
        <f>HEX2BIN(MID(Table1[[#This Row],[statusRaw]],1+HEX2DEC(LEFT(F$1,2))*2, 2),8) &amp; " 0x" &amp;MID(Table1[[#This Row],[statusRaw]],1+HEX2DEC(LEFT(F$1,2))*2, 2)</f>
        <v>01010000 0x50</v>
      </c>
      <c r="G101" s="3" t="b">
        <f>MID(Table1[[#This Row],[03 - pump status (1)]],1,1)="1"</f>
        <v>0</v>
      </c>
      <c r="H101" s="3" t="b">
        <f>MID(Table1[[#This Row],[03 - pump status (1)]],2,1)="1"</f>
        <v>1</v>
      </c>
      <c r="I101" s="3" t="b">
        <f>MID(Table1[[#This Row],[03 - pump status (1)]],3,1)="1"</f>
        <v>0</v>
      </c>
      <c r="J101" s="3" t="b">
        <f>MID(Table1[[#This Row],[03 - pump status (1)]],4,1)="1"</f>
        <v>1</v>
      </c>
      <c r="K101" s="3" t="b">
        <f>MID(Table1[[#This Row],[03 - pump status (1)]],5,1)="1"</f>
        <v>0</v>
      </c>
      <c r="L101" s="3" t="b">
        <f>MID(Table1[[#This Row],[03 - pump status (1)]],6,1)="1"</f>
        <v>0</v>
      </c>
      <c r="M101" s="3" t="b">
        <f>MID(Table1[[#This Row],[03 - pump status (1)]],7,1)="1"</f>
        <v>0</v>
      </c>
      <c r="N101" s="3" t="b">
        <f>MID(Table1[[#This Row],[03 - pump status (1)]],8,1)="1"</f>
        <v>0</v>
      </c>
      <c r="O101" s="3" t="str">
        <f>MID(Table1[[#This Row],[statusRaw]],1+HEX2DEC(LEFT(O$1,2))*2, 8)</f>
        <v>00000000</v>
      </c>
      <c r="P101" s="3" t="str">
        <f>MID(Table1[[#This Row],[statusRaw]],1+HEX2DEC(LEFT(P$1,2))*2, 8)</f>
        <v>00000000</v>
      </c>
      <c r="Q101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01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01" s="3">
        <f>HEX2DEC(MID(Table1[[#This Row],[statusRaw]],1+HEX2DEC(LEFT(S$1,2))*2, 8))/10000</f>
        <v>0.9</v>
      </c>
      <c r="T101" s="3" t="str">
        <f>MID(Table1[[#This Row],[statusRaw]],1+HEX2DEC(LEFT(T$1,2))*2, 8)</f>
        <v>2789BBC5</v>
      </c>
      <c r="U101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0x2600 9728</v>
      </c>
      <c r="V101" s="3" t="str">
        <f>HEX2BIN(MID(Table1[[#This Row],[statusRaw]],1+HEX2DEC(LEFT(V$1,2))*2, 2),8) &amp; " 0x" &amp;MID(Table1[[#This Row],[statusRaw]],1+HEX2DEC(LEFT(V$1,2))*2, 2)</f>
        <v>00000001 0x01</v>
      </c>
      <c r="W101" s="3">
        <f>HEX2DEC(MID(Table1[[#This Row],[statusRaw]],1+HEX2DEC(LEFT(W$1,2))*2, 8))/10000</f>
        <v>0.5</v>
      </c>
      <c r="X101" s="3">
        <f>HEX2DEC(MID(Table1[[#This Row],[statusRaw]],1+HEX2DEC(LEFT(X$1,2))*2, 8))/10000</f>
        <v>0</v>
      </c>
      <c r="Y101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01" s="3">
        <f>HEX2DEC(MID(Table1[[#This Row],[statusRaw]],1+HEX2DEC(LEFT(Z$1,2))*2, 8))/10000</f>
        <v>5.7249999999999996</v>
      </c>
      <c r="AA101" s="3">
        <f>HEX2DEC(MID(Table1[[#This Row],[statusRaw]],1+HEX2DEC(LEFT(AA$1,2))*2, 2))</f>
        <v>50</v>
      </c>
      <c r="AB101" s="3">
        <f>HEX2DEC(MID(Table1[[#This Row],[statusRaw]],1+HEX2DEC(LEFT(AB$1,2))*2, 8))/10000</f>
        <v>84.55</v>
      </c>
      <c r="AC101" s="3">
        <f>HEX2DEC(MID(Table1[[#This Row],[statusRaw]],1+HEX2DEC(LEFT(AC$1,2))*2, 2))</f>
        <v>25</v>
      </c>
      <c r="AD101" s="3">
        <f>HEX2DEC(MID(Table1[[#This Row],[statusRaw]],1+HEX2DEC(LEFT(AD$1,2))*2, 2))</f>
        <v>0</v>
      </c>
      <c r="AE101" s="3">
        <f>HEX2DEC(MID(Table1[[#This Row],[statusRaw]],1+HEX2DEC(LEFT(AE$1,2))*2, 8))/10000</f>
        <v>1.7</v>
      </c>
      <c r="AF101" s="3">
        <f>IF(AND(Table1[[#This Row],[cgm]],NOT(Table1[[#This Row],[35 - SGV special bit (2)]])), _xlfn.BITAND(HEX2DEC(MID(Table1[[#This Row],[statusRaw]],1+HEX2DEC(LEFT(AF$1,2))*2, 4)),HEX2DEC("1FF")),"")</f>
        <v>197</v>
      </c>
      <c r="AG101" s="3" t="b">
        <f>_xlfn.BITAND(HEX2DEC(MID(Table1[[#This Row],[statusRaw]],1+HEX2DEC(LEFT(AG$1,2))*2, 4)),512)=512</f>
        <v>0</v>
      </c>
      <c r="AH101" s="3" t="str">
        <f>MID(Table1[[#This Row],[statusRaw]],1+HEX2DEC(LEFT(AF$1,2))*2, 8)</f>
        <v>00C58673</v>
      </c>
      <c r="AI101" s="3" t="str">
        <f>MID(Table1[[#This Row],[statusRaw]],1+HEX2DEC(LEFT(AH$1,2))*2, 8)</f>
        <v>8673CCE4</v>
      </c>
      <c r="AJ101" s="3" t="str">
        <f>HEX2BIN(MID(Table1[[#This Row],[statusRaw]],1+HEX2DEC(LEFT(AJ$1,2))*2, 2),8) &amp; " 0x" &amp;MID(Table1[[#This Row],[statusRaw]],1+HEX2DEC(LEFT(AJ$1,2))*2, 2)</f>
        <v>00000000 0x00</v>
      </c>
      <c r="AK101" s="1" t="str">
        <f>HEX2BIN(MID(Table1[[#This Row],[statusRaw]],1+HEX2DEC(LEFT(AK$1,2))*2, 2),8) &amp; " 0x" &amp;MID(Table1[[#This Row],[statusRaw]],1+HEX2DEC(LEFT(AK$1,2))*2, 2)</f>
        <v>01100000 0x60</v>
      </c>
      <c r="AL101" s="1" t="str">
        <f>VLOOKUP(Table1[[#This Row],[40 trend]],'Arrow status mapping'!$A$1:$B$8,2,FALSE)</f>
        <v>No arrows</v>
      </c>
      <c r="AM101" s="3" t="str">
        <f>HEX2BIN(MID(Table1[[#This Row],[statusRaw]],1+HEX2DEC(LEFT(AM$1,2))*2, 2),8) &amp; " 0x" &amp;MID(Table1[[#This Row],[statusRaw]],1+HEX2DEC(LEFT(AM$1,2))*2, 2)</f>
        <v>00010000 0x10</v>
      </c>
      <c r="AN101" s="3" t="str">
        <f>HEX2BIN(MID(Table1[[#This Row],[statusRaw]],1+HEX2DEC(LEFT(AN$1,2))*2, 2),8) &amp; " 0x" &amp;MID(Table1[[#This Row],[statusRaw]],1+HEX2DEC(LEFT(AN$1,2))*2, 2)</f>
        <v>00000000 0x00</v>
      </c>
      <c r="AO101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0x02CB 715</v>
      </c>
      <c r="AP101" s="1" t="str">
        <f>HEX2BIN(MID(Table1[[#This Row],[statusRaw]],1+HEX2DEC(LEFT(AP$1,2))*2, 2),8) &amp; " 0x" &amp;MID(Table1[[#This Row],[statusRaw]],1+HEX2DEC(LEFT(AP$1,2))*2, 2)</f>
        <v>00101011 0x2B</v>
      </c>
      <c r="AQ101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101" s="3">
        <f>TRUNC(_xlfn.NUMBERVALUE(RIGHT(Table1[[#This Row],[46 rate of change (2)]],LEN(Table1[[#This Row],[46 rate of change (2)]])-7))/100)</f>
        <v>0</v>
      </c>
      <c r="AS101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01" s="3" t="b">
        <f>Table1[[#This Row],[calc arrow]]=Table1[[#This Row],[trend]]</f>
        <v>1</v>
      </c>
      <c r="AU101" s="3" t="str">
        <f>HEX2BIN(MID(Table1[[#This Row],[statusRaw]],1+HEX2DEC(LEFT(AU$1,2))*2, 2),8) &amp; " 0x" &amp;MID(Table1[[#This Row],[statusRaw]],1+HEX2DEC(LEFT(AU$1,2))*2, 2)</f>
        <v>00000000 0x00</v>
      </c>
      <c r="AV101" s="3">
        <f>HEX2DEC(MID(Table1[[#This Row],[statusRaw]],1+HEX2DEC(LEFT(AV$1,2))*2, 4))</f>
        <v>0</v>
      </c>
      <c r="AW101" s="3" t="str">
        <f>HEX2BIN(MID(Table1[[#This Row],[statusRaw]],1+HEX2DEC(LEFT(AW$1,2))*2, 2),8) &amp; " 0x" &amp;MID(Table1[[#This Row],[statusRaw]],1+HEX2DEC(LEFT(AW$1,2))*2, 2)</f>
        <v>00000000 0x00</v>
      </c>
      <c r="AX101" s="3" t="str">
        <f>HEX2BIN(MID(Table1[[#This Row],[statusRaw]],1+HEX2DEC(LEFT(AX$1,2))*2, 2),8) &amp; " 0x" &amp;MID(Table1[[#This Row],[statusRaw]],1+HEX2DEC(LEFT(AX$1,2))*2, 2)</f>
        <v>00000000 0x00</v>
      </c>
      <c r="AY101" s="3" t="str">
        <f>MID(Table1[[#This Row],[statusRaw]],1+HEX2DEC(LEFT(AY$1,2))*2, 8)</f>
        <v>00000000</v>
      </c>
      <c r="AZ101" s="3" t="str">
        <f>MID(Table1[[#This Row],[statusRaw]],1+HEX2DEC(LEFT(AZ$1,2))*2, 8)</f>
        <v>00000000</v>
      </c>
      <c r="BA101" s="3" t="str">
        <f>HEX2BIN(MID(Table1[[#This Row],[statusRaw]],1+HEX2DEC(LEFT(BA$1,2))*2, 2),8) &amp; " 0x" &amp;MID(Table1[[#This Row],[statusRaw]],1+HEX2DEC(LEFT(BA$1,2))*2, 2)</f>
        <v>00000000 0x00</v>
      </c>
      <c r="BB101" s="3" t="str">
        <f>HEX2BIN(MID(Table1[[#This Row],[statusRaw]],1+HEX2DEC(LEFT(BB$1,2))*2, 2),8) &amp; " 0x" &amp;MID(Table1[[#This Row],[statusRaw]],1+HEX2DEC(LEFT(BB$1,2))*2, 2)</f>
        <v>00000000 0x00</v>
      </c>
      <c r="BC101" s="3" t="str">
        <f>HEX2BIN(MID(Table1[[#This Row],[statusRaw]],1+HEX2DEC(LEFT(BC$1,2))*2, 2),8) &amp; " 0x" &amp;MID(Table1[[#This Row],[statusRaw]],1+HEX2DEC(LEFT(BC$1,2))*2, 2)</f>
        <v>00000000 0x00</v>
      </c>
      <c r="BD101" s="3" t="str">
        <f>MID(Table1[[#This Row],[statusRaw]],1+HEX2DEC(LEFT(BD$1,2))*2, 8)</f>
        <v>000008C5</v>
      </c>
      <c r="BE101" s="3" t="str">
        <f>MID(Table1[[#This Row],[statusRaw]],1+HEX2DEC(LEFT(BE$1,2))*2, 8)</f>
        <v>000008C5</v>
      </c>
      <c r="BF101" s="9"/>
    </row>
    <row r="102" spans="1:58" x14ac:dyDescent="0.25">
      <c r="A102" s="1" t="s">
        <v>306</v>
      </c>
      <c r="B102" s="1" t="s">
        <v>307</v>
      </c>
      <c r="C102" s="1" t="s">
        <v>7</v>
      </c>
      <c r="D102" s="1" t="s">
        <v>308</v>
      </c>
      <c r="E102" s="1">
        <v>13</v>
      </c>
      <c r="F102" s="3" t="str">
        <f>HEX2BIN(MID(Table1[[#This Row],[statusRaw]],1+HEX2DEC(LEFT(F$1,2))*2, 2),8) &amp; " 0x" &amp;MID(Table1[[#This Row],[statusRaw]],1+HEX2DEC(LEFT(F$1,2))*2, 2)</f>
        <v>01010000 0x50</v>
      </c>
      <c r="G102" s="3" t="b">
        <f>MID(Table1[[#This Row],[03 - pump status (1)]],1,1)="1"</f>
        <v>0</v>
      </c>
      <c r="H102" s="3" t="b">
        <f>MID(Table1[[#This Row],[03 - pump status (1)]],2,1)="1"</f>
        <v>1</v>
      </c>
      <c r="I102" s="3" t="b">
        <f>MID(Table1[[#This Row],[03 - pump status (1)]],3,1)="1"</f>
        <v>0</v>
      </c>
      <c r="J102" s="3" t="b">
        <f>MID(Table1[[#This Row],[03 - pump status (1)]],4,1)="1"</f>
        <v>1</v>
      </c>
      <c r="K102" s="3" t="b">
        <f>MID(Table1[[#This Row],[03 - pump status (1)]],5,1)="1"</f>
        <v>0</v>
      </c>
      <c r="L102" s="3" t="b">
        <f>MID(Table1[[#This Row],[03 - pump status (1)]],6,1)="1"</f>
        <v>0</v>
      </c>
      <c r="M102" s="3" t="b">
        <f>MID(Table1[[#This Row],[03 - pump status (1)]],7,1)="1"</f>
        <v>0</v>
      </c>
      <c r="N102" s="3" t="b">
        <f>MID(Table1[[#This Row],[03 - pump status (1)]],8,1)="1"</f>
        <v>0</v>
      </c>
      <c r="O102" s="3" t="str">
        <f>MID(Table1[[#This Row],[statusRaw]],1+HEX2DEC(LEFT(O$1,2))*2, 8)</f>
        <v>00000000</v>
      </c>
      <c r="P102" s="3" t="str">
        <f>MID(Table1[[#This Row],[statusRaw]],1+HEX2DEC(LEFT(P$1,2))*2, 8)</f>
        <v>00000000</v>
      </c>
      <c r="Q102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02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02" s="3">
        <f>HEX2DEC(MID(Table1[[#This Row],[statusRaw]],1+HEX2DEC(LEFT(S$1,2))*2, 8))/10000</f>
        <v>0.9</v>
      </c>
      <c r="T102" s="3" t="str">
        <f>MID(Table1[[#This Row],[statusRaw]],1+HEX2DEC(LEFT(T$1,2))*2, 8)</f>
        <v>2789BBC5</v>
      </c>
      <c r="U102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0x2600 9728</v>
      </c>
      <c r="V102" s="3" t="str">
        <f>HEX2BIN(MID(Table1[[#This Row],[statusRaw]],1+HEX2DEC(LEFT(V$1,2))*2, 2),8) &amp; " 0x" &amp;MID(Table1[[#This Row],[statusRaw]],1+HEX2DEC(LEFT(V$1,2))*2, 2)</f>
        <v>00000001 0x01</v>
      </c>
      <c r="W102" s="3">
        <f>HEX2DEC(MID(Table1[[#This Row],[statusRaw]],1+HEX2DEC(LEFT(W$1,2))*2, 8))/10000</f>
        <v>0.5</v>
      </c>
      <c r="X102" s="3">
        <f>HEX2DEC(MID(Table1[[#This Row],[statusRaw]],1+HEX2DEC(LEFT(X$1,2))*2, 8))/10000</f>
        <v>0</v>
      </c>
      <c r="Y102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02" s="3">
        <f>HEX2DEC(MID(Table1[[#This Row],[statusRaw]],1+HEX2DEC(LEFT(Z$1,2))*2, 8))/10000</f>
        <v>5.6749999999999998</v>
      </c>
      <c r="AA102" s="3">
        <f>HEX2DEC(MID(Table1[[#This Row],[statusRaw]],1+HEX2DEC(LEFT(AA$1,2))*2, 2))</f>
        <v>50</v>
      </c>
      <c r="AB102" s="3">
        <f>HEX2DEC(MID(Table1[[#This Row],[statusRaw]],1+HEX2DEC(LEFT(AB$1,2))*2, 8))/10000</f>
        <v>84.6</v>
      </c>
      <c r="AC102" s="3">
        <f>HEX2DEC(MID(Table1[[#This Row],[statusRaw]],1+HEX2DEC(LEFT(AC$1,2))*2, 2))</f>
        <v>25</v>
      </c>
      <c r="AD102" s="3">
        <f>HEX2DEC(MID(Table1[[#This Row],[statusRaw]],1+HEX2DEC(LEFT(AD$1,2))*2, 2))</f>
        <v>0</v>
      </c>
      <c r="AE102" s="3">
        <f>HEX2DEC(MID(Table1[[#This Row],[statusRaw]],1+HEX2DEC(LEFT(AE$1,2))*2, 8))/10000</f>
        <v>1.8</v>
      </c>
      <c r="AF102" s="3">
        <f>IF(AND(Table1[[#This Row],[cgm]],NOT(Table1[[#This Row],[35 - SGV special bit (2)]])), _xlfn.BITAND(HEX2DEC(MID(Table1[[#This Row],[statusRaw]],1+HEX2DEC(LEFT(AF$1,2))*2, 4)),HEX2DEC("1FF")),"")</f>
        <v>201</v>
      </c>
      <c r="AG102" s="3" t="b">
        <f>_xlfn.BITAND(HEX2DEC(MID(Table1[[#This Row],[statusRaw]],1+HEX2DEC(LEFT(AG$1,2))*2, 4)),512)=512</f>
        <v>0</v>
      </c>
      <c r="AH102" s="3" t="str">
        <f>MID(Table1[[#This Row],[statusRaw]],1+HEX2DEC(LEFT(AF$1,2))*2, 8)</f>
        <v>00C98673</v>
      </c>
      <c r="AI102" s="3" t="str">
        <f>MID(Table1[[#This Row],[statusRaw]],1+HEX2DEC(LEFT(AH$1,2))*2, 8)</f>
        <v>8673CBB8</v>
      </c>
      <c r="AJ102" s="3" t="str">
        <f>HEX2BIN(MID(Table1[[#This Row],[statusRaw]],1+HEX2DEC(LEFT(AJ$1,2))*2, 2),8) &amp; " 0x" &amp;MID(Table1[[#This Row],[statusRaw]],1+HEX2DEC(LEFT(AJ$1,2))*2, 2)</f>
        <v>00000101 0x05</v>
      </c>
      <c r="AK102" s="1" t="str">
        <f>HEX2BIN(MID(Table1[[#This Row],[statusRaw]],1+HEX2DEC(LEFT(AK$1,2))*2, 2),8) &amp; " 0x" &amp;MID(Table1[[#This Row],[statusRaw]],1+HEX2DEC(LEFT(AK$1,2))*2, 2)</f>
        <v>01100000 0x60</v>
      </c>
      <c r="AL102" s="1" t="str">
        <f>VLOOKUP(Table1[[#This Row],[40 trend]],'Arrow status mapping'!$A$1:$B$8,2,FALSE)</f>
        <v>No arrows</v>
      </c>
      <c r="AM102" s="3" t="str">
        <f>HEX2BIN(MID(Table1[[#This Row],[statusRaw]],1+HEX2DEC(LEFT(AM$1,2))*2, 2),8) &amp; " 0x" &amp;MID(Table1[[#This Row],[statusRaw]],1+HEX2DEC(LEFT(AM$1,2))*2, 2)</f>
        <v>00010000 0x10</v>
      </c>
      <c r="AN102" s="3" t="str">
        <f>HEX2BIN(MID(Table1[[#This Row],[statusRaw]],1+HEX2DEC(LEFT(AN$1,2))*2, 2),8) &amp; " 0x" &amp;MID(Table1[[#This Row],[statusRaw]],1+HEX2DEC(LEFT(AN$1,2))*2, 2)</f>
        <v>00000000 0x00</v>
      </c>
      <c r="AO102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0x02D0 720</v>
      </c>
      <c r="AP102" s="1" t="str">
        <f>HEX2BIN(MID(Table1[[#This Row],[statusRaw]],1+HEX2DEC(LEFT(AP$1,2))*2, 2),8) &amp; " 0x" &amp;MID(Table1[[#This Row],[statusRaw]],1+HEX2DEC(LEFT(AP$1,2))*2, 2)</f>
        <v>00101011 0x2B</v>
      </c>
      <c r="AQ102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0x000F 15</v>
      </c>
      <c r="AR102" s="3">
        <f>TRUNC(_xlfn.NUMBERVALUE(RIGHT(Table1[[#This Row],[46 rate of change (2)]],LEN(Table1[[#This Row],[46 rate of change (2)]])-7))/100)</f>
        <v>0</v>
      </c>
      <c r="AS102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02" s="3" t="b">
        <f>Table1[[#This Row],[calc arrow]]=Table1[[#This Row],[trend]]</f>
        <v>1</v>
      </c>
      <c r="AU102" s="3" t="str">
        <f>HEX2BIN(MID(Table1[[#This Row],[statusRaw]],1+HEX2DEC(LEFT(AU$1,2))*2, 2),8) &amp; " 0x" &amp;MID(Table1[[#This Row],[statusRaw]],1+HEX2DEC(LEFT(AU$1,2))*2, 2)</f>
        <v>00000000 0x00</v>
      </c>
      <c r="AV102" s="3">
        <f>HEX2DEC(MID(Table1[[#This Row],[statusRaw]],1+HEX2DEC(LEFT(AV$1,2))*2, 4))</f>
        <v>0</v>
      </c>
      <c r="AW102" s="3" t="str">
        <f>HEX2BIN(MID(Table1[[#This Row],[statusRaw]],1+HEX2DEC(LEFT(AW$1,2))*2, 2),8) &amp; " 0x" &amp;MID(Table1[[#This Row],[statusRaw]],1+HEX2DEC(LEFT(AW$1,2))*2, 2)</f>
        <v>00000000 0x00</v>
      </c>
      <c r="AX102" s="3" t="str">
        <f>HEX2BIN(MID(Table1[[#This Row],[statusRaw]],1+HEX2DEC(LEFT(AX$1,2))*2, 2),8) &amp; " 0x" &amp;MID(Table1[[#This Row],[statusRaw]],1+HEX2DEC(LEFT(AX$1,2))*2, 2)</f>
        <v>00000000 0x00</v>
      </c>
      <c r="AY102" s="3" t="str">
        <f>MID(Table1[[#This Row],[statusRaw]],1+HEX2DEC(LEFT(AY$1,2))*2, 8)</f>
        <v>00000000</v>
      </c>
      <c r="AZ102" s="3" t="str">
        <f>MID(Table1[[#This Row],[statusRaw]],1+HEX2DEC(LEFT(AZ$1,2))*2, 8)</f>
        <v>00000000</v>
      </c>
      <c r="BA102" s="3" t="str">
        <f>HEX2BIN(MID(Table1[[#This Row],[statusRaw]],1+HEX2DEC(LEFT(BA$1,2))*2, 2),8) &amp; " 0x" &amp;MID(Table1[[#This Row],[statusRaw]],1+HEX2DEC(LEFT(BA$1,2))*2, 2)</f>
        <v>00000000 0x00</v>
      </c>
      <c r="BB102" s="3" t="str">
        <f>HEX2BIN(MID(Table1[[#This Row],[statusRaw]],1+HEX2DEC(LEFT(BB$1,2))*2, 2),8) &amp; " 0x" &amp;MID(Table1[[#This Row],[statusRaw]],1+HEX2DEC(LEFT(BB$1,2))*2, 2)</f>
        <v>00000000 0x00</v>
      </c>
      <c r="BC102" s="3" t="str">
        <f>HEX2BIN(MID(Table1[[#This Row],[statusRaw]],1+HEX2DEC(LEFT(BC$1,2))*2, 2),8) &amp; " 0x" &amp;MID(Table1[[#This Row],[statusRaw]],1+HEX2DEC(LEFT(BC$1,2))*2, 2)</f>
        <v>00000000 0x00</v>
      </c>
      <c r="BD102" s="3" t="str">
        <f>MID(Table1[[#This Row],[statusRaw]],1+HEX2DEC(LEFT(BD$1,2))*2, 8)</f>
        <v>000008C5</v>
      </c>
      <c r="BE102" s="3" t="str">
        <f>MID(Table1[[#This Row],[statusRaw]],1+HEX2DEC(LEFT(BE$1,2))*2, 8)</f>
        <v>000008C5</v>
      </c>
      <c r="BF102" s="9"/>
    </row>
    <row r="103" spans="1:58" x14ac:dyDescent="0.25">
      <c r="A103" s="1" t="s">
        <v>309</v>
      </c>
      <c r="B103" s="1" t="s">
        <v>310</v>
      </c>
      <c r="C103" s="1" t="s">
        <v>7</v>
      </c>
      <c r="D103" s="1" t="s">
        <v>311</v>
      </c>
      <c r="E103" s="1">
        <v>12</v>
      </c>
      <c r="F103" s="3" t="str">
        <f>HEX2BIN(MID(Table1[[#This Row],[statusRaw]],1+HEX2DEC(LEFT(F$1,2))*2, 2),8) &amp; " 0x" &amp;MID(Table1[[#This Row],[statusRaw]],1+HEX2DEC(LEFT(F$1,2))*2, 2)</f>
        <v>01010000 0x50</v>
      </c>
      <c r="G103" s="3" t="b">
        <f>MID(Table1[[#This Row],[03 - pump status (1)]],1,1)="1"</f>
        <v>0</v>
      </c>
      <c r="H103" s="3" t="b">
        <f>MID(Table1[[#This Row],[03 - pump status (1)]],2,1)="1"</f>
        <v>1</v>
      </c>
      <c r="I103" s="3" t="b">
        <f>MID(Table1[[#This Row],[03 - pump status (1)]],3,1)="1"</f>
        <v>0</v>
      </c>
      <c r="J103" s="3" t="b">
        <f>MID(Table1[[#This Row],[03 - pump status (1)]],4,1)="1"</f>
        <v>1</v>
      </c>
      <c r="K103" s="3" t="b">
        <f>MID(Table1[[#This Row],[03 - pump status (1)]],5,1)="1"</f>
        <v>0</v>
      </c>
      <c r="L103" s="3" t="b">
        <f>MID(Table1[[#This Row],[03 - pump status (1)]],6,1)="1"</f>
        <v>0</v>
      </c>
      <c r="M103" s="3" t="b">
        <f>MID(Table1[[#This Row],[03 - pump status (1)]],7,1)="1"</f>
        <v>0</v>
      </c>
      <c r="N103" s="3" t="b">
        <f>MID(Table1[[#This Row],[03 - pump status (1)]],8,1)="1"</f>
        <v>0</v>
      </c>
      <c r="O103" s="3" t="str">
        <f>MID(Table1[[#This Row],[statusRaw]],1+HEX2DEC(LEFT(O$1,2))*2, 8)</f>
        <v>00000000</v>
      </c>
      <c r="P103" s="3" t="str">
        <f>MID(Table1[[#This Row],[statusRaw]],1+HEX2DEC(LEFT(P$1,2))*2, 8)</f>
        <v>00000000</v>
      </c>
      <c r="Q103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03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03" s="3">
        <f>HEX2DEC(MID(Table1[[#This Row],[statusRaw]],1+HEX2DEC(LEFT(S$1,2))*2, 8))/10000</f>
        <v>0.9</v>
      </c>
      <c r="T103" s="3" t="str">
        <f>MID(Table1[[#This Row],[statusRaw]],1+HEX2DEC(LEFT(T$1,2))*2, 8)</f>
        <v>2789BBC5</v>
      </c>
      <c r="U103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0x2600 9728</v>
      </c>
      <c r="V103" s="3" t="str">
        <f>HEX2BIN(MID(Table1[[#This Row],[statusRaw]],1+HEX2DEC(LEFT(V$1,2))*2, 2),8) &amp; " 0x" &amp;MID(Table1[[#This Row],[statusRaw]],1+HEX2DEC(LEFT(V$1,2))*2, 2)</f>
        <v>00000001 0x01</v>
      </c>
      <c r="W103" s="3">
        <f>HEX2DEC(MID(Table1[[#This Row],[statusRaw]],1+HEX2DEC(LEFT(W$1,2))*2, 8))/10000</f>
        <v>0.4</v>
      </c>
      <c r="X103" s="3">
        <f>HEX2DEC(MID(Table1[[#This Row],[statusRaw]],1+HEX2DEC(LEFT(X$1,2))*2, 8))/10000</f>
        <v>0</v>
      </c>
      <c r="Y103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03" s="3">
        <f>HEX2DEC(MID(Table1[[#This Row],[statusRaw]],1+HEX2DEC(LEFT(Z$1,2))*2, 8))/10000</f>
        <v>5.625</v>
      </c>
      <c r="AA103" s="3">
        <f>HEX2DEC(MID(Table1[[#This Row],[statusRaw]],1+HEX2DEC(LEFT(AA$1,2))*2, 2))</f>
        <v>50</v>
      </c>
      <c r="AB103" s="3">
        <f>HEX2DEC(MID(Table1[[#This Row],[statusRaw]],1+HEX2DEC(LEFT(AB$1,2))*2, 8))/10000</f>
        <v>84.65</v>
      </c>
      <c r="AC103" s="3">
        <f>HEX2DEC(MID(Table1[[#This Row],[statusRaw]],1+HEX2DEC(LEFT(AC$1,2))*2, 2))</f>
        <v>25</v>
      </c>
      <c r="AD103" s="3">
        <f>HEX2DEC(MID(Table1[[#This Row],[statusRaw]],1+HEX2DEC(LEFT(AD$1,2))*2, 2))</f>
        <v>0</v>
      </c>
      <c r="AE103" s="3">
        <f>HEX2DEC(MID(Table1[[#This Row],[statusRaw]],1+HEX2DEC(LEFT(AE$1,2))*2, 8))/10000</f>
        <v>1.9</v>
      </c>
      <c r="AF103" s="3">
        <f>IF(AND(Table1[[#This Row],[cgm]],NOT(Table1[[#This Row],[35 - SGV special bit (2)]])), _xlfn.BITAND(HEX2DEC(MID(Table1[[#This Row],[statusRaw]],1+HEX2DEC(LEFT(AF$1,2))*2, 4)),HEX2DEC("1FF")),"")</f>
        <v>194</v>
      </c>
      <c r="AG103" s="3" t="b">
        <f>_xlfn.BITAND(HEX2DEC(MID(Table1[[#This Row],[statusRaw]],1+HEX2DEC(LEFT(AG$1,2))*2, 4)),512)=512</f>
        <v>0</v>
      </c>
      <c r="AH103" s="3" t="str">
        <f>MID(Table1[[#This Row],[statusRaw]],1+HEX2DEC(LEFT(AF$1,2))*2, 8)</f>
        <v>00C28673</v>
      </c>
      <c r="AI103" s="3" t="str">
        <f>MID(Table1[[#This Row],[statusRaw]],1+HEX2DEC(LEFT(AH$1,2))*2, 8)</f>
        <v>8673CA8C</v>
      </c>
      <c r="AJ103" s="3" t="str">
        <f>HEX2BIN(MID(Table1[[#This Row],[statusRaw]],1+HEX2DEC(LEFT(AJ$1,2))*2, 2),8) &amp; " 0x" &amp;MID(Table1[[#This Row],[statusRaw]],1+HEX2DEC(LEFT(AJ$1,2))*2, 2)</f>
        <v>00000100 0x04</v>
      </c>
      <c r="AK103" s="1" t="str">
        <f>HEX2BIN(MID(Table1[[#This Row],[statusRaw]],1+HEX2DEC(LEFT(AK$1,2))*2, 2),8) &amp; " 0x" &amp;MID(Table1[[#This Row],[statusRaw]],1+HEX2DEC(LEFT(AK$1,2))*2, 2)</f>
        <v>01100000 0x60</v>
      </c>
      <c r="AL103" s="1" t="str">
        <f>VLOOKUP(Table1[[#This Row],[40 trend]],'Arrow status mapping'!$A$1:$B$8,2,FALSE)</f>
        <v>No arrows</v>
      </c>
      <c r="AM103" s="3" t="str">
        <f>HEX2BIN(MID(Table1[[#This Row],[statusRaw]],1+HEX2DEC(LEFT(AM$1,2))*2, 2),8) &amp; " 0x" &amp;MID(Table1[[#This Row],[statusRaw]],1+HEX2DEC(LEFT(AM$1,2))*2, 2)</f>
        <v>00010000 0x10</v>
      </c>
      <c r="AN103" s="3" t="str">
        <f>HEX2BIN(MID(Table1[[#This Row],[statusRaw]],1+HEX2DEC(LEFT(AN$1,2))*2, 2),8) &amp; " 0x" &amp;MID(Table1[[#This Row],[statusRaw]],1+HEX2DEC(LEFT(AN$1,2))*2, 2)</f>
        <v>00000000 0x00</v>
      </c>
      <c r="AO103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0x02D5 725</v>
      </c>
      <c r="AP103" s="1" t="str">
        <f>HEX2BIN(MID(Table1[[#This Row],[statusRaw]],1+HEX2DEC(LEFT(AP$1,2))*2, 2),8) &amp; " 0x" &amp;MID(Table1[[#This Row],[statusRaw]],1+HEX2DEC(LEFT(AP$1,2))*2, 2)</f>
        <v>00101011 0x2B</v>
      </c>
      <c r="AQ103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0x0034 52</v>
      </c>
      <c r="AR103" s="3">
        <f>TRUNC(_xlfn.NUMBERVALUE(RIGHT(Table1[[#This Row],[46 rate of change (2)]],LEN(Table1[[#This Row],[46 rate of change (2)]])-7))/100)</f>
        <v>0</v>
      </c>
      <c r="AS103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03" s="3" t="b">
        <f>Table1[[#This Row],[calc arrow]]=Table1[[#This Row],[trend]]</f>
        <v>1</v>
      </c>
      <c r="AU103" s="3" t="str">
        <f>HEX2BIN(MID(Table1[[#This Row],[statusRaw]],1+HEX2DEC(LEFT(AU$1,2))*2, 2),8) &amp; " 0x" &amp;MID(Table1[[#This Row],[statusRaw]],1+HEX2DEC(LEFT(AU$1,2))*2, 2)</f>
        <v>00000000 0x00</v>
      </c>
      <c r="AV103" s="3">
        <f>HEX2DEC(MID(Table1[[#This Row],[statusRaw]],1+HEX2DEC(LEFT(AV$1,2))*2, 4))</f>
        <v>217</v>
      </c>
      <c r="AW103" s="3" t="str">
        <f>HEX2BIN(MID(Table1[[#This Row],[statusRaw]],1+HEX2DEC(LEFT(AW$1,2))*2, 2),8) &amp; " 0x" &amp;MID(Table1[[#This Row],[statusRaw]],1+HEX2DEC(LEFT(AW$1,2))*2, 2)</f>
        <v>00000000 0x00</v>
      </c>
      <c r="AX103" s="3" t="str">
        <f>HEX2BIN(MID(Table1[[#This Row],[statusRaw]],1+HEX2DEC(LEFT(AX$1,2))*2, 2),8) &amp; " 0x" &amp;MID(Table1[[#This Row],[statusRaw]],1+HEX2DEC(LEFT(AX$1,2))*2, 2)</f>
        <v>00000000 0x00</v>
      </c>
      <c r="AY103" s="3" t="str">
        <f>MID(Table1[[#This Row],[statusRaw]],1+HEX2DEC(LEFT(AY$1,2))*2, 8)</f>
        <v>00000000</v>
      </c>
      <c r="AZ103" s="3" t="str">
        <f>MID(Table1[[#This Row],[statusRaw]],1+HEX2DEC(LEFT(AZ$1,2))*2, 8)</f>
        <v>00000000</v>
      </c>
      <c r="BA103" s="3" t="str">
        <f>HEX2BIN(MID(Table1[[#This Row],[statusRaw]],1+HEX2DEC(LEFT(BA$1,2))*2, 2),8) &amp; " 0x" &amp;MID(Table1[[#This Row],[statusRaw]],1+HEX2DEC(LEFT(BA$1,2))*2, 2)</f>
        <v>00000000 0x00</v>
      </c>
      <c r="BB103" s="3" t="str">
        <f>HEX2BIN(MID(Table1[[#This Row],[statusRaw]],1+HEX2DEC(LEFT(BB$1,2))*2, 2),8) &amp; " 0x" &amp;MID(Table1[[#This Row],[statusRaw]],1+HEX2DEC(LEFT(BB$1,2))*2, 2)</f>
        <v>00000000 0x00</v>
      </c>
      <c r="BC103" s="3" t="str">
        <f>HEX2BIN(MID(Table1[[#This Row],[statusRaw]],1+HEX2DEC(LEFT(BC$1,2))*2, 2),8) &amp; " 0x" &amp;MID(Table1[[#This Row],[statusRaw]],1+HEX2DEC(LEFT(BC$1,2))*2, 2)</f>
        <v>00000000 0x00</v>
      </c>
      <c r="BD103" s="3" t="str">
        <f>MID(Table1[[#This Row],[statusRaw]],1+HEX2DEC(LEFT(BD$1,2))*2, 8)</f>
        <v>000008C5</v>
      </c>
      <c r="BE103" s="3" t="str">
        <f>MID(Table1[[#This Row],[statusRaw]],1+HEX2DEC(LEFT(BE$1,2))*2, 8)</f>
        <v>000008C5</v>
      </c>
      <c r="BF103" s="9"/>
    </row>
    <row r="104" spans="1:58" x14ac:dyDescent="0.25">
      <c r="A104" s="1" t="s">
        <v>312</v>
      </c>
      <c r="B104" s="1" t="s">
        <v>313</v>
      </c>
      <c r="C104" s="1" t="s">
        <v>7</v>
      </c>
      <c r="D104" s="1" t="s">
        <v>314</v>
      </c>
      <c r="E104" s="1">
        <v>12</v>
      </c>
      <c r="F104" s="3" t="str">
        <f>HEX2BIN(MID(Table1[[#This Row],[statusRaw]],1+HEX2DEC(LEFT(F$1,2))*2, 2),8) &amp; " 0x" &amp;MID(Table1[[#This Row],[statusRaw]],1+HEX2DEC(LEFT(F$1,2))*2, 2)</f>
        <v>01010000 0x50</v>
      </c>
      <c r="G104" s="3" t="b">
        <f>MID(Table1[[#This Row],[03 - pump status (1)]],1,1)="1"</f>
        <v>0</v>
      </c>
      <c r="H104" s="3" t="b">
        <f>MID(Table1[[#This Row],[03 - pump status (1)]],2,1)="1"</f>
        <v>1</v>
      </c>
      <c r="I104" s="3" t="b">
        <f>MID(Table1[[#This Row],[03 - pump status (1)]],3,1)="1"</f>
        <v>0</v>
      </c>
      <c r="J104" s="3" t="b">
        <f>MID(Table1[[#This Row],[03 - pump status (1)]],4,1)="1"</f>
        <v>1</v>
      </c>
      <c r="K104" s="3" t="b">
        <f>MID(Table1[[#This Row],[03 - pump status (1)]],5,1)="1"</f>
        <v>0</v>
      </c>
      <c r="L104" s="3" t="b">
        <f>MID(Table1[[#This Row],[03 - pump status (1)]],6,1)="1"</f>
        <v>0</v>
      </c>
      <c r="M104" s="3" t="b">
        <f>MID(Table1[[#This Row],[03 - pump status (1)]],7,1)="1"</f>
        <v>0</v>
      </c>
      <c r="N104" s="3" t="b">
        <f>MID(Table1[[#This Row],[03 - pump status (1)]],8,1)="1"</f>
        <v>0</v>
      </c>
      <c r="O104" s="3" t="str">
        <f>MID(Table1[[#This Row],[statusRaw]],1+HEX2DEC(LEFT(O$1,2))*2, 8)</f>
        <v>00000000</v>
      </c>
      <c r="P104" s="3" t="str">
        <f>MID(Table1[[#This Row],[statusRaw]],1+HEX2DEC(LEFT(P$1,2))*2, 8)</f>
        <v>00000000</v>
      </c>
      <c r="Q104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04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04" s="3">
        <f>HEX2DEC(MID(Table1[[#This Row],[statusRaw]],1+HEX2DEC(LEFT(S$1,2))*2, 8))/10000</f>
        <v>0.9</v>
      </c>
      <c r="T104" s="3" t="str">
        <f>MID(Table1[[#This Row],[statusRaw]],1+HEX2DEC(LEFT(T$1,2))*2, 8)</f>
        <v>2789BBC5</v>
      </c>
      <c r="U104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0x2600 9728</v>
      </c>
      <c r="V104" s="3" t="str">
        <f>HEX2BIN(MID(Table1[[#This Row],[statusRaw]],1+HEX2DEC(LEFT(V$1,2))*2, 2),8) &amp; " 0x" &amp;MID(Table1[[#This Row],[statusRaw]],1+HEX2DEC(LEFT(V$1,2))*2, 2)</f>
        <v>00000001 0x01</v>
      </c>
      <c r="W104" s="3">
        <f>HEX2DEC(MID(Table1[[#This Row],[statusRaw]],1+HEX2DEC(LEFT(W$1,2))*2, 8))/10000</f>
        <v>0.4</v>
      </c>
      <c r="X104" s="3">
        <f>HEX2DEC(MID(Table1[[#This Row],[statusRaw]],1+HEX2DEC(LEFT(X$1,2))*2, 8))/10000</f>
        <v>0</v>
      </c>
      <c r="Y104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04" s="3">
        <f>HEX2DEC(MID(Table1[[#This Row],[statusRaw]],1+HEX2DEC(LEFT(Z$1,2))*2, 8))/10000</f>
        <v>5.6</v>
      </c>
      <c r="AA104" s="3">
        <f>HEX2DEC(MID(Table1[[#This Row],[statusRaw]],1+HEX2DEC(LEFT(AA$1,2))*2, 2))</f>
        <v>50</v>
      </c>
      <c r="AB104" s="3">
        <f>HEX2DEC(MID(Table1[[#This Row],[statusRaw]],1+HEX2DEC(LEFT(AB$1,2))*2, 8))/10000</f>
        <v>84.674999999999997</v>
      </c>
      <c r="AC104" s="3">
        <f>HEX2DEC(MID(Table1[[#This Row],[statusRaw]],1+HEX2DEC(LEFT(AC$1,2))*2, 2))</f>
        <v>25</v>
      </c>
      <c r="AD104" s="3">
        <f>HEX2DEC(MID(Table1[[#This Row],[statusRaw]],1+HEX2DEC(LEFT(AD$1,2))*2, 2))</f>
        <v>0</v>
      </c>
      <c r="AE104" s="3">
        <f>HEX2DEC(MID(Table1[[#This Row],[statusRaw]],1+HEX2DEC(LEFT(AE$1,2))*2, 8))/10000</f>
        <v>1.9</v>
      </c>
      <c r="AF104" s="3" t="str">
        <f>IF(AND(Table1[[#This Row],[cgm]],NOT(Table1[[#This Row],[35 - SGV special bit (2)]])), _xlfn.BITAND(HEX2DEC(MID(Table1[[#This Row],[statusRaw]],1+HEX2DEC(LEFT(AF$1,2))*2, 4)),HEX2DEC("1FF")),"")</f>
        <v/>
      </c>
      <c r="AG104" s="3" t="b">
        <f>_xlfn.BITAND(HEX2DEC(MID(Table1[[#This Row],[statusRaw]],1+HEX2DEC(LEFT(AG$1,2))*2, 4)),512)=512</f>
        <v>1</v>
      </c>
      <c r="AH104" s="3" t="str">
        <f>MID(Table1[[#This Row],[statusRaw]],1+HEX2DEC(LEFT(AF$1,2))*2, 8)</f>
        <v>03028673</v>
      </c>
      <c r="AI104" s="3" t="str">
        <f>MID(Table1[[#This Row],[statusRaw]],1+HEX2DEC(LEFT(AH$1,2))*2, 8)</f>
        <v>8673C960</v>
      </c>
      <c r="AJ104" s="3" t="str">
        <f>HEX2BIN(MID(Table1[[#This Row],[statusRaw]],1+HEX2DEC(LEFT(AJ$1,2))*2, 2),8) &amp; " 0x" &amp;MID(Table1[[#This Row],[statusRaw]],1+HEX2DEC(LEFT(AJ$1,2))*2, 2)</f>
        <v>00000000 0x00</v>
      </c>
      <c r="AK104" s="1" t="str">
        <f>HEX2BIN(MID(Table1[[#This Row],[statusRaw]],1+HEX2DEC(LEFT(AK$1,2))*2, 2),8) &amp; " 0x" &amp;MID(Table1[[#This Row],[statusRaw]],1+HEX2DEC(LEFT(AK$1,2))*2, 2)</f>
        <v>11100000 0xE0</v>
      </c>
      <c r="AL104" s="1" t="str">
        <f>VLOOKUP(Table1[[#This Row],[40 trend]],'Arrow status mapping'!$A$1:$B$8,2,FALSE)</f>
        <v>Undefined ??</v>
      </c>
      <c r="AM104" s="3" t="str">
        <f>HEX2BIN(MID(Table1[[#This Row],[statusRaw]],1+HEX2DEC(LEFT(AM$1,2))*2, 2),8) &amp; " 0x" &amp;MID(Table1[[#This Row],[statusRaw]],1+HEX2DEC(LEFT(AM$1,2))*2, 2)</f>
        <v>00010100 0x14</v>
      </c>
      <c r="AN104" s="3" t="str">
        <f>HEX2BIN(MID(Table1[[#This Row],[statusRaw]],1+HEX2DEC(LEFT(AN$1,2))*2, 2),8) &amp; " 0x" &amp;MID(Table1[[#This Row],[statusRaw]],1+HEX2DEC(LEFT(AN$1,2))*2, 2)</f>
        <v>00000000 0x00</v>
      </c>
      <c r="AO104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0x0000 0</v>
      </c>
      <c r="AP104" s="1" t="str">
        <f>HEX2BIN(MID(Table1[[#This Row],[statusRaw]],1+HEX2DEC(LEFT(AP$1,2))*2, 2),8) &amp; " 0x" &amp;MID(Table1[[#This Row],[statusRaw]],1+HEX2DEC(LEFT(AP$1,2))*2, 2)</f>
        <v>00101011 0x2B</v>
      </c>
      <c r="AQ104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104" s="3">
        <f>TRUNC(_xlfn.NUMBERVALUE(RIGHT(Table1[[#This Row],[46 rate of change (2)]],LEN(Table1[[#This Row],[46 rate of change (2)]])-7))/100)</f>
        <v>0</v>
      </c>
      <c r="AS104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04" s="3" t="b">
        <f>Table1[[#This Row],[calc arrow]]=Table1[[#This Row],[trend]]</f>
        <v>0</v>
      </c>
      <c r="AU104" s="3" t="str">
        <f>HEX2BIN(MID(Table1[[#This Row],[statusRaw]],1+HEX2DEC(LEFT(AU$1,2))*2, 2),8) &amp; " 0x" &amp;MID(Table1[[#This Row],[statusRaw]],1+HEX2DEC(LEFT(AU$1,2))*2, 2)</f>
        <v>00000000 0x00</v>
      </c>
      <c r="AV104" s="3">
        <f>HEX2DEC(MID(Table1[[#This Row],[statusRaw]],1+HEX2DEC(LEFT(AV$1,2))*2, 4))</f>
        <v>217</v>
      </c>
      <c r="AW104" s="3" t="str">
        <f>HEX2BIN(MID(Table1[[#This Row],[statusRaw]],1+HEX2DEC(LEFT(AW$1,2))*2, 2),8) &amp; " 0x" &amp;MID(Table1[[#This Row],[statusRaw]],1+HEX2DEC(LEFT(AW$1,2))*2, 2)</f>
        <v>00000000 0x00</v>
      </c>
      <c r="AX104" s="3" t="str">
        <f>HEX2BIN(MID(Table1[[#This Row],[statusRaw]],1+HEX2DEC(LEFT(AX$1,2))*2, 2),8) &amp; " 0x" &amp;MID(Table1[[#This Row],[statusRaw]],1+HEX2DEC(LEFT(AX$1,2))*2, 2)</f>
        <v>00000000 0x00</v>
      </c>
      <c r="AY104" s="3" t="str">
        <f>MID(Table1[[#This Row],[statusRaw]],1+HEX2DEC(LEFT(AY$1,2))*2, 8)</f>
        <v>00000000</v>
      </c>
      <c r="AZ104" s="3" t="str">
        <f>MID(Table1[[#This Row],[statusRaw]],1+HEX2DEC(LEFT(AZ$1,2))*2, 8)</f>
        <v>00000000</v>
      </c>
      <c r="BA104" s="3" t="str">
        <f>HEX2BIN(MID(Table1[[#This Row],[statusRaw]],1+HEX2DEC(LEFT(BA$1,2))*2, 2),8) &amp; " 0x" &amp;MID(Table1[[#This Row],[statusRaw]],1+HEX2DEC(LEFT(BA$1,2))*2, 2)</f>
        <v>00000000 0x00</v>
      </c>
      <c r="BB104" s="3" t="str">
        <f>HEX2BIN(MID(Table1[[#This Row],[statusRaw]],1+HEX2DEC(LEFT(BB$1,2))*2, 2),8) &amp; " 0x" &amp;MID(Table1[[#This Row],[statusRaw]],1+HEX2DEC(LEFT(BB$1,2))*2, 2)</f>
        <v>00000000 0x00</v>
      </c>
      <c r="BC104" s="3" t="str">
        <f>HEX2BIN(MID(Table1[[#This Row],[statusRaw]],1+HEX2DEC(LEFT(BC$1,2))*2, 2),8) &amp; " 0x" &amp;MID(Table1[[#This Row],[statusRaw]],1+HEX2DEC(LEFT(BC$1,2))*2, 2)</f>
        <v>00000000 0x00</v>
      </c>
      <c r="BD104" s="3" t="str">
        <f>MID(Table1[[#This Row],[statusRaw]],1+HEX2DEC(LEFT(BD$1,2))*2, 8)</f>
        <v>000008C5</v>
      </c>
      <c r="BE104" s="3" t="str">
        <f>MID(Table1[[#This Row],[statusRaw]],1+HEX2DEC(LEFT(BE$1,2))*2, 8)</f>
        <v>000008C5</v>
      </c>
      <c r="BF104" s="9"/>
    </row>
    <row r="105" spans="1:58" s="6" customFormat="1" x14ac:dyDescent="0.25">
      <c r="A105" s="4" t="s">
        <v>315</v>
      </c>
      <c r="B105" s="4" t="s">
        <v>316</v>
      </c>
      <c r="C105" s="4" t="s">
        <v>7</v>
      </c>
      <c r="D105" s="4" t="s">
        <v>317</v>
      </c>
      <c r="E105" s="4">
        <v>12</v>
      </c>
      <c r="F105" s="5" t="str">
        <f>HEX2BIN(MID(Table1[[#This Row],[statusRaw]],1+HEX2DEC(LEFT(F$1,2))*2, 2),8) &amp; " 0x" &amp;MID(Table1[[#This Row],[statusRaw]],1+HEX2DEC(LEFT(F$1,2))*2, 2)</f>
        <v>01010000 0x50</v>
      </c>
      <c r="G105" s="5" t="b">
        <f>MID(Table1[[#This Row],[03 - pump status (1)]],1,1)="1"</f>
        <v>0</v>
      </c>
      <c r="H105" s="5" t="b">
        <f>MID(Table1[[#This Row],[03 - pump status (1)]],2,1)="1"</f>
        <v>1</v>
      </c>
      <c r="I105" s="5" t="b">
        <f>MID(Table1[[#This Row],[03 - pump status (1)]],3,1)="1"</f>
        <v>0</v>
      </c>
      <c r="J105" s="5" t="b">
        <f>MID(Table1[[#This Row],[03 - pump status (1)]],4,1)="1"</f>
        <v>1</v>
      </c>
      <c r="K105" s="5" t="b">
        <f>MID(Table1[[#This Row],[03 - pump status (1)]],5,1)="1"</f>
        <v>0</v>
      </c>
      <c r="L105" s="5" t="b">
        <f>MID(Table1[[#This Row],[03 - pump status (1)]],6,1)="1"</f>
        <v>0</v>
      </c>
      <c r="M105" s="5" t="b">
        <f>MID(Table1[[#This Row],[03 - pump status (1)]],7,1)="1"</f>
        <v>0</v>
      </c>
      <c r="N105" s="5" t="b">
        <f>MID(Table1[[#This Row],[03 - pump status (1)]],8,1)="1"</f>
        <v>0</v>
      </c>
      <c r="O105" s="5" t="str">
        <f>MID(Table1[[#This Row],[statusRaw]],1+HEX2DEC(LEFT(O$1,2))*2, 8)</f>
        <v>00000000</v>
      </c>
      <c r="P105" s="5" t="str">
        <f>MID(Table1[[#This Row],[statusRaw]],1+HEX2DEC(LEFT(P$1,2))*2, 8)</f>
        <v>00000000</v>
      </c>
      <c r="Q105" s="5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05" s="5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05" s="5">
        <f>HEX2DEC(MID(Table1[[#This Row],[statusRaw]],1+HEX2DEC(LEFT(S$1,2))*2, 8))/10000</f>
        <v>0.9</v>
      </c>
      <c r="T105" s="5" t="str">
        <f>MID(Table1[[#This Row],[statusRaw]],1+HEX2DEC(LEFT(T$1,2))*2, 8)</f>
        <v>2789BBC5</v>
      </c>
      <c r="U105" s="5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0x2600 9728</v>
      </c>
      <c r="V105" s="5" t="str">
        <f>HEX2BIN(MID(Table1[[#This Row],[statusRaw]],1+HEX2DEC(LEFT(V$1,2))*2, 2),8) &amp; " 0x" &amp;MID(Table1[[#This Row],[statusRaw]],1+HEX2DEC(LEFT(V$1,2))*2, 2)</f>
        <v>00000001 0x01</v>
      </c>
      <c r="W105" s="5">
        <f>HEX2DEC(MID(Table1[[#This Row],[statusRaw]],1+HEX2DEC(LEFT(W$1,2))*2, 8))/10000</f>
        <v>0.4</v>
      </c>
      <c r="X105" s="5">
        <f>HEX2DEC(MID(Table1[[#This Row],[statusRaw]],1+HEX2DEC(LEFT(X$1,2))*2, 8))/10000</f>
        <v>0</v>
      </c>
      <c r="Y105" s="5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05" s="5">
        <f>HEX2DEC(MID(Table1[[#This Row],[statusRaw]],1+HEX2DEC(LEFT(Z$1,2))*2, 8))/10000</f>
        <v>5.5750000000000002</v>
      </c>
      <c r="AA105" s="5">
        <f>HEX2DEC(MID(Table1[[#This Row],[statusRaw]],1+HEX2DEC(LEFT(AA$1,2))*2, 2))</f>
        <v>50</v>
      </c>
      <c r="AB105" s="5">
        <f>HEX2DEC(MID(Table1[[#This Row],[statusRaw]],1+HEX2DEC(LEFT(AB$1,2))*2, 8))/10000</f>
        <v>84.7</v>
      </c>
      <c r="AC105" s="5">
        <f>HEX2DEC(MID(Table1[[#This Row],[statusRaw]],1+HEX2DEC(LEFT(AC$1,2))*2, 2))</f>
        <v>25</v>
      </c>
      <c r="AD105" s="5">
        <f>HEX2DEC(MID(Table1[[#This Row],[statusRaw]],1+HEX2DEC(LEFT(AD$1,2))*2, 2))</f>
        <v>0</v>
      </c>
      <c r="AE105" s="5">
        <f>HEX2DEC(MID(Table1[[#This Row],[statusRaw]],1+HEX2DEC(LEFT(AE$1,2))*2, 8))/10000</f>
        <v>2</v>
      </c>
      <c r="AF105" s="5" t="str">
        <f>IF(AND(Table1[[#This Row],[cgm]],NOT(Table1[[#This Row],[35 - SGV special bit (2)]])), _xlfn.BITAND(HEX2DEC(MID(Table1[[#This Row],[statusRaw]],1+HEX2DEC(LEFT(AF$1,2))*2, 4)),HEX2DEC("1FF")),"")</f>
        <v/>
      </c>
      <c r="AG105" s="5" t="b">
        <f>_xlfn.BITAND(HEX2DEC(MID(Table1[[#This Row],[statusRaw]],1+HEX2DEC(LEFT(AG$1,2))*2, 4)),512)=512</f>
        <v>1</v>
      </c>
      <c r="AH105" s="5" t="str">
        <f>MID(Table1[[#This Row],[statusRaw]],1+HEX2DEC(LEFT(AF$1,2))*2, 8)</f>
        <v>03028673</v>
      </c>
      <c r="AI105" s="5" t="str">
        <f>MID(Table1[[#This Row],[statusRaw]],1+HEX2DEC(LEFT(AH$1,2))*2, 8)</f>
        <v>8673C960</v>
      </c>
      <c r="AJ105" s="5" t="str">
        <f>HEX2BIN(MID(Table1[[#This Row],[statusRaw]],1+HEX2DEC(LEFT(AJ$1,2))*2, 2),8) &amp; " 0x" &amp;MID(Table1[[#This Row],[statusRaw]],1+HEX2DEC(LEFT(AJ$1,2))*2, 2)</f>
        <v>00000000 0x00</v>
      </c>
      <c r="AK105" s="4" t="str">
        <f>HEX2BIN(MID(Table1[[#This Row],[statusRaw]],1+HEX2DEC(LEFT(AK$1,2))*2, 2),8) &amp; " 0x" &amp;MID(Table1[[#This Row],[statusRaw]],1+HEX2DEC(LEFT(AK$1,2))*2, 2)</f>
        <v>11100000 0xE0</v>
      </c>
      <c r="AL105" s="4" t="str">
        <f>VLOOKUP(Table1[[#This Row],[40 trend]],'Arrow status mapping'!$A$1:$B$8,2,FALSE)</f>
        <v>Undefined ??</v>
      </c>
      <c r="AM105" s="5" t="str">
        <f>HEX2BIN(MID(Table1[[#This Row],[statusRaw]],1+HEX2DEC(LEFT(AM$1,2))*2, 2),8) &amp; " 0x" &amp;MID(Table1[[#This Row],[statusRaw]],1+HEX2DEC(LEFT(AM$1,2))*2, 2)</f>
        <v>00010100 0x14</v>
      </c>
      <c r="AN105" s="5" t="str">
        <f>HEX2BIN(MID(Table1[[#This Row],[statusRaw]],1+HEX2DEC(LEFT(AN$1,2))*2, 2),8) &amp; " 0x" &amp;MID(Table1[[#This Row],[statusRaw]],1+HEX2DEC(LEFT(AN$1,2))*2, 2)</f>
        <v>00000000 0x00</v>
      </c>
      <c r="AO105" s="5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0x0000 0</v>
      </c>
      <c r="AP105" s="4" t="str">
        <f>HEX2BIN(MID(Table1[[#This Row],[statusRaw]],1+HEX2DEC(LEFT(AP$1,2))*2, 2),8) &amp; " 0x" &amp;MID(Table1[[#This Row],[statusRaw]],1+HEX2DEC(LEFT(AP$1,2))*2, 2)</f>
        <v>00101011 0x2B</v>
      </c>
      <c r="AQ105" s="4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105" s="5">
        <f>TRUNC(_xlfn.NUMBERVALUE(RIGHT(Table1[[#This Row],[46 rate of change (2)]],LEN(Table1[[#This Row],[46 rate of change (2)]])-7))/100)</f>
        <v>0</v>
      </c>
      <c r="AS105" s="5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05" s="5" t="b">
        <f>Table1[[#This Row],[calc arrow]]=Table1[[#This Row],[trend]]</f>
        <v>0</v>
      </c>
      <c r="AU105" s="5" t="str">
        <f>HEX2BIN(MID(Table1[[#This Row],[statusRaw]],1+HEX2DEC(LEFT(AU$1,2))*2, 2),8) &amp; " 0x" &amp;MID(Table1[[#This Row],[statusRaw]],1+HEX2DEC(LEFT(AU$1,2))*2, 2)</f>
        <v>00000000 0x00</v>
      </c>
      <c r="AV105" s="5">
        <f>HEX2DEC(MID(Table1[[#This Row],[statusRaw]],1+HEX2DEC(LEFT(AV$1,2))*2, 4))</f>
        <v>217</v>
      </c>
      <c r="AW105" s="5" t="str">
        <f>HEX2BIN(MID(Table1[[#This Row],[statusRaw]],1+HEX2DEC(LEFT(AW$1,2))*2, 2),8) &amp; " 0x" &amp;MID(Table1[[#This Row],[statusRaw]],1+HEX2DEC(LEFT(AW$1,2))*2, 2)</f>
        <v>00000000 0x00</v>
      </c>
      <c r="AX105" s="5" t="str">
        <f>HEX2BIN(MID(Table1[[#This Row],[statusRaw]],1+HEX2DEC(LEFT(AX$1,2))*2, 2),8) &amp; " 0x" &amp;MID(Table1[[#This Row],[statusRaw]],1+HEX2DEC(LEFT(AX$1,2))*2, 2)</f>
        <v>00000000 0x00</v>
      </c>
      <c r="AY105" s="5" t="str">
        <f>MID(Table1[[#This Row],[statusRaw]],1+HEX2DEC(LEFT(AY$1,2))*2, 8)</f>
        <v>00000000</v>
      </c>
      <c r="AZ105" s="5" t="str">
        <f>MID(Table1[[#This Row],[statusRaw]],1+HEX2DEC(LEFT(AZ$1,2))*2, 8)</f>
        <v>00000000</v>
      </c>
      <c r="BA105" s="5" t="str">
        <f>HEX2BIN(MID(Table1[[#This Row],[statusRaw]],1+HEX2DEC(LEFT(BA$1,2))*2, 2),8) &amp; " 0x" &amp;MID(Table1[[#This Row],[statusRaw]],1+HEX2DEC(LEFT(BA$1,2))*2, 2)</f>
        <v>00000000 0x00</v>
      </c>
      <c r="BB105" s="5" t="str">
        <f>HEX2BIN(MID(Table1[[#This Row],[statusRaw]],1+HEX2DEC(LEFT(BB$1,2))*2, 2),8) &amp; " 0x" &amp;MID(Table1[[#This Row],[statusRaw]],1+HEX2DEC(LEFT(BB$1,2))*2, 2)</f>
        <v>00000000 0x00</v>
      </c>
      <c r="BC105" s="5" t="str">
        <f>HEX2BIN(MID(Table1[[#This Row],[statusRaw]],1+HEX2DEC(LEFT(BC$1,2))*2, 2),8) &amp; " 0x" &amp;MID(Table1[[#This Row],[statusRaw]],1+HEX2DEC(LEFT(BC$1,2))*2, 2)</f>
        <v>00000000 0x00</v>
      </c>
      <c r="BD105" s="5" t="str">
        <f>MID(Table1[[#This Row],[statusRaw]],1+HEX2DEC(LEFT(BD$1,2))*2, 8)</f>
        <v>000008C5</v>
      </c>
      <c r="BE105" s="5" t="str">
        <f>MID(Table1[[#This Row],[statusRaw]],1+HEX2DEC(LEFT(BE$1,2))*2, 8)</f>
        <v>000008C5</v>
      </c>
      <c r="BF105" s="10" t="s">
        <v>370</v>
      </c>
    </row>
    <row r="106" spans="1:58" s="6" customFormat="1" x14ac:dyDescent="0.25">
      <c r="A106" s="4" t="s">
        <v>318</v>
      </c>
      <c r="B106" s="4" t="s">
        <v>319</v>
      </c>
      <c r="C106" s="4" t="s">
        <v>7</v>
      </c>
      <c r="D106" s="4" t="s">
        <v>320</v>
      </c>
      <c r="E106" s="4">
        <v>12</v>
      </c>
      <c r="F106" s="5" t="str">
        <f>HEX2BIN(MID(Table1[[#This Row],[statusRaw]],1+HEX2DEC(LEFT(F$1,2))*2, 2),8) &amp; " 0x" &amp;MID(Table1[[#This Row],[statusRaw]],1+HEX2DEC(LEFT(F$1,2))*2, 2)</f>
        <v>01010000 0x50</v>
      </c>
      <c r="G106" s="5" t="b">
        <f>MID(Table1[[#This Row],[03 - pump status (1)]],1,1)="1"</f>
        <v>0</v>
      </c>
      <c r="H106" s="5" t="b">
        <f>MID(Table1[[#This Row],[03 - pump status (1)]],2,1)="1"</f>
        <v>1</v>
      </c>
      <c r="I106" s="5" t="b">
        <f>MID(Table1[[#This Row],[03 - pump status (1)]],3,1)="1"</f>
        <v>0</v>
      </c>
      <c r="J106" s="5" t="b">
        <f>MID(Table1[[#This Row],[03 - pump status (1)]],4,1)="1"</f>
        <v>1</v>
      </c>
      <c r="K106" s="5" t="b">
        <f>MID(Table1[[#This Row],[03 - pump status (1)]],5,1)="1"</f>
        <v>0</v>
      </c>
      <c r="L106" s="5" t="b">
        <f>MID(Table1[[#This Row],[03 - pump status (1)]],6,1)="1"</f>
        <v>0</v>
      </c>
      <c r="M106" s="5" t="b">
        <f>MID(Table1[[#This Row],[03 - pump status (1)]],7,1)="1"</f>
        <v>0</v>
      </c>
      <c r="N106" s="5" t="b">
        <f>MID(Table1[[#This Row],[03 - pump status (1)]],8,1)="1"</f>
        <v>0</v>
      </c>
      <c r="O106" s="5" t="str">
        <f>MID(Table1[[#This Row],[statusRaw]],1+HEX2DEC(LEFT(O$1,2))*2, 8)</f>
        <v>00000000</v>
      </c>
      <c r="P106" s="5" t="str">
        <f>MID(Table1[[#This Row],[statusRaw]],1+HEX2DEC(LEFT(P$1,2))*2, 8)</f>
        <v>00000000</v>
      </c>
      <c r="Q106" s="5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06" s="5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06" s="5">
        <f>HEX2DEC(MID(Table1[[#This Row],[statusRaw]],1+HEX2DEC(LEFT(S$1,2))*2, 8))/10000</f>
        <v>0.9</v>
      </c>
      <c r="T106" s="5" t="str">
        <f>MID(Table1[[#This Row],[statusRaw]],1+HEX2DEC(LEFT(T$1,2))*2, 8)</f>
        <v>2789BBC5</v>
      </c>
      <c r="U106" s="5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0x2600 9728</v>
      </c>
      <c r="V106" s="5" t="str">
        <f>HEX2BIN(MID(Table1[[#This Row],[statusRaw]],1+HEX2DEC(LEFT(V$1,2))*2, 2),8) &amp; " 0x" &amp;MID(Table1[[#This Row],[statusRaw]],1+HEX2DEC(LEFT(V$1,2))*2, 2)</f>
        <v>00000001 0x01</v>
      </c>
      <c r="W106" s="5">
        <f>HEX2DEC(MID(Table1[[#This Row],[statusRaw]],1+HEX2DEC(LEFT(W$1,2))*2, 8))/10000</f>
        <v>0.4</v>
      </c>
      <c r="X106" s="5">
        <f>HEX2DEC(MID(Table1[[#This Row],[statusRaw]],1+HEX2DEC(LEFT(X$1,2))*2, 8))/10000</f>
        <v>0</v>
      </c>
      <c r="Y106" s="5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06" s="5">
        <f>HEX2DEC(MID(Table1[[#This Row],[statusRaw]],1+HEX2DEC(LEFT(Z$1,2))*2, 8))/10000</f>
        <v>5.5750000000000002</v>
      </c>
      <c r="AA106" s="5">
        <f>HEX2DEC(MID(Table1[[#This Row],[statusRaw]],1+HEX2DEC(LEFT(AA$1,2))*2, 2))</f>
        <v>50</v>
      </c>
      <c r="AB106" s="5">
        <f>HEX2DEC(MID(Table1[[#This Row],[statusRaw]],1+HEX2DEC(LEFT(AB$1,2))*2, 8))/10000</f>
        <v>84.7</v>
      </c>
      <c r="AC106" s="5">
        <f>HEX2DEC(MID(Table1[[#This Row],[statusRaw]],1+HEX2DEC(LEFT(AC$1,2))*2, 2))</f>
        <v>25</v>
      </c>
      <c r="AD106" s="5">
        <f>HEX2DEC(MID(Table1[[#This Row],[statusRaw]],1+HEX2DEC(LEFT(AD$1,2))*2, 2))</f>
        <v>0</v>
      </c>
      <c r="AE106" s="5">
        <f>HEX2DEC(MID(Table1[[#This Row],[statusRaw]],1+HEX2DEC(LEFT(AE$1,2))*2, 8))/10000</f>
        <v>2</v>
      </c>
      <c r="AF106" s="5">
        <f>IF(AND(Table1[[#This Row],[cgm]],NOT(Table1[[#This Row],[35 - SGV special bit (2)]])), _xlfn.BITAND(HEX2DEC(MID(Table1[[#This Row],[statusRaw]],1+HEX2DEC(LEFT(AF$1,2))*2, 4)),HEX2DEC("1FF")),"")</f>
        <v>175</v>
      </c>
      <c r="AG106" s="5" t="b">
        <f>_xlfn.BITAND(HEX2DEC(MID(Table1[[#This Row],[statusRaw]],1+HEX2DEC(LEFT(AG$1,2))*2, 4)),512)=512</f>
        <v>0</v>
      </c>
      <c r="AH106" s="5" t="str">
        <f>MID(Table1[[#This Row],[statusRaw]],1+HEX2DEC(LEFT(AF$1,2))*2, 8)</f>
        <v>00AF8673</v>
      </c>
      <c r="AI106" s="5" t="str">
        <f>MID(Table1[[#This Row],[statusRaw]],1+HEX2DEC(LEFT(AH$1,2))*2, 8)</f>
        <v>8673C834</v>
      </c>
      <c r="AJ106" s="5" t="str">
        <f>HEX2BIN(MID(Table1[[#This Row],[statusRaw]],1+HEX2DEC(LEFT(AJ$1,2))*2, 2),8) &amp; " 0x" &amp;MID(Table1[[#This Row],[statusRaw]],1+HEX2DEC(LEFT(AJ$1,2))*2, 2)</f>
        <v>00000000 0x00</v>
      </c>
      <c r="AK106" s="4" t="str">
        <f>HEX2BIN(MID(Table1[[#This Row],[statusRaw]],1+HEX2DEC(LEFT(AK$1,2))*2, 2),8) &amp; " 0x" &amp;MID(Table1[[#This Row],[statusRaw]],1+HEX2DEC(LEFT(AK$1,2))*2, 2)</f>
        <v>01100000 0x60</v>
      </c>
      <c r="AL106" s="4" t="str">
        <f>VLOOKUP(Table1[[#This Row],[40 trend]],'Arrow status mapping'!$A$1:$B$8,2,FALSE)</f>
        <v>No arrows</v>
      </c>
      <c r="AM106" s="5" t="str">
        <f>HEX2BIN(MID(Table1[[#This Row],[statusRaw]],1+HEX2DEC(LEFT(AM$1,2))*2, 2),8) &amp; " 0x" &amp;MID(Table1[[#This Row],[statusRaw]],1+HEX2DEC(LEFT(AM$1,2))*2, 2)</f>
        <v>00010000 0x10</v>
      </c>
      <c r="AN106" s="5" t="str">
        <f>HEX2BIN(MID(Table1[[#This Row],[statusRaw]],1+HEX2DEC(LEFT(AN$1,2))*2, 2),8) &amp; " 0x" &amp;MID(Table1[[#This Row],[statusRaw]],1+HEX2DEC(LEFT(AN$1,2))*2, 2)</f>
        <v>00000000 0x00</v>
      </c>
      <c r="AO106" s="5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0x0005 5</v>
      </c>
      <c r="AP106" s="4" t="str">
        <f>HEX2BIN(MID(Table1[[#This Row],[statusRaw]],1+HEX2DEC(LEFT(AP$1,2))*2, 2),8) &amp; " 0x" &amp;MID(Table1[[#This Row],[statusRaw]],1+HEX2DEC(LEFT(AP$1,2))*2, 2)</f>
        <v>00101011 0x2B</v>
      </c>
      <c r="AQ106" s="4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0x0043 67</v>
      </c>
      <c r="AR106" s="5">
        <f>TRUNC(_xlfn.NUMBERVALUE(RIGHT(Table1[[#This Row],[46 rate of change (2)]],LEN(Table1[[#This Row],[46 rate of change (2)]])-7))/100)</f>
        <v>0</v>
      </c>
      <c r="AS106" s="5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06" s="5" t="b">
        <f>Table1[[#This Row],[calc arrow]]=Table1[[#This Row],[trend]]</f>
        <v>1</v>
      </c>
      <c r="AU106" s="5" t="str">
        <f>HEX2BIN(MID(Table1[[#This Row],[statusRaw]],1+HEX2DEC(LEFT(AU$1,2))*2, 2),8) &amp; " 0x" &amp;MID(Table1[[#This Row],[statusRaw]],1+HEX2DEC(LEFT(AU$1,2))*2, 2)</f>
        <v>00000000 0x00</v>
      </c>
      <c r="AV106" s="5">
        <f>HEX2DEC(MID(Table1[[#This Row],[statusRaw]],1+HEX2DEC(LEFT(AV$1,2))*2, 4))</f>
        <v>0</v>
      </c>
      <c r="AW106" s="5" t="str">
        <f>HEX2BIN(MID(Table1[[#This Row],[statusRaw]],1+HEX2DEC(LEFT(AW$1,2))*2, 2),8) &amp; " 0x" &amp;MID(Table1[[#This Row],[statusRaw]],1+HEX2DEC(LEFT(AW$1,2))*2, 2)</f>
        <v>00000000 0x00</v>
      </c>
      <c r="AX106" s="5" t="str">
        <f>HEX2BIN(MID(Table1[[#This Row],[statusRaw]],1+HEX2DEC(LEFT(AX$1,2))*2, 2),8) &amp; " 0x" &amp;MID(Table1[[#This Row],[statusRaw]],1+HEX2DEC(LEFT(AX$1,2))*2, 2)</f>
        <v>00000000 0x00</v>
      </c>
      <c r="AY106" s="5" t="str">
        <f>MID(Table1[[#This Row],[statusRaw]],1+HEX2DEC(LEFT(AY$1,2))*2, 8)</f>
        <v>00000000</v>
      </c>
      <c r="AZ106" s="5" t="str">
        <f>MID(Table1[[#This Row],[statusRaw]],1+HEX2DEC(LEFT(AZ$1,2))*2, 8)</f>
        <v>00000000</v>
      </c>
      <c r="BA106" s="5" t="str">
        <f>HEX2BIN(MID(Table1[[#This Row],[statusRaw]],1+HEX2DEC(LEFT(BA$1,2))*2, 2),8) &amp; " 0x" &amp;MID(Table1[[#This Row],[statusRaw]],1+HEX2DEC(LEFT(BA$1,2))*2, 2)</f>
        <v>00000000 0x00</v>
      </c>
      <c r="BB106" s="5" t="str">
        <f>HEX2BIN(MID(Table1[[#This Row],[statusRaw]],1+HEX2DEC(LEFT(BB$1,2))*2, 2),8) &amp; " 0x" &amp;MID(Table1[[#This Row],[statusRaw]],1+HEX2DEC(LEFT(BB$1,2))*2, 2)</f>
        <v>00000000 0x00</v>
      </c>
      <c r="BC106" s="5" t="str">
        <f>HEX2BIN(MID(Table1[[#This Row],[statusRaw]],1+HEX2DEC(LEFT(BC$1,2))*2, 2),8) &amp; " 0x" &amp;MID(Table1[[#This Row],[statusRaw]],1+HEX2DEC(LEFT(BC$1,2))*2, 2)</f>
        <v>00000000 0x00</v>
      </c>
      <c r="BD106" s="5" t="str">
        <f>MID(Table1[[#This Row],[statusRaw]],1+HEX2DEC(LEFT(BD$1,2))*2, 8)</f>
        <v>000008C5</v>
      </c>
      <c r="BE106" s="5" t="str">
        <f>MID(Table1[[#This Row],[statusRaw]],1+HEX2DEC(LEFT(BE$1,2))*2, 8)</f>
        <v>000008C5</v>
      </c>
      <c r="BF106" s="10"/>
    </row>
    <row r="107" spans="1:58" x14ac:dyDescent="0.25">
      <c r="A107" s="1" t="s">
        <v>321</v>
      </c>
      <c r="B107" s="1" t="s">
        <v>322</v>
      </c>
      <c r="C107" s="1" t="s">
        <v>7</v>
      </c>
      <c r="D107" s="1" t="s">
        <v>323</v>
      </c>
      <c r="E107" s="1">
        <v>12</v>
      </c>
      <c r="F107" s="3" t="str">
        <f>HEX2BIN(MID(Table1[[#This Row],[statusRaw]],1+HEX2DEC(LEFT(F$1,2))*2, 2),8) &amp; " 0x" &amp;MID(Table1[[#This Row],[statusRaw]],1+HEX2DEC(LEFT(F$1,2))*2, 2)</f>
        <v>01010000 0x50</v>
      </c>
      <c r="G107" s="3" t="b">
        <f>MID(Table1[[#This Row],[03 - pump status (1)]],1,1)="1"</f>
        <v>0</v>
      </c>
      <c r="H107" s="3" t="b">
        <f>MID(Table1[[#This Row],[03 - pump status (1)]],2,1)="1"</f>
        <v>1</v>
      </c>
      <c r="I107" s="3" t="b">
        <f>MID(Table1[[#This Row],[03 - pump status (1)]],3,1)="1"</f>
        <v>0</v>
      </c>
      <c r="J107" s="3" t="b">
        <f>MID(Table1[[#This Row],[03 - pump status (1)]],4,1)="1"</f>
        <v>1</v>
      </c>
      <c r="K107" s="3" t="b">
        <f>MID(Table1[[#This Row],[03 - pump status (1)]],5,1)="1"</f>
        <v>0</v>
      </c>
      <c r="L107" s="3" t="b">
        <f>MID(Table1[[#This Row],[03 - pump status (1)]],6,1)="1"</f>
        <v>0</v>
      </c>
      <c r="M107" s="3" t="b">
        <f>MID(Table1[[#This Row],[03 - pump status (1)]],7,1)="1"</f>
        <v>0</v>
      </c>
      <c r="N107" s="3" t="b">
        <f>MID(Table1[[#This Row],[03 - pump status (1)]],8,1)="1"</f>
        <v>0</v>
      </c>
      <c r="O107" s="3" t="str">
        <f>MID(Table1[[#This Row],[statusRaw]],1+HEX2DEC(LEFT(O$1,2))*2, 8)</f>
        <v>00000000</v>
      </c>
      <c r="P107" s="3" t="str">
        <f>MID(Table1[[#This Row],[statusRaw]],1+HEX2DEC(LEFT(P$1,2))*2, 8)</f>
        <v>00000000</v>
      </c>
      <c r="Q107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07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07" s="3">
        <f>HEX2DEC(MID(Table1[[#This Row],[statusRaw]],1+HEX2DEC(LEFT(S$1,2))*2, 8))/10000</f>
        <v>0.9</v>
      </c>
      <c r="T107" s="3" t="str">
        <f>MID(Table1[[#This Row],[statusRaw]],1+HEX2DEC(LEFT(T$1,2))*2, 8)</f>
        <v>2789BBC5</v>
      </c>
      <c r="U107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0x2600 9728</v>
      </c>
      <c r="V107" s="3" t="str">
        <f>HEX2BIN(MID(Table1[[#This Row],[statusRaw]],1+HEX2DEC(LEFT(V$1,2))*2, 2),8) &amp; " 0x" &amp;MID(Table1[[#This Row],[statusRaw]],1+HEX2DEC(LEFT(V$1,2))*2, 2)</f>
        <v>00000001 0x01</v>
      </c>
      <c r="W107" s="3">
        <f>HEX2DEC(MID(Table1[[#This Row],[statusRaw]],1+HEX2DEC(LEFT(W$1,2))*2, 8))/10000</f>
        <v>0.4</v>
      </c>
      <c r="X107" s="3">
        <f>HEX2DEC(MID(Table1[[#This Row],[statusRaw]],1+HEX2DEC(LEFT(X$1,2))*2, 8))/10000</f>
        <v>0</v>
      </c>
      <c r="Y107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07" s="3">
        <f>HEX2DEC(MID(Table1[[#This Row],[statusRaw]],1+HEX2DEC(LEFT(Z$1,2))*2, 8))/10000</f>
        <v>5.5250000000000004</v>
      </c>
      <c r="AA107" s="3">
        <f>HEX2DEC(MID(Table1[[#This Row],[statusRaw]],1+HEX2DEC(LEFT(AA$1,2))*2, 2))</f>
        <v>50</v>
      </c>
      <c r="AB107" s="3">
        <f>HEX2DEC(MID(Table1[[#This Row],[statusRaw]],1+HEX2DEC(LEFT(AB$1,2))*2, 8))/10000</f>
        <v>84.75</v>
      </c>
      <c r="AC107" s="3">
        <f>HEX2DEC(MID(Table1[[#This Row],[statusRaw]],1+HEX2DEC(LEFT(AC$1,2))*2, 2))</f>
        <v>25</v>
      </c>
      <c r="AD107" s="3">
        <f>HEX2DEC(MID(Table1[[#This Row],[statusRaw]],1+HEX2DEC(LEFT(AD$1,2))*2, 2))</f>
        <v>0</v>
      </c>
      <c r="AE107" s="3">
        <f>HEX2DEC(MID(Table1[[#This Row],[statusRaw]],1+HEX2DEC(LEFT(AE$1,2))*2, 8))/10000</f>
        <v>2.1</v>
      </c>
      <c r="AF107" s="3">
        <f>IF(AND(Table1[[#This Row],[cgm]],NOT(Table1[[#This Row],[35 - SGV special bit (2)]])), _xlfn.BITAND(HEX2DEC(MID(Table1[[#This Row],[statusRaw]],1+HEX2DEC(LEFT(AF$1,2))*2, 4)),HEX2DEC("1FF")),"")</f>
        <v>172</v>
      </c>
      <c r="AG107" s="3" t="b">
        <f>_xlfn.BITAND(HEX2DEC(MID(Table1[[#This Row],[statusRaw]],1+HEX2DEC(LEFT(AG$1,2))*2, 4)),512)=512</f>
        <v>0</v>
      </c>
      <c r="AH107" s="3" t="str">
        <f>MID(Table1[[#This Row],[statusRaw]],1+HEX2DEC(LEFT(AF$1,2))*2, 8)</f>
        <v>00AC8673</v>
      </c>
      <c r="AI107" s="3" t="str">
        <f>MID(Table1[[#This Row],[statusRaw]],1+HEX2DEC(LEFT(AH$1,2))*2, 8)</f>
        <v>8673C708</v>
      </c>
      <c r="AJ107" s="3" t="str">
        <f>HEX2BIN(MID(Table1[[#This Row],[statusRaw]],1+HEX2DEC(LEFT(AJ$1,2))*2, 2),8) &amp; " 0x" &amp;MID(Table1[[#This Row],[statusRaw]],1+HEX2DEC(LEFT(AJ$1,2))*2, 2)</f>
        <v>00000000 0x00</v>
      </c>
      <c r="AK107" s="1" t="str">
        <f>HEX2BIN(MID(Table1[[#This Row],[statusRaw]],1+HEX2DEC(LEFT(AK$1,2))*2, 2),8) &amp; " 0x" &amp;MID(Table1[[#This Row],[statusRaw]],1+HEX2DEC(LEFT(AK$1,2))*2, 2)</f>
        <v>01100000 0x60</v>
      </c>
      <c r="AL107" s="1" t="str">
        <f>VLOOKUP(Table1[[#This Row],[40 trend]],'Arrow status mapping'!$A$1:$B$8,2,FALSE)</f>
        <v>No arrows</v>
      </c>
      <c r="AM107" s="3" t="str">
        <f>HEX2BIN(MID(Table1[[#This Row],[statusRaw]],1+HEX2DEC(LEFT(AM$1,2))*2, 2),8) &amp; " 0x" &amp;MID(Table1[[#This Row],[statusRaw]],1+HEX2DEC(LEFT(AM$1,2))*2, 2)</f>
        <v>00010000 0x10</v>
      </c>
      <c r="AN107" s="3" t="str">
        <f>HEX2BIN(MID(Table1[[#This Row],[statusRaw]],1+HEX2DEC(LEFT(AN$1,2))*2, 2),8) &amp; " 0x" &amp;MID(Table1[[#This Row],[statusRaw]],1+HEX2DEC(LEFT(AN$1,2))*2, 2)</f>
        <v>00000000 0x00</v>
      </c>
      <c r="AO107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0x000A 10</v>
      </c>
      <c r="AP107" s="1" t="str">
        <f>HEX2BIN(MID(Table1[[#This Row],[statusRaw]],1+HEX2DEC(LEFT(AP$1,2))*2, 2),8) &amp; " 0x" &amp;MID(Table1[[#This Row],[statusRaw]],1+HEX2DEC(LEFT(AP$1,2))*2, 2)</f>
        <v>00101011 0x2B</v>
      </c>
      <c r="AQ107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0x0051 81</v>
      </c>
      <c r="AR107" s="3">
        <f>TRUNC(_xlfn.NUMBERVALUE(RIGHT(Table1[[#This Row],[46 rate of change (2)]],LEN(Table1[[#This Row],[46 rate of change (2)]])-7))/100)</f>
        <v>0</v>
      </c>
      <c r="AS107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07" s="3" t="b">
        <f>Table1[[#This Row],[calc arrow]]=Table1[[#This Row],[trend]]</f>
        <v>1</v>
      </c>
      <c r="AU107" s="3" t="str">
        <f>HEX2BIN(MID(Table1[[#This Row],[statusRaw]],1+HEX2DEC(LEFT(AU$1,2))*2, 2),8) &amp; " 0x" &amp;MID(Table1[[#This Row],[statusRaw]],1+HEX2DEC(LEFT(AU$1,2))*2, 2)</f>
        <v>00000000 0x00</v>
      </c>
      <c r="AV107" s="3">
        <f>HEX2DEC(MID(Table1[[#This Row],[statusRaw]],1+HEX2DEC(LEFT(AV$1,2))*2, 4))</f>
        <v>0</v>
      </c>
      <c r="AW107" s="3" t="str">
        <f>HEX2BIN(MID(Table1[[#This Row],[statusRaw]],1+HEX2DEC(LEFT(AW$1,2))*2, 2),8) &amp; " 0x" &amp;MID(Table1[[#This Row],[statusRaw]],1+HEX2DEC(LEFT(AW$1,2))*2, 2)</f>
        <v>00000000 0x00</v>
      </c>
      <c r="AX107" s="3" t="str">
        <f>HEX2BIN(MID(Table1[[#This Row],[statusRaw]],1+HEX2DEC(LEFT(AX$1,2))*2, 2),8) &amp; " 0x" &amp;MID(Table1[[#This Row],[statusRaw]],1+HEX2DEC(LEFT(AX$1,2))*2, 2)</f>
        <v>00000000 0x00</v>
      </c>
      <c r="AY107" s="3" t="str">
        <f>MID(Table1[[#This Row],[statusRaw]],1+HEX2DEC(LEFT(AY$1,2))*2, 8)</f>
        <v>00000000</v>
      </c>
      <c r="AZ107" s="3" t="str">
        <f>MID(Table1[[#This Row],[statusRaw]],1+HEX2DEC(LEFT(AZ$1,2))*2, 8)</f>
        <v>00000000</v>
      </c>
      <c r="BA107" s="3" t="str">
        <f>HEX2BIN(MID(Table1[[#This Row],[statusRaw]],1+HEX2DEC(LEFT(BA$1,2))*2, 2),8) &amp; " 0x" &amp;MID(Table1[[#This Row],[statusRaw]],1+HEX2DEC(LEFT(BA$1,2))*2, 2)</f>
        <v>00000000 0x00</v>
      </c>
      <c r="BB107" s="3" t="str">
        <f>HEX2BIN(MID(Table1[[#This Row],[statusRaw]],1+HEX2DEC(LEFT(BB$1,2))*2, 2),8) &amp; " 0x" &amp;MID(Table1[[#This Row],[statusRaw]],1+HEX2DEC(LEFT(BB$1,2))*2, 2)</f>
        <v>00000000 0x00</v>
      </c>
      <c r="BC107" s="3" t="str">
        <f>HEX2BIN(MID(Table1[[#This Row],[statusRaw]],1+HEX2DEC(LEFT(BC$1,2))*2, 2),8) &amp; " 0x" &amp;MID(Table1[[#This Row],[statusRaw]],1+HEX2DEC(LEFT(BC$1,2))*2, 2)</f>
        <v>00000000 0x00</v>
      </c>
      <c r="BD107" s="3" t="str">
        <f>MID(Table1[[#This Row],[statusRaw]],1+HEX2DEC(LEFT(BD$1,2))*2, 8)</f>
        <v>000008C5</v>
      </c>
      <c r="BE107" s="3" t="str">
        <f>MID(Table1[[#This Row],[statusRaw]],1+HEX2DEC(LEFT(BE$1,2))*2, 8)</f>
        <v>000008C5</v>
      </c>
      <c r="BF107" s="9"/>
    </row>
    <row r="108" spans="1:58" x14ac:dyDescent="0.25">
      <c r="A108" s="1" t="s">
        <v>324</v>
      </c>
      <c r="B108" s="1" t="s">
        <v>325</v>
      </c>
      <c r="C108" s="1" t="s">
        <v>7</v>
      </c>
      <c r="D108" s="1" t="s">
        <v>323</v>
      </c>
      <c r="E108" s="1">
        <v>12</v>
      </c>
      <c r="F108" s="3" t="str">
        <f>HEX2BIN(MID(Table1[[#This Row],[statusRaw]],1+HEX2DEC(LEFT(F$1,2))*2, 2),8) &amp; " 0x" &amp;MID(Table1[[#This Row],[statusRaw]],1+HEX2DEC(LEFT(F$1,2))*2, 2)</f>
        <v>01010000 0x50</v>
      </c>
      <c r="G108" s="3" t="b">
        <f>MID(Table1[[#This Row],[03 - pump status (1)]],1,1)="1"</f>
        <v>0</v>
      </c>
      <c r="H108" s="3" t="b">
        <f>MID(Table1[[#This Row],[03 - pump status (1)]],2,1)="1"</f>
        <v>1</v>
      </c>
      <c r="I108" s="3" t="b">
        <f>MID(Table1[[#This Row],[03 - pump status (1)]],3,1)="1"</f>
        <v>0</v>
      </c>
      <c r="J108" s="3" t="b">
        <f>MID(Table1[[#This Row],[03 - pump status (1)]],4,1)="1"</f>
        <v>1</v>
      </c>
      <c r="K108" s="3" t="b">
        <f>MID(Table1[[#This Row],[03 - pump status (1)]],5,1)="1"</f>
        <v>0</v>
      </c>
      <c r="L108" s="3" t="b">
        <f>MID(Table1[[#This Row],[03 - pump status (1)]],6,1)="1"</f>
        <v>0</v>
      </c>
      <c r="M108" s="3" t="b">
        <f>MID(Table1[[#This Row],[03 - pump status (1)]],7,1)="1"</f>
        <v>0</v>
      </c>
      <c r="N108" s="3" t="b">
        <f>MID(Table1[[#This Row],[03 - pump status (1)]],8,1)="1"</f>
        <v>0</v>
      </c>
      <c r="O108" s="3" t="str">
        <f>MID(Table1[[#This Row],[statusRaw]],1+HEX2DEC(LEFT(O$1,2))*2, 8)</f>
        <v>00000000</v>
      </c>
      <c r="P108" s="3" t="str">
        <f>MID(Table1[[#This Row],[statusRaw]],1+HEX2DEC(LEFT(P$1,2))*2, 8)</f>
        <v>00000000</v>
      </c>
      <c r="Q108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08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08" s="3">
        <f>HEX2DEC(MID(Table1[[#This Row],[statusRaw]],1+HEX2DEC(LEFT(S$1,2))*2, 8))/10000</f>
        <v>0.9</v>
      </c>
      <c r="T108" s="3" t="str">
        <f>MID(Table1[[#This Row],[statusRaw]],1+HEX2DEC(LEFT(T$1,2))*2, 8)</f>
        <v>2789BBC5</v>
      </c>
      <c r="U108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0x2600 9728</v>
      </c>
      <c r="V108" s="3" t="str">
        <f>HEX2BIN(MID(Table1[[#This Row],[statusRaw]],1+HEX2DEC(LEFT(V$1,2))*2, 2),8) &amp; " 0x" &amp;MID(Table1[[#This Row],[statusRaw]],1+HEX2DEC(LEFT(V$1,2))*2, 2)</f>
        <v>00000001 0x01</v>
      </c>
      <c r="W108" s="3">
        <f>HEX2DEC(MID(Table1[[#This Row],[statusRaw]],1+HEX2DEC(LEFT(W$1,2))*2, 8))/10000</f>
        <v>0.4</v>
      </c>
      <c r="X108" s="3">
        <f>HEX2DEC(MID(Table1[[#This Row],[statusRaw]],1+HEX2DEC(LEFT(X$1,2))*2, 8))/10000</f>
        <v>0</v>
      </c>
      <c r="Y108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08" s="3">
        <f>HEX2DEC(MID(Table1[[#This Row],[statusRaw]],1+HEX2DEC(LEFT(Z$1,2))*2, 8))/10000</f>
        <v>5.5250000000000004</v>
      </c>
      <c r="AA108" s="3">
        <f>HEX2DEC(MID(Table1[[#This Row],[statusRaw]],1+HEX2DEC(LEFT(AA$1,2))*2, 2))</f>
        <v>50</v>
      </c>
      <c r="AB108" s="3">
        <f>HEX2DEC(MID(Table1[[#This Row],[statusRaw]],1+HEX2DEC(LEFT(AB$1,2))*2, 8))/10000</f>
        <v>84.75</v>
      </c>
      <c r="AC108" s="3">
        <f>HEX2DEC(MID(Table1[[#This Row],[statusRaw]],1+HEX2DEC(LEFT(AC$1,2))*2, 2))</f>
        <v>25</v>
      </c>
      <c r="AD108" s="3">
        <f>HEX2DEC(MID(Table1[[#This Row],[statusRaw]],1+HEX2DEC(LEFT(AD$1,2))*2, 2))</f>
        <v>0</v>
      </c>
      <c r="AE108" s="3">
        <f>HEX2DEC(MID(Table1[[#This Row],[statusRaw]],1+HEX2DEC(LEFT(AE$1,2))*2, 8))/10000</f>
        <v>2.1</v>
      </c>
      <c r="AF108" s="3">
        <f>IF(AND(Table1[[#This Row],[cgm]],NOT(Table1[[#This Row],[35 - SGV special bit (2)]])), _xlfn.BITAND(HEX2DEC(MID(Table1[[#This Row],[statusRaw]],1+HEX2DEC(LEFT(AF$1,2))*2, 4)),HEX2DEC("1FF")),"")</f>
        <v>172</v>
      </c>
      <c r="AG108" s="3" t="b">
        <f>_xlfn.BITAND(HEX2DEC(MID(Table1[[#This Row],[statusRaw]],1+HEX2DEC(LEFT(AG$1,2))*2, 4)),512)=512</f>
        <v>0</v>
      </c>
      <c r="AH108" s="3" t="str">
        <f>MID(Table1[[#This Row],[statusRaw]],1+HEX2DEC(LEFT(AF$1,2))*2, 8)</f>
        <v>00AC8673</v>
      </c>
      <c r="AI108" s="3" t="str">
        <f>MID(Table1[[#This Row],[statusRaw]],1+HEX2DEC(LEFT(AH$1,2))*2, 8)</f>
        <v>8673C708</v>
      </c>
      <c r="AJ108" s="3" t="str">
        <f>HEX2BIN(MID(Table1[[#This Row],[statusRaw]],1+HEX2DEC(LEFT(AJ$1,2))*2, 2),8) &amp; " 0x" &amp;MID(Table1[[#This Row],[statusRaw]],1+HEX2DEC(LEFT(AJ$1,2))*2, 2)</f>
        <v>00000000 0x00</v>
      </c>
      <c r="AK108" s="1" t="str">
        <f>HEX2BIN(MID(Table1[[#This Row],[statusRaw]],1+HEX2DEC(LEFT(AK$1,2))*2, 2),8) &amp; " 0x" &amp;MID(Table1[[#This Row],[statusRaw]],1+HEX2DEC(LEFT(AK$1,2))*2, 2)</f>
        <v>01100000 0x60</v>
      </c>
      <c r="AL108" s="1" t="str">
        <f>VLOOKUP(Table1[[#This Row],[40 trend]],'Arrow status mapping'!$A$1:$B$8,2,FALSE)</f>
        <v>No arrows</v>
      </c>
      <c r="AM108" s="3" t="str">
        <f>HEX2BIN(MID(Table1[[#This Row],[statusRaw]],1+HEX2DEC(LEFT(AM$1,2))*2, 2),8) &amp; " 0x" &amp;MID(Table1[[#This Row],[statusRaw]],1+HEX2DEC(LEFT(AM$1,2))*2, 2)</f>
        <v>00010000 0x10</v>
      </c>
      <c r="AN108" s="3" t="str">
        <f>HEX2BIN(MID(Table1[[#This Row],[statusRaw]],1+HEX2DEC(LEFT(AN$1,2))*2, 2),8) &amp; " 0x" &amp;MID(Table1[[#This Row],[statusRaw]],1+HEX2DEC(LEFT(AN$1,2))*2, 2)</f>
        <v>00000000 0x00</v>
      </c>
      <c r="AO108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0x000A 10</v>
      </c>
      <c r="AP108" s="1" t="str">
        <f>HEX2BIN(MID(Table1[[#This Row],[statusRaw]],1+HEX2DEC(LEFT(AP$1,2))*2, 2),8) &amp; " 0x" &amp;MID(Table1[[#This Row],[statusRaw]],1+HEX2DEC(LEFT(AP$1,2))*2, 2)</f>
        <v>00101011 0x2B</v>
      </c>
      <c r="AQ108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0x0051 81</v>
      </c>
      <c r="AR108" s="3">
        <f>TRUNC(_xlfn.NUMBERVALUE(RIGHT(Table1[[#This Row],[46 rate of change (2)]],LEN(Table1[[#This Row],[46 rate of change (2)]])-7))/100)</f>
        <v>0</v>
      </c>
      <c r="AS108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08" s="3" t="b">
        <f>Table1[[#This Row],[calc arrow]]=Table1[[#This Row],[trend]]</f>
        <v>1</v>
      </c>
      <c r="AU108" s="3" t="str">
        <f>HEX2BIN(MID(Table1[[#This Row],[statusRaw]],1+HEX2DEC(LEFT(AU$1,2))*2, 2),8) &amp; " 0x" &amp;MID(Table1[[#This Row],[statusRaw]],1+HEX2DEC(LEFT(AU$1,2))*2, 2)</f>
        <v>00000000 0x00</v>
      </c>
      <c r="AV108" s="3">
        <f>HEX2DEC(MID(Table1[[#This Row],[statusRaw]],1+HEX2DEC(LEFT(AV$1,2))*2, 4))</f>
        <v>0</v>
      </c>
      <c r="AW108" s="3" t="str">
        <f>HEX2BIN(MID(Table1[[#This Row],[statusRaw]],1+HEX2DEC(LEFT(AW$1,2))*2, 2),8) &amp; " 0x" &amp;MID(Table1[[#This Row],[statusRaw]],1+HEX2DEC(LEFT(AW$1,2))*2, 2)</f>
        <v>00000000 0x00</v>
      </c>
      <c r="AX108" s="3" t="str">
        <f>HEX2BIN(MID(Table1[[#This Row],[statusRaw]],1+HEX2DEC(LEFT(AX$1,2))*2, 2),8) &amp; " 0x" &amp;MID(Table1[[#This Row],[statusRaw]],1+HEX2DEC(LEFT(AX$1,2))*2, 2)</f>
        <v>00000000 0x00</v>
      </c>
      <c r="AY108" s="3" t="str">
        <f>MID(Table1[[#This Row],[statusRaw]],1+HEX2DEC(LEFT(AY$1,2))*2, 8)</f>
        <v>00000000</v>
      </c>
      <c r="AZ108" s="3" t="str">
        <f>MID(Table1[[#This Row],[statusRaw]],1+HEX2DEC(LEFT(AZ$1,2))*2, 8)</f>
        <v>00000000</v>
      </c>
      <c r="BA108" s="3" t="str">
        <f>HEX2BIN(MID(Table1[[#This Row],[statusRaw]],1+HEX2DEC(LEFT(BA$1,2))*2, 2),8) &amp; " 0x" &amp;MID(Table1[[#This Row],[statusRaw]],1+HEX2DEC(LEFT(BA$1,2))*2, 2)</f>
        <v>00000000 0x00</v>
      </c>
      <c r="BB108" s="3" t="str">
        <f>HEX2BIN(MID(Table1[[#This Row],[statusRaw]],1+HEX2DEC(LEFT(BB$1,2))*2, 2),8) &amp; " 0x" &amp;MID(Table1[[#This Row],[statusRaw]],1+HEX2DEC(LEFT(BB$1,2))*2, 2)</f>
        <v>00000000 0x00</v>
      </c>
      <c r="BC108" s="3" t="str">
        <f>HEX2BIN(MID(Table1[[#This Row],[statusRaw]],1+HEX2DEC(LEFT(BC$1,2))*2, 2),8) &amp; " 0x" &amp;MID(Table1[[#This Row],[statusRaw]],1+HEX2DEC(LEFT(BC$1,2))*2, 2)</f>
        <v>00000000 0x00</v>
      </c>
      <c r="BD108" s="3" t="str">
        <f>MID(Table1[[#This Row],[statusRaw]],1+HEX2DEC(LEFT(BD$1,2))*2, 8)</f>
        <v>000008C5</v>
      </c>
      <c r="BE108" s="3" t="str">
        <f>MID(Table1[[#This Row],[statusRaw]],1+HEX2DEC(LEFT(BE$1,2))*2, 8)</f>
        <v>000008C5</v>
      </c>
      <c r="BF108" s="9"/>
    </row>
    <row r="109" spans="1:58" x14ac:dyDescent="0.25">
      <c r="A109" s="1" t="s">
        <v>326</v>
      </c>
      <c r="B109" s="1" t="s">
        <v>327</v>
      </c>
      <c r="C109" s="1" t="s">
        <v>7</v>
      </c>
      <c r="D109" s="1" t="s">
        <v>328</v>
      </c>
      <c r="E109" s="1">
        <v>12</v>
      </c>
      <c r="F109" s="3" t="str">
        <f>HEX2BIN(MID(Table1[[#This Row],[statusRaw]],1+HEX2DEC(LEFT(F$1,2))*2, 2),8) &amp; " 0x" &amp;MID(Table1[[#This Row],[statusRaw]],1+HEX2DEC(LEFT(F$1,2))*2, 2)</f>
        <v>01010000 0x50</v>
      </c>
      <c r="G109" s="3" t="b">
        <f>MID(Table1[[#This Row],[03 - pump status (1)]],1,1)="1"</f>
        <v>0</v>
      </c>
      <c r="H109" s="3" t="b">
        <f>MID(Table1[[#This Row],[03 - pump status (1)]],2,1)="1"</f>
        <v>1</v>
      </c>
      <c r="I109" s="3" t="b">
        <f>MID(Table1[[#This Row],[03 - pump status (1)]],3,1)="1"</f>
        <v>0</v>
      </c>
      <c r="J109" s="3" t="b">
        <f>MID(Table1[[#This Row],[03 - pump status (1)]],4,1)="1"</f>
        <v>1</v>
      </c>
      <c r="K109" s="3" t="b">
        <f>MID(Table1[[#This Row],[03 - pump status (1)]],5,1)="1"</f>
        <v>0</v>
      </c>
      <c r="L109" s="3" t="b">
        <f>MID(Table1[[#This Row],[03 - pump status (1)]],6,1)="1"</f>
        <v>0</v>
      </c>
      <c r="M109" s="3" t="b">
        <f>MID(Table1[[#This Row],[03 - pump status (1)]],7,1)="1"</f>
        <v>0</v>
      </c>
      <c r="N109" s="3" t="b">
        <f>MID(Table1[[#This Row],[03 - pump status (1)]],8,1)="1"</f>
        <v>0</v>
      </c>
      <c r="O109" s="3" t="str">
        <f>MID(Table1[[#This Row],[statusRaw]],1+HEX2DEC(LEFT(O$1,2))*2, 8)</f>
        <v>00000000</v>
      </c>
      <c r="P109" s="3" t="str">
        <f>MID(Table1[[#This Row],[statusRaw]],1+HEX2DEC(LEFT(P$1,2))*2, 8)</f>
        <v>00000000</v>
      </c>
      <c r="Q109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09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09" s="3">
        <f>HEX2DEC(MID(Table1[[#This Row],[statusRaw]],1+HEX2DEC(LEFT(S$1,2))*2, 8))/10000</f>
        <v>1.3</v>
      </c>
      <c r="T109" s="3" t="str">
        <f>MID(Table1[[#This Row],[statusRaw]],1+HEX2DEC(LEFT(T$1,2))*2, 8)</f>
        <v>2789B6ED</v>
      </c>
      <c r="U109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0x2500 9472</v>
      </c>
      <c r="V109" s="3" t="str">
        <f>HEX2BIN(MID(Table1[[#This Row],[statusRaw]],1+HEX2DEC(LEFT(V$1,2))*2, 2),8) &amp; " 0x" &amp;MID(Table1[[#This Row],[statusRaw]],1+HEX2DEC(LEFT(V$1,2))*2, 2)</f>
        <v>00000001 0x01</v>
      </c>
      <c r="W109" s="3">
        <f>HEX2DEC(MID(Table1[[#This Row],[statusRaw]],1+HEX2DEC(LEFT(W$1,2))*2, 8))/10000</f>
        <v>0.4</v>
      </c>
      <c r="X109" s="3">
        <f>HEX2DEC(MID(Table1[[#This Row],[statusRaw]],1+HEX2DEC(LEFT(X$1,2))*2, 8))/10000</f>
        <v>0</v>
      </c>
      <c r="Y109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09" s="3">
        <f>HEX2DEC(MID(Table1[[#This Row],[statusRaw]],1+HEX2DEC(LEFT(Z$1,2))*2, 8))/10000</f>
        <v>5.4249999999999998</v>
      </c>
      <c r="AA109" s="3">
        <f>HEX2DEC(MID(Table1[[#This Row],[statusRaw]],1+HEX2DEC(LEFT(AA$1,2))*2, 2))</f>
        <v>50</v>
      </c>
      <c r="AB109" s="3">
        <f>HEX2DEC(MID(Table1[[#This Row],[statusRaw]],1+HEX2DEC(LEFT(AB$1,2))*2, 8))/10000</f>
        <v>85.75</v>
      </c>
      <c r="AC109" s="3">
        <f>HEX2DEC(MID(Table1[[#This Row],[statusRaw]],1+HEX2DEC(LEFT(AC$1,2))*2, 2))</f>
        <v>25</v>
      </c>
      <c r="AD109" s="3">
        <f>HEX2DEC(MID(Table1[[#This Row],[statusRaw]],1+HEX2DEC(LEFT(AD$1,2))*2, 2))</f>
        <v>0</v>
      </c>
      <c r="AE109" s="3">
        <f>HEX2DEC(MID(Table1[[#This Row],[statusRaw]],1+HEX2DEC(LEFT(AE$1,2))*2, 8))/10000</f>
        <v>1.3</v>
      </c>
      <c r="AF109" s="3">
        <f>IF(AND(Table1[[#This Row],[cgm]],NOT(Table1[[#This Row],[35 - SGV special bit (2)]])), _xlfn.BITAND(HEX2DEC(MID(Table1[[#This Row],[statusRaw]],1+HEX2DEC(LEFT(AF$1,2))*2, 4)),HEX2DEC("1FF")),"")</f>
        <v>149</v>
      </c>
      <c r="AG109" s="3" t="b">
        <f>_xlfn.BITAND(HEX2DEC(MID(Table1[[#This Row],[statusRaw]],1+HEX2DEC(LEFT(AG$1,2))*2, 4)),512)=512</f>
        <v>0</v>
      </c>
      <c r="AH109" s="3" t="str">
        <f>MID(Table1[[#This Row],[statusRaw]],1+HEX2DEC(LEFT(AF$1,2))*2, 8)</f>
        <v>00958673</v>
      </c>
      <c r="AI109" s="3" t="str">
        <f>MID(Table1[[#This Row],[statusRaw]],1+HEX2DEC(LEFT(AH$1,2))*2, 8)</f>
        <v>8673C384</v>
      </c>
      <c r="AJ109" s="3" t="str">
        <f>HEX2BIN(MID(Table1[[#This Row],[statusRaw]],1+HEX2DEC(LEFT(AJ$1,2))*2, 2),8) &amp; " 0x" &amp;MID(Table1[[#This Row],[statusRaw]],1+HEX2DEC(LEFT(AJ$1,2))*2, 2)</f>
        <v>00000000 0x00</v>
      </c>
      <c r="AK109" s="1" t="str">
        <f>HEX2BIN(MID(Table1[[#This Row],[statusRaw]],1+HEX2DEC(LEFT(AK$1,2))*2, 2),8) &amp; " 0x" &amp;MID(Table1[[#This Row],[statusRaw]],1+HEX2DEC(LEFT(AK$1,2))*2, 2)</f>
        <v>10000000 0x80</v>
      </c>
      <c r="AL109" s="1" t="str">
        <f>VLOOKUP(Table1[[#This Row],[40 trend]],'Arrow status mapping'!$A$1:$B$8,2,FALSE)</f>
        <v>1 arrows up</v>
      </c>
      <c r="AM109" s="3" t="str">
        <f>HEX2BIN(MID(Table1[[#This Row],[statusRaw]],1+HEX2DEC(LEFT(AM$1,2))*2, 2),8) &amp; " 0x" &amp;MID(Table1[[#This Row],[statusRaw]],1+HEX2DEC(LEFT(AM$1,2))*2, 2)</f>
        <v>00010000 0x10</v>
      </c>
      <c r="AN109" s="3" t="str">
        <f>HEX2BIN(MID(Table1[[#This Row],[statusRaw]],1+HEX2DEC(LEFT(AN$1,2))*2, 2),8) &amp; " 0x" &amp;MID(Table1[[#This Row],[statusRaw]],1+HEX2DEC(LEFT(AN$1,2))*2, 2)</f>
        <v>00000000 0x00</v>
      </c>
      <c r="AO109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0x0019 25</v>
      </c>
      <c r="AP109" s="1" t="str">
        <f>HEX2BIN(MID(Table1[[#This Row],[statusRaw]],1+HEX2DEC(LEFT(AP$1,2))*2, 2),8) &amp; " 0x" &amp;MID(Table1[[#This Row],[statusRaw]],1+HEX2DEC(LEFT(AP$1,2))*2, 2)</f>
        <v>00101011 0x2B</v>
      </c>
      <c r="AQ109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0x0075 117</v>
      </c>
      <c r="AR109" s="3">
        <f>TRUNC(_xlfn.NUMBERVALUE(RIGHT(Table1[[#This Row],[46 rate of change (2)]],LEN(Table1[[#This Row],[46 rate of change (2)]])-7))/100)</f>
        <v>1</v>
      </c>
      <c r="AS109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up</v>
      </c>
      <c r="AT109" s="3" t="b">
        <f>Table1[[#This Row],[calc arrow]]=Table1[[#This Row],[trend]]</f>
        <v>1</v>
      </c>
      <c r="AU109" s="3" t="str">
        <f>HEX2BIN(MID(Table1[[#This Row],[statusRaw]],1+HEX2DEC(LEFT(AU$1,2))*2, 2),8) &amp; " 0x" &amp;MID(Table1[[#This Row],[statusRaw]],1+HEX2DEC(LEFT(AU$1,2))*2, 2)</f>
        <v>00000000 0x00</v>
      </c>
      <c r="AV109" s="3">
        <f>HEX2DEC(MID(Table1[[#This Row],[statusRaw]],1+HEX2DEC(LEFT(AV$1,2))*2, 4))</f>
        <v>0</v>
      </c>
      <c r="AW109" s="3" t="str">
        <f>HEX2BIN(MID(Table1[[#This Row],[statusRaw]],1+HEX2DEC(LEFT(AW$1,2))*2, 2),8) &amp; " 0x" &amp;MID(Table1[[#This Row],[statusRaw]],1+HEX2DEC(LEFT(AW$1,2))*2, 2)</f>
        <v>00000000 0x00</v>
      </c>
      <c r="AX109" s="3" t="str">
        <f>HEX2BIN(MID(Table1[[#This Row],[statusRaw]],1+HEX2DEC(LEFT(AX$1,2))*2, 2),8) &amp; " 0x" &amp;MID(Table1[[#This Row],[statusRaw]],1+HEX2DEC(LEFT(AX$1,2))*2, 2)</f>
        <v>00000000 0x00</v>
      </c>
      <c r="AY109" s="3" t="str">
        <f>MID(Table1[[#This Row],[statusRaw]],1+HEX2DEC(LEFT(AY$1,2))*2, 8)</f>
        <v>00000000</v>
      </c>
      <c r="AZ109" s="3" t="str">
        <f>MID(Table1[[#This Row],[statusRaw]],1+HEX2DEC(LEFT(AZ$1,2))*2, 8)</f>
        <v>00000000</v>
      </c>
      <c r="BA109" s="3" t="str">
        <f>HEX2BIN(MID(Table1[[#This Row],[statusRaw]],1+HEX2DEC(LEFT(BA$1,2))*2, 2),8) &amp; " 0x" &amp;MID(Table1[[#This Row],[statusRaw]],1+HEX2DEC(LEFT(BA$1,2))*2, 2)</f>
        <v>00000000 0x00</v>
      </c>
      <c r="BB109" s="3" t="str">
        <f>HEX2BIN(MID(Table1[[#This Row],[statusRaw]],1+HEX2DEC(LEFT(BB$1,2))*2, 2),8) &amp; " 0x" &amp;MID(Table1[[#This Row],[statusRaw]],1+HEX2DEC(LEFT(BB$1,2))*2, 2)</f>
        <v>00000000 0x00</v>
      </c>
      <c r="BC109" s="3" t="str">
        <f>HEX2BIN(MID(Table1[[#This Row],[statusRaw]],1+HEX2DEC(LEFT(BC$1,2))*2, 2),8) &amp; " 0x" &amp;MID(Table1[[#This Row],[statusRaw]],1+HEX2DEC(LEFT(BC$1,2))*2, 2)</f>
        <v>00000000 0x00</v>
      </c>
      <c r="BD109" s="3" t="str">
        <f>MID(Table1[[#This Row],[statusRaw]],1+HEX2DEC(LEFT(BD$1,2))*2, 8)</f>
        <v>000008C5</v>
      </c>
      <c r="BE109" s="3" t="str">
        <f>MID(Table1[[#This Row],[statusRaw]],1+HEX2DEC(LEFT(BE$1,2))*2, 8)</f>
        <v>000008C5</v>
      </c>
      <c r="BF109" s="9"/>
    </row>
  </sheetData>
  <conditionalFormatting sqref="AF3:AG109 AF2">
    <cfRule type="colorScale" priority="1">
      <colorScale>
        <cfvo type="num" val="50"/>
        <cfvo type="num" val="100"/>
        <cfvo type="num" val="250"/>
        <color rgb="FF7030A0"/>
        <color theme="9"/>
        <color rgb="FFFF0000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334</v>
      </c>
      <c r="B1" s="2" t="s">
        <v>349</v>
      </c>
    </row>
    <row r="2" spans="1:2" x14ac:dyDescent="0.25">
      <c r="A2" t="s">
        <v>331</v>
      </c>
      <c r="B2" s="2" t="s">
        <v>348</v>
      </c>
    </row>
    <row r="3" spans="1:2" x14ac:dyDescent="0.25">
      <c r="A3" t="s">
        <v>333</v>
      </c>
      <c r="B3" s="2" t="s">
        <v>341</v>
      </c>
    </row>
    <row r="4" spans="1:2" x14ac:dyDescent="0.25">
      <c r="A4" t="s">
        <v>340</v>
      </c>
      <c r="B4" s="2" t="s">
        <v>339</v>
      </c>
    </row>
    <row r="5" spans="1:2" x14ac:dyDescent="0.25">
      <c r="A5" t="s">
        <v>332</v>
      </c>
      <c r="B5" s="2" t="s">
        <v>342</v>
      </c>
    </row>
    <row r="6" spans="1:2" x14ac:dyDescent="0.25">
      <c r="A6" t="s">
        <v>338</v>
      </c>
      <c r="B6" s="2" t="s">
        <v>337</v>
      </c>
    </row>
    <row r="7" spans="1:2" x14ac:dyDescent="0.25">
      <c r="A7" t="s">
        <v>330</v>
      </c>
      <c r="B7" s="2" t="s">
        <v>336</v>
      </c>
    </row>
    <row r="8" spans="1:2" x14ac:dyDescent="0.25">
      <c r="A8" t="s">
        <v>335</v>
      </c>
      <c r="B8" s="2" t="s">
        <v>345</v>
      </c>
    </row>
  </sheetData>
  <sortState ref="A1:B8">
    <sortCondition ref="B1:B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A6" sqref="A6"/>
    </sheetView>
  </sheetViews>
  <sheetFormatPr defaultRowHeight="15" x14ac:dyDescent="0.25"/>
  <cols>
    <col min="1" max="1" width="12.28515625" customWidth="1"/>
    <col min="4" max="4" width="22.140625" customWidth="1"/>
  </cols>
  <sheetData>
    <row r="1" spans="1:12" x14ac:dyDescent="0.25">
      <c r="A1" s="13" t="s">
        <v>401</v>
      </c>
    </row>
    <row r="4" spans="1:12" x14ac:dyDescent="0.25">
      <c r="A4" t="s">
        <v>406</v>
      </c>
      <c r="B4" s="15" t="s">
        <v>403</v>
      </c>
      <c r="C4" s="16" t="s">
        <v>404</v>
      </c>
      <c r="D4" s="3" t="str">
        <f>MID($A$1,1+HEX2DEC(B4)*2,2*HEX2DEC(C4))</f>
        <v>03</v>
      </c>
    </row>
    <row r="5" spans="1:12" x14ac:dyDescent="0.25">
      <c r="A5" t="s">
        <v>407</v>
      </c>
      <c r="B5" s="16" t="str">
        <f>DEC2HEX(HEX2DEC(B4)+HEX2DEC(C4),2)</f>
        <v>01</v>
      </c>
      <c r="C5" s="16" t="s">
        <v>405</v>
      </c>
      <c r="D5" s="3" t="str">
        <f>MID($A$1,1+HEX2DEC(B5)*2,2*HEX2DEC(C5))</f>
        <v>012C</v>
      </c>
    </row>
    <row r="6" spans="1:12" x14ac:dyDescent="0.25">
      <c r="A6" t="s">
        <v>408</v>
      </c>
      <c r="B6" s="16" t="str">
        <f t="shared" ref="B6:B14" si="0">DEC2HEX(HEX2DEC(B5)+HEX2DEC(C5),2)</f>
        <v>03</v>
      </c>
      <c r="C6" s="16" t="s">
        <v>405</v>
      </c>
      <c r="D6" s="3" t="str">
        <f>MID($A$1,1+HEX2DEC(B6)*2,2*HEX2DEC(C6))</f>
        <v>2E70</v>
      </c>
      <c r="E6">
        <f>HEX2DEC(D6)</f>
        <v>11888</v>
      </c>
      <c r="F6">
        <f>HEX2DEC(MID(D6,1,2))</f>
        <v>46</v>
      </c>
      <c r="G6">
        <f>HEX2DEC(MID(D6,3,2))</f>
        <v>112</v>
      </c>
    </row>
    <row r="7" spans="1:12" x14ac:dyDescent="0.25">
      <c r="A7" t="s">
        <v>402</v>
      </c>
      <c r="B7" s="16" t="str">
        <f t="shared" si="0"/>
        <v>05</v>
      </c>
      <c r="C7" s="16" t="s">
        <v>404</v>
      </c>
      <c r="D7" s="3" t="str">
        <f>MID($A$1,1+HEX2DEC(B7)*2,2*HEX2DEC(C7))</f>
        <v>07</v>
      </c>
      <c r="E7">
        <f>HEX2DEC(D7)</f>
        <v>7</v>
      </c>
      <c r="J7" s="17" t="s">
        <v>416</v>
      </c>
      <c r="K7" s="17" t="s">
        <v>417</v>
      </c>
      <c r="L7" s="17" t="s">
        <v>418</v>
      </c>
    </row>
    <row r="8" spans="1:12" x14ac:dyDescent="0.25">
      <c r="A8" t="s">
        <v>409</v>
      </c>
      <c r="B8" s="16" t="str">
        <f t="shared" si="0"/>
        <v>06</v>
      </c>
      <c r="C8" s="16">
        <v>9</v>
      </c>
      <c r="D8" s="3" t="str">
        <f t="shared" ref="D8:D14" si="1">MID($A$1,1+HEX2DEC(B8)*2,2*HEX2DEC(C8))</f>
        <v>000000000000019000</v>
      </c>
      <c r="E8" t="str">
        <f>MID(D8,13,4)</f>
        <v>0190</v>
      </c>
      <c r="F8">
        <f>HEX2DEC(E8)/1000</f>
        <v>0.4</v>
      </c>
      <c r="G8" t="str">
        <f>RIGHT(D8,2)</f>
        <v>00</v>
      </c>
      <c r="H8">
        <f>HEX2DEC(G8)/2</f>
        <v>0</v>
      </c>
      <c r="J8" s="14">
        <v>0</v>
      </c>
      <c r="K8" s="14">
        <v>0.22916666666666666</v>
      </c>
      <c r="L8">
        <v>0.4</v>
      </c>
    </row>
    <row r="9" spans="1:12" x14ac:dyDescent="0.25">
      <c r="A9" t="s">
        <v>410</v>
      </c>
      <c r="B9" s="16" t="str">
        <f t="shared" si="0"/>
        <v>0F</v>
      </c>
      <c r="C9" s="16">
        <f>C8</f>
        <v>9</v>
      </c>
      <c r="D9" s="3" t="str">
        <f t="shared" si="1"/>
        <v>000000000000044C0B</v>
      </c>
      <c r="E9" t="str">
        <f t="shared" ref="E9:E14" si="2">MID(D9,13,4)</f>
        <v>044C</v>
      </c>
      <c r="F9">
        <f t="shared" ref="F9:F14" si="3">HEX2DEC(E9)/1000</f>
        <v>1.1000000000000001</v>
      </c>
      <c r="G9" t="str">
        <f t="shared" ref="G9:G14" si="4">RIGHT(D9,2)</f>
        <v>0B</v>
      </c>
      <c r="H9">
        <f t="shared" ref="H9:H14" si="5">HEX2DEC(G9)/2</f>
        <v>5.5</v>
      </c>
      <c r="J9" s="14">
        <v>0.22916666666666666</v>
      </c>
      <c r="K9" s="14">
        <v>0.35416666666666669</v>
      </c>
      <c r="L9">
        <v>1.1000000000000001</v>
      </c>
    </row>
    <row r="10" spans="1:12" x14ac:dyDescent="0.25">
      <c r="A10" t="s">
        <v>411</v>
      </c>
      <c r="B10" s="16" t="str">
        <f t="shared" si="0"/>
        <v>18</v>
      </c>
      <c r="C10" s="16">
        <f t="shared" ref="C10:C14" si="6">C9</f>
        <v>9</v>
      </c>
      <c r="D10" s="3" t="str">
        <f t="shared" si="1"/>
        <v>000000000000044C11</v>
      </c>
      <c r="E10" t="str">
        <f t="shared" si="2"/>
        <v>044C</v>
      </c>
      <c r="F10">
        <f t="shared" si="3"/>
        <v>1.1000000000000001</v>
      </c>
      <c r="G10" t="str">
        <f t="shared" si="4"/>
        <v>11</v>
      </c>
      <c r="H10">
        <f t="shared" si="5"/>
        <v>8.5</v>
      </c>
      <c r="J10" s="14">
        <v>0.35416666666666669</v>
      </c>
      <c r="K10" s="14">
        <v>0.39583333333333331</v>
      </c>
      <c r="L10">
        <v>1.1000000000000001</v>
      </c>
    </row>
    <row r="11" spans="1:12" x14ac:dyDescent="0.25">
      <c r="A11" t="s">
        <v>412</v>
      </c>
      <c r="B11" s="16" t="str">
        <f t="shared" si="0"/>
        <v>21</v>
      </c>
      <c r="C11" s="16">
        <f t="shared" si="6"/>
        <v>9</v>
      </c>
      <c r="D11" s="3" t="str">
        <f t="shared" si="1"/>
        <v>000000000000044C13</v>
      </c>
      <c r="E11" t="str">
        <f t="shared" si="2"/>
        <v>044C</v>
      </c>
      <c r="F11">
        <f t="shared" si="3"/>
        <v>1.1000000000000001</v>
      </c>
      <c r="G11" t="str">
        <f t="shared" si="4"/>
        <v>13</v>
      </c>
      <c r="H11">
        <f t="shared" si="5"/>
        <v>9.5</v>
      </c>
      <c r="J11" s="14">
        <v>0.39583333333333331</v>
      </c>
      <c r="K11" s="14">
        <v>0.45833333333333331</v>
      </c>
      <c r="L11">
        <v>1.1000000000000001</v>
      </c>
    </row>
    <row r="12" spans="1:12" x14ac:dyDescent="0.25">
      <c r="A12" t="s">
        <v>413</v>
      </c>
      <c r="B12" s="16" t="str">
        <f t="shared" si="0"/>
        <v>2A</v>
      </c>
      <c r="C12" s="16">
        <f t="shared" si="6"/>
        <v>9</v>
      </c>
      <c r="D12" s="3" t="str">
        <f t="shared" si="1"/>
        <v>000000000000028A16</v>
      </c>
      <c r="E12" t="str">
        <f t="shared" si="2"/>
        <v>028A</v>
      </c>
      <c r="F12">
        <f t="shared" si="3"/>
        <v>0.65</v>
      </c>
      <c r="G12" t="str">
        <f t="shared" si="4"/>
        <v>16</v>
      </c>
      <c r="H12">
        <f t="shared" si="5"/>
        <v>11</v>
      </c>
      <c r="J12" s="14">
        <v>0.45833333333333331</v>
      </c>
      <c r="K12" s="14">
        <v>0.625</v>
      </c>
      <c r="L12">
        <v>0.7</v>
      </c>
    </row>
    <row r="13" spans="1:12" x14ac:dyDescent="0.25">
      <c r="A13" t="s">
        <v>414</v>
      </c>
      <c r="B13" s="16" t="str">
        <f t="shared" si="0"/>
        <v>33</v>
      </c>
      <c r="C13" s="16">
        <f t="shared" si="6"/>
        <v>9</v>
      </c>
      <c r="D13" s="3" t="str">
        <f t="shared" si="1"/>
        <v>00000000000001F41E</v>
      </c>
      <c r="E13" t="str">
        <f t="shared" si="2"/>
        <v>01F4</v>
      </c>
      <c r="F13">
        <f t="shared" si="3"/>
        <v>0.5</v>
      </c>
      <c r="G13" t="str">
        <f t="shared" si="4"/>
        <v>1E</v>
      </c>
      <c r="H13">
        <f t="shared" si="5"/>
        <v>15</v>
      </c>
      <c r="J13" s="14">
        <v>0.625</v>
      </c>
      <c r="K13" s="14">
        <v>0.75</v>
      </c>
      <c r="L13">
        <v>0.5</v>
      </c>
    </row>
    <row r="14" spans="1:12" x14ac:dyDescent="0.25">
      <c r="A14" t="s">
        <v>415</v>
      </c>
      <c r="B14" s="16" t="str">
        <f t="shared" si="0"/>
        <v>3C</v>
      </c>
      <c r="C14" s="16">
        <f t="shared" si="6"/>
        <v>9</v>
      </c>
      <c r="D14" s="3" t="str">
        <f t="shared" si="1"/>
        <v>00000000000001F424</v>
      </c>
      <c r="E14" t="str">
        <f t="shared" si="2"/>
        <v>01F4</v>
      </c>
      <c r="F14">
        <f t="shared" si="3"/>
        <v>0.5</v>
      </c>
      <c r="G14" t="str">
        <f t="shared" si="4"/>
        <v>24</v>
      </c>
      <c r="H14">
        <f t="shared" si="5"/>
        <v>18</v>
      </c>
      <c r="J14" s="14">
        <v>0.75</v>
      </c>
      <c r="K14" s="14">
        <v>0</v>
      </c>
      <c r="L14">
        <v>0.5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F8" sqref="F8"/>
    </sheetView>
  </sheetViews>
  <sheetFormatPr defaultRowHeight="15" x14ac:dyDescent="0.25"/>
  <cols>
    <col min="1" max="1" width="12.28515625" customWidth="1"/>
    <col min="4" max="4" width="22.140625" customWidth="1"/>
  </cols>
  <sheetData>
    <row r="1" spans="1:13" ht="120" x14ac:dyDescent="0.25">
      <c r="A1" s="18" t="s">
        <v>419</v>
      </c>
    </row>
    <row r="4" spans="1:13" x14ac:dyDescent="0.25">
      <c r="A4" t="s">
        <v>406</v>
      </c>
      <c r="B4" s="15" t="s">
        <v>403</v>
      </c>
      <c r="C4" s="16" t="s">
        <v>404</v>
      </c>
      <c r="D4" s="3" t="str">
        <f>MID($A$1,1+HEX2DEC(B4)*2,2*HEX2DEC(C4))</f>
        <v>04</v>
      </c>
    </row>
    <row r="5" spans="1:13" x14ac:dyDescent="0.25">
      <c r="A5" t="s">
        <v>407</v>
      </c>
      <c r="B5" s="16" t="str">
        <f>DEC2HEX(HEX2DEC(B4)+HEX2DEC(C4),2)</f>
        <v>01</v>
      </c>
      <c r="C5" s="16" t="s">
        <v>405</v>
      </c>
      <c r="D5" s="3" t="str">
        <f>MID($A$1,1+HEX2DEC(B5)*2,2*HEX2DEC(C5))</f>
        <v>012F</v>
      </c>
    </row>
    <row r="6" spans="1:13" x14ac:dyDescent="0.25">
      <c r="A6" t="s">
        <v>408</v>
      </c>
      <c r="B6" s="16" t="str">
        <f t="shared" ref="B6:B13" si="0">DEC2HEX(HEX2DEC(B5)+HEX2DEC(C5),2)</f>
        <v>03</v>
      </c>
      <c r="C6" s="16" t="s">
        <v>405</v>
      </c>
      <c r="D6" s="3" t="str">
        <f>MID($A$1,1+HEX2DEC(B6)*2,2*HEX2DEC(C6))</f>
        <v>1AB7</v>
      </c>
      <c r="E6">
        <f>HEX2DEC(D6)</f>
        <v>6839</v>
      </c>
      <c r="F6">
        <f>HEX2DEC(MID(D6,1,2))</f>
        <v>26</v>
      </c>
      <c r="G6">
        <f>HEX2DEC(MID(D6,3,2))</f>
        <v>183</v>
      </c>
    </row>
    <row r="7" spans="1:13" x14ac:dyDescent="0.25">
      <c r="A7" t="s">
        <v>402</v>
      </c>
      <c r="B7" s="16" t="str">
        <f t="shared" si="0"/>
        <v>05</v>
      </c>
      <c r="C7" s="16" t="s">
        <v>404</v>
      </c>
      <c r="D7" s="3" t="str">
        <f>MID($A$1,1+HEX2DEC(B7)*2,2*HEX2DEC(C7))</f>
        <v>05</v>
      </c>
      <c r="E7">
        <f>HEX2DEC(D7)</f>
        <v>5</v>
      </c>
    </row>
    <row r="8" spans="1:13" x14ac:dyDescent="0.25">
      <c r="B8" s="16"/>
      <c r="C8" s="16"/>
      <c r="D8" s="3"/>
      <c r="F8" s="2" t="s">
        <v>421</v>
      </c>
      <c r="J8" s="2" t="s">
        <v>420</v>
      </c>
      <c r="L8" s="17" t="s">
        <v>416</v>
      </c>
      <c r="M8" s="17" t="s">
        <v>418</v>
      </c>
    </row>
    <row r="9" spans="1:13" x14ac:dyDescent="0.25">
      <c r="A9" t="s">
        <v>409</v>
      </c>
      <c r="B9" s="16" t="str">
        <f>DEC2HEX(HEX2DEC(B7)+HEX2DEC(C7),2)</f>
        <v>06</v>
      </c>
      <c r="C9" s="16">
        <v>5</v>
      </c>
      <c r="D9" s="3" t="str">
        <f t="shared" ref="D9:D13" si="1">MID($A$1,1+HEX2DEC(B9)*2,2*HEX2DEC(C9))</f>
        <v>0096005300</v>
      </c>
      <c r="E9" t="str">
        <f>MID(D9,1,4)</f>
        <v>0096</v>
      </c>
      <c r="F9">
        <f>HEX2DEC(E9)</f>
        <v>150</v>
      </c>
      <c r="G9" t="str">
        <f>RIGHT(D9,2)</f>
        <v>00</v>
      </c>
      <c r="H9">
        <f>HEX2DEC(G9)/2</f>
        <v>0</v>
      </c>
      <c r="I9" t="str">
        <f>MID(D9,5,4)</f>
        <v>0053</v>
      </c>
      <c r="J9">
        <f>HEX2DEC(I9)</f>
        <v>83</v>
      </c>
      <c r="L9" s="14">
        <v>0</v>
      </c>
      <c r="M9">
        <v>150</v>
      </c>
    </row>
    <row r="10" spans="1:13" x14ac:dyDescent="0.25">
      <c r="A10" t="s">
        <v>410</v>
      </c>
      <c r="B10" s="16" t="str">
        <f t="shared" si="0"/>
        <v>0B</v>
      </c>
      <c r="C10" s="16">
        <f>C9</f>
        <v>5</v>
      </c>
      <c r="D10" s="3" t="str">
        <f t="shared" si="1"/>
        <v>007800430C</v>
      </c>
      <c r="E10" t="str">
        <f t="shared" ref="E10:E13" si="2">MID(D10,1,4)</f>
        <v>0078</v>
      </c>
      <c r="F10">
        <f t="shared" ref="F10:F13" si="3">HEX2DEC(E10)</f>
        <v>120</v>
      </c>
      <c r="G10" t="str">
        <f t="shared" ref="G10:G13" si="4">RIGHT(D10,2)</f>
        <v>0C</v>
      </c>
      <c r="H10">
        <f t="shared" ref="H10:H13" si="5">HEX2DEC(G10)/2</f>
        <v>6</v>
      </c>
      <c r="I10" t="str">
        <f t="shared" ref="I10:I13" si="6">MID(D10,5,4)</f>
        <v>0043</v>
      </c>
      <c r="J10">
        <f t="shared" ref="J10:J13" si="7">HEX2DEC(I10)</f>
        <v>67</v>
      </c>
      <c r="L10" s="14">
        <v>0.22916666666666666</v>
      </c>
      <c r="M10">
        <v>120</v>
      </c>
    </row>
    <row r="11" spans="1:13" x14ac:dyDescent="0.25">
      <c r="A11" t="s">
        <v>411</v>
      </c>
      <c r="B11" s="16" t="str">
        <f t="shared" si="0"/>
        <v>10</v>
      </c>
      <c r="C11" s="16">
        <f t="shared" ref="C11:C13" si="8">C10</f>
        <v>5</v>
      </c>
      <c r="D11" s="3" t="str">
        <f t="shared" si="1"/>
        <v>0064003814</v>
      </c>
      <c r="E11" t="str">
        <f t="shared" si="2"/>
        <v>0064</v>
      </c>
      <c r="F11">
        <f t="shared" si="3"/>
        <v>100</v>
      </c>
      <c r="G11" t="str">
        <f t="shared" si="4"/>
        <v>14</v>
      </c>
      <c r="H11">
        <f t="shared" si="5"/>
        <v>10</v>
      </c>
      <c r="I11" t="str">
        <f t="shared" si="6"/>
        <v>0038</v>
      </c>
      <c r="J11">
        <f t="shared" si="7"/>
        <v>56</v>
      </c>
      <c r="L11" s="14">
        <v>0.35416666666666669</v>
      </c>
      <c r="M11">
        <v>100</v>
      </c>
    </row>
    <row r="12" spans="1:13" x14ac:dyDescent="0.25">
      <c r="A12" t="s">
        <v>412</v>
      </c>
      <c r="B12" s="16" t="str">
        <f t="shared" si="0"/>
        <v>15</v>
      </c>
      <c r="C12" s="16">
        <f t="shared" si="8"/>
        <v>5</v>
      </c>
      <c r="D12" s="3" t="str">
        <f t="shared" si="1"/>
        <v>0078004324</v>
      </c>
      <c r="E12" t="str">
        <f t="shared" si="2"/>
        <v>0078</v>
      </c>
      <c r="F12">
        <f t="shared" si="3"/>
        <v>120</v>
      </c>
      <c r="G12" t="str">
        <f t="shared" si="4"/>
        <v>24</v>
      </c>
      <c r="H12">
        <f t="shared" si="5"/>
        <v>18</v>
      </c>
      <c r="I12" t="str">
        <f t="shared" si="6"/>
        <v>0043</v>
      </c>
      <c r="J12">
        <f t="shared" si="7"/>
        <v>67</v>
      </c>
      <c r="L12" s="14">
        <v>0.39583333333333331</v>
      </c>
      <c r="M12">
        <v>120</v>
      </c>
    </row>
    <row r="13" spans="1:13" x14ac:dyDescent="0.25">
      <c r="A13" t="s">
        <v>413</v>
      </c>
      <c r="B13" s="16" t="str">
        <f t="shared" si="0"/>
        <v>1A</v>
      </c>
      <c r="C13" s="16">
        <f t="shared" si="8"/>
        <v>5</v>
      </c>
      <c r="D13" s="3" t="str">
        <f t="shared" si="1"/>
        <v>008C004E2E</v>
      </c>
      <c r="E13" t="str">
        <f t="shared" si="2"/>
        <v>008C</v>
      </c>
      <c r="F13">
        <f t="shared" si="3"/>
        <v>140</v>
      </c>
      <c r="G13" t="str">
        <f t="shared" si="4"/>
        <v>2E</v>
      </c>
      <c r="H13">
        <f t="shared" si="5"/>
        <v>23</v>
      </c>
      <c r="I13" t="str">
        <f t="shared" si="6"/>
        <v>004E</v>
      </c>
      <c r="J13">
        <f t="shared" si="7"/>
        <v>78</v>
      </c>
      <c r="L13" s="14">
        <v>0.45833333333333331</v>
      </c>
      <c r="M13">
        <v>140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5" x14ac:dyDescent="0.25"/>
  <cols>
    <col min="1" max="1" width="12.28515625" customWidth="1"/>
    <col min="4" max="4" width="22.140625" customWidth="1"/>
    <col min="7" max="7" width="23.42578125" customWidth="1"/>
  </cols>
  <sheetData>
    <row r="1" spans="1:17" ht="165" x14ac:dyDescent="0.25">
      <c r="A1" s="18" t="s">
        <v>422</v>
      </c>
    </row>
    <row r="4" spans="1:17" x14ac:dyDescent="0.25">
      <c r="A4" t="s">
        <v>406</v>
      </c>
      <c r="B4" s="15" t="s">
        <v>403</v>
      </c>
      <c r="C4" s="16" t="s">
        <v>404</v>
      </c>
      <c r="D4" s="3" t="str">
        <f>MID($A$1,1+HEX2DEC(B4)*2,2*HEX2DEC(C4))</f>
        <v>05</v>
      </c>
    </row>
    <row r="5" spans="1:17" x14ac:dyDescent="0.25">
      <c r="A5" t="s">
        <v>407</v>
      </c>
      <c r="B5" s="16" t="str">
        <f>DEC2HEX(HEX2DEC(B4)+HEX2DEC(C4),2)</f>
        <v>01</v>
      </c>
      <c r="C5" s="16" t="s">
        <v>405</v>
      </c>
      <c r="D5" s="3" t="str">
        <f>MID($A$1,1+HEX2DEC(B5)*2,2*HEX2DEC(C5))</f>
        <v>0132</v>
      </c>
    </row>
    <row r="6" spans="1:17" x14ac:dyDescent="0.25">
      <c r="A6" t="s">
        <v>408</v>
      </c>
      <c r="B6" s="16" t="str">
        <f t="shared" ref="B6:B7" si="0">DEC2HEX(HEX2DEC(B5)+HEX2DEC(C5),2)</f>
        <v>03</v>
      </c>
      <c r="C6" s="16" t="s">
        <v>405</v>
      </c>
      <c r="D6" s="3" t="str">
        <f>MID($A$1,1+HEX2DEC(B6)*2,2*HEX2DEC(C6))</f>
        <v>D1E1</v>
      </c>
      <c r="E6">
        <f>HEX2DEC(D6)</f>
        <v>53729</v>
      </c>
      <c r="F6">
        <f>HEX2DEC(MID(D6,1,2))</f>
        <v>209</v>
      </c>
      <c r="G6">
        <f>HEX2DEC(MID(D6,3,2))</f>
        <v>225</v>
      </c>
    </row>
    <row r="7" spans="1:17" x14ac:dyDescent="0.25">
      <c r="A7" t="s">
        <v>402</v>
      </c>
      <c r="B7" s="16" t="str">
        <f t="shared" si="0"/>
        <v>05</v>
      </c>
      <c r="C7" s="16" t="s">
        <v>404</v>
      </c>
      <c r="D7" s="3" t="str">
        <f>MID($A$1,1+HEX2DEC(B7)*2,2*HEX2DEC(C7))</f>
        <v>04</v>
      </c>
      <c r="E7">
        <f>HEX2DEC(D7)</f>
        <v>4</v>
      </c>
    </row>
    <row r="8" spans="1:17" x14ac:dyDescent="0.25">
      <c r="A8" s="17" t="s">
        <v>416</v>
      </c>
      <c r="B8" s="17" t="s">
        <v>418</v>
      </c>
      <c r="E8" s="16"/>
      <c r="F8" s="16"/>
      <c r="G8" s="3"/>
      <c r="K8" s="2" t="s">
        <v>421</v>
      </c>
      <c r="M8" s="2" t="s">
        <v>420</v>
      </c>
      <c r="O8" s="2" t="s">
        <v>421</v>
      </c>
      <c r="Q8" s="2" t="s">
        <v>420</v>
      </c>
    </row>
    <row r="9" spans="1:17" x14ac:dyDescent="0.25">
      <c r="A9" s="14">
        <v>0</v>
      </c>
      <c r="B9">
        <v>90</v>
      </c>
      <c r="C9">
        <v>120</v>
      </c>
      <c r="D9" s="17" t="s">
        <v>409</v>
      </c>
      <c r="E9" s="16" t="str">
        <f>DEC2HEX(HEX2DEC(B7)+HEX2DEC(C7),2)</f>
        <v>06</v>
      </c>
      <c r="F9" s="16">
        <v>9</v>
      </c>
      <c r="G9" s="3" t="str">
        <f>MID($A$1,1+HEX2DEC(E9)*2,2*HEX2DEC(F9))</f>
        <v>00780043005A003200</v>
      </c>
      <c r="H9" t="str">
        <f>RIGHT(G9,2)</f>
        <v>00</v>
      </c>
      <c r="I9">
        <f>HEX2DEC(H9)/2</f>
        <v>0</v>
      </c>
      <c r="J9" t="str">
        <f>MID(G9,1,4)</f>
        <v>0078</v>
      </c>
      <c r="K9">
        <f>HEX2DEC(J9)</f>
        <v>120</v>
      </c>
      <c r="L9" t="str">
        <f>MID(G9,5,4)</f>
        <v>0043</v>
      </c>
      <c r="M9">
        <f>HEX2DEC(L9)</f>
        <v>67</v>
      </c>
      <c r="N9" t="str">
        <f>MID(G9,9,4)</f>
        <v>005A</v>
      </c>
      <c r="O9">
        <f>HEX2DEC(N9)</f>
        <v>90</v>
      </c>
      <c r="P9" t="str">
        <f>MID(G9,13,4)</f>
        <v>0032</v>
      </c>
      <c r="Q9">
        <f>HEX2DEC(P9)</f>
        <v>50</v>
      </c>
    </row>
    <row r="10" spans="1:17" x14ac:dyDescent="0.25">
      <c r="A10" s="14">
        <v>0.20833333333333334</v>
      </c>
      <c r="B10">
        <v>80</v>
      </c>
      <c r="C10">
        <v>120</v>
      </c>
      <c r="D10" s="17" t="s">
        <v>410</v>
      </c>
      <c r="E10" s="16" t="str">
        <f>DEC2HEX(HEX2DEC(E9)+HEX2DEC(F9),2)</f>
        <v>0F</v>
      </c>
      <c r="F10" s="16">
        <f>F9</f>
        <v>9</v>
      </c>
      <c r="G10" s="3" t="str">
        <f>MID($A$1,1+HEX2DEC(E10)*2,2*HEX2DEC(F10))</f>
        <v>007800430050002C0A</v>
      </c>
      <c r="H10" t="str">
        <f>RIGHT(G10,2)</f>
        <v>0A</v>
      </c>
      <c r="I10">
        <f>HEX2DEC(H10)/2</f>
        <v>5</v>
      </c>
      <c r="J10" t="str">
        <f>MID(G10,1,4)</f>
        <v>0078</v>
      </c>
      <c r="K10">
        <f>HEX2DEC(J10)</f>
        <v>120</v>
      </c>
      <c r="L10" t="str">
        <f>MID(G10,5,4)</f>
        <v>0043</v>
      </c>
      <c r="M10">
        <f>HEX2DEC(L10)</f>
        <v>67</v>
      </c>
      <c r="N10" t="str">
        <f t="shared" ref="N10:N12" si="1">MID(G10,9,4)</f>
        <v>0050</v>
      </c>
      <c r="O10">
        <f>HEX2DEC(N10)</f>
        <v>80</v>
      </c>
      <c r="P10" t="str">
        <f t="shared" ref="P10:P12" si="2">MID(G10,13,4)</f>
        <v>002C</v>
      </c>
      <c r="Q10">
        <f>HEX2DEC(P10)</f>
        <v>44</v>
      </c>
    </row>
    <row r="11" spans="1:17" x14ac:dyDescent="0.25">
      <c r="A11" s="14">
        <v>0.33333333333333331</v>
      </c>
      <c r="B11">
        <v>80</v>
      </c>
      <c r="C11">
        <v>120</v>
      </c>
      <c r="D11" s="17" t="s">
        <v>411</v>
      </c>
      <c r="E11" s="16" t="str">
        <f>DEC2HEX(HEX2DEC(E10)+HEX2DEC(F10),2)</f>
        <v>18</v>
      </c>
      <c r="F11" s="16">
        <f>F10</f>
        <v>9</v>
      </c>
      <c r="G11" s="3" t="str">
        <f>MID($A$1,1+HEX2DEC(E11)*2,2*HEX2DEC(F11))</f>
        <v>007800430050002C10</v>
      </c>
      <c r="H11" t="str">
        <f>RIGHT(G11,2)</f>
        <v>10</v>
      </c>
      <c r="I11">
        <f>HEX2DEC(H11)/2</f>
        <v>8</v>
      </c>
      <c r="J11" t="str">
        <f>MID(G11,1,4)</f>
        <v>0078</v>
      </c>
      <c r="K11">
        <f>HEX2DEC(J11)</f>
        <v>120</v>
      </c>
      <c r="L11" t="str">
        <f>MID(G11,5,4)</f>
        <v>0043</v>
      </c>
      <c r="M11">
        <f>HEX2DEC(L11)</f>
        <v>67</v>
      </c>
      <c r="N11" t="str">
        <f t="shared" si="1"/>
        <v>0050</v>
      </c>
      <c r="O11">
        <f>HEX2DEC(N11)</f>
        <v>80</v>
      </c>
      <c r="P11" t="str">
        <f t="shared" si="2"/>
        <v>002C</v>
      </c>
      <c r="Q11">
        <f>HEX2DEC(P11)</f>
        <v>44</v>
      </c>
    </row>
    <row r="12" spans="1:17" x14ac:dyDescent="0.25">
      <c r="A12" s="14">
        <v>0.75</v>
      </c>
      <c r="B12">
        <v>90</v>
      </c>
      <c r="C12">
        <v>120</v>
      </c>
      <c r="D12" s="17" t="s">
        <v>412</v>
      </c>
      <c r="E12" s="16" t="str">
        <f>DEC2HEX(HEX2DEC(E11)+HEX2DEC(F11),2)</f>
        <v>21</v>
      </c>
      <c r="F12" s="16">
        <f>F11</f>
        <v>9</v>
      </c>
      <c r="G12" s="3" t="str">
        <f>MID($A$1,1+HEX2DEC(E12)*2,2*HEX2DEC(F12))</f>
        <v>00780043005A003224</v>
      </c>
      <c r="H12" t="str">
        <f>RIGHT(G12,2)</f>
        <v>24</v>
      </c>
      <c r="I12">
        <f>HEX2DEC(H12)/2</f>
        <v>18</v>
      </c>
      <c r="J12" t="str">
        <f>MID(G12,1,4)</f>
        <v>0078</v>
      </c>
      <c r="K12">
        <f>HEX2DEC(J12)</f>
        <v>120</v>
      </c>
      <c r="L12" t="str">
        <f>MID(G12,5,4)</f>
        <v>0043</v>
      </c>
      <c r="M12">
        <f>HEX2DEC(L12)</f>
        <v>67</v>
      </c>
      <c r="N12" t="str">
        <f t="shared" si="1"/>
        <v>005A</v>
      </c>
      <c r="O12">
        <f>HEX2DEC(N12)</f>
        <v>90</v>
      </c>
      <c r="P12" t="str">
        <f t="shared" si="2"/>
        <v>0032</v>
      </c>
      <c r="Q12">
        <f>HEX2DEC(P12)</f>
        <v>50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all_events</vt:lpstr>
      <vt:lpstr>Arrow status mapping</vt:lpstr>
      <vt:lpstr>Carb ratios</vt:lpstr>
      <vt:lpstr>Sensitivity factors</vt:lpstr>
      <vt:lpstr>BG Targets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Kowalik</dc:creator>
  <cp:lastModifiedBy>Pawel Kowalik</cp:lastModifiedBy>
  <dcterms:created xsi:type="dcterms:W3CDTF">2021-01-08T09:34:02Z</dcterms:created>
  <dcterms:modified xsi:type="dcterms:W3CDTF">2021-01-09T17:19:51Z</dcterms:modified>
</cp:coreProperties>
</file>