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mp\Tomash\Акт\2021\Драгметаллы\"/>
    </mc:Choice>
  </mc:AlternateContent>
  <bookViews>
    <workbookView xWindow="0" yWindow="0" windowWidth="26235" windowHeight="11805" activeTab="3"/>
  </bookViews>
  <sheets>
    <sheet name="Данные" sheetId="4" r:id="rId1"/>
    <sheet name="Акт" sheetId="1" r:id="rId2"/>
    <sheet name="АКТ разногласий" sheetId="2" r:id="rId3"/>
    <sheet name="Этикетка" sheetId="3" r:id="rId4"/>
  </sheets>
  <definedNames>
    <definedName name="OLE_LINK10" localSheetId="1">Акт!$A$45</definedName>
    <definedName name="главный">Данные!$B$26:$B$27</definedName>
    <definedName name="клад">Данные!$B$32:$B$33</definedName>
    <definedName name="ком">Данные!$B$28:$B$31</definedName>
    <definedName name="комиссия">Данные!$B$26:$B$31</definedName>
    <definedName name="Начальник">Данные!$B$21:$B$22</definedName>
    <definedName name="преседатель">Данные!$B$23:$B$25</definedName>
    <definedName name="тип_объекта">Данные!$B$16:$B$18</definedName>
  </definedNames>
  <calcPr calcId="152511"/>
</workbook>
</file>

<file path=xl/calcChain.xml><?xml version="1.0" encoding="utf-8"?>
<calcChain xmlns="http://schemas.openxmlformats.org/spreadsheetml/2006/main">
  <c r="C27" i="1" l="1"/>
  <c r="B27" i="1"/>
  <c r="A9" i="2" l="1"/>
  <c r="A15" i="1"/>
  <c r="K6" i="4"/>
  <c r="J6" i="4"/>
  <c r="I6" i="4"/>
  <c r="C26" i="1" l="1"/>
  <c r="A14" i="1"/>
  <c r="K5" i="4"/>
  <c r="J5" i="4"/>
  <c r="I5" i="4"/>
  <c r="K7" i="4"/>
  <c r="J7" i="4"/>
  <c r="I7" i="4"/>
  <c r="C10" i="4" l="1"/>
  <c r="C11" i="4"/>
  <c r="A14" i="2" l="1"/>
  <c r="H27" i="1" l="1"/>
  <c r="G26" i="1"/>
  <c r="F26" i="1"/>
  <c r="E26" i="1"/>
  <c r="H24" i="1"/>
  <c r="G24" i="1"/>
  <c r="F24" i="1"/>
  <c r="E24" i="1"/>
  <c r="D9" i="3" l="1"/>
  <c r="D7" i="3"/>
  <c r="D6" i="3"/>
  <c r="D5" i="3"/>
  <c r="D4" i="3"/>
  <c r="H30" i="2"/>
  <c r="H28" i="2"/>
  <c r="H26" i="2"/>
  <c r="H24" i="2"/>
  <c r="H52" i="1"/>
  <c r="H49" i="1"/>
  <c r="H48" i="1"/>
  <c r="H47" i="1"/>
  <c r="H46" i="1"/>
  <c r="C46" i="1"/>
  <c r="C14" i="4"/>
  <c r="C52" i="1" s="1"/>
  <c r="C15" i="4"/>
  <c r="D32" i="2" s="1"/>
  <c r="B15" i="4"/>
  <c r="D8" i="3" s="1"/>
  <c r="C13" i="4"/>
  <c r="C49" i="1" s="1"/>
  <c r="C12" i="4"/>
  <c r="A6" i="3" s="1"/>
  <c r="C47" i="1"/>
  <c r="A4" i="3"/>
  <c r="L6" i="1"/>
  <c r="I6" i="1" s="1"/>
  <c r="A60" i="1" s="1"/>
  <c r="A16" i="1"/>
  <c r="A9" i="3" l="1"/>
  <c r="D26" i="2"/>
  <c r="A5" i="3"/>
  <c r="H51" i="1"/>
  <c r="C48" i="1"/>
  <c r="D30" i="2"/>
  <c r="C51" i="1"/>
  <c r="H32" i="2"/>
  <c r="A8" i="3"/>
  <c r="D28" i="2"/>
  <c r="A7" i="3"/>
  <c r="A13" i="1"/>
  <c r="D24" i="2"/>
  <c r="F1" i="2"/>
  <c r="F3" i="2"/>
  <c r="A2" i="3"/>
  <c r="A26" i="1"/>
  <c r="A24" i="1"/>
  <c r="B26" i="1" l="1"/>
  <c r="N26" i="1"/>
  <c r="N24" i="1"/>
  <c r="C24" i="1" l="1"/>
  <c r="C25" i="1" s="1"/>
  <c r="B24" i="1"/>
  <c r="B25" i="1" s="1"/>
  <c r="S40" i="1"/>
  <c r="V40" i="1"/>
  <c r="S41" i="1"/>
  <c r="V41" i="1"/>
  <c r="S42" i="1"/>
  <c r="V42" i="1"/>
  <c r="S44" i="1"/>
  <c r="V44" i="1"/>
  <c r="S45" i="1"/>
  <c r="V45" i="1"/>
  <c r="S46" i="1"/>
  <c r="V46" i="1"/>
  <c r="S48" i="1"/>
  <c r="V48" i="1"/>
  <c r="S49" i="1"/>
  <c r="V49" i="1"/>
  <c r="S50" i="1"/>
  <c r="V50" i="1"/>
  <c r="S52" i="1"/>
  <c r="V52" i="1"/>
  <c r="S53" i="1"/>
  <c r="V53" i="1"/>
  <c r="S54" i="1"/>
  <c r="V54" i="1"/>
  <c r="H32" i="1"/>
  <c r="E37" i="1" s="1"/>
  <c r="N32" i="1"/>
  <c r="B41" i="1" s="1"/>
  <c r="G32" i="1"/>
  <c r="F32" i="1"/>
  <c r="E32" i="1"/>
  <c r="X42" i="1" l="1"/>
  <c r="X40" i="1"/>
  <c r="X52" i="1"/>
  <c r="X46" i="1"/>
  <c r="X41" i="1"/>
  <c r="J24" i="1" s="1"/>
  <c r="X53" i="1"/>
  <c r="X54" i="1"/>
  <c r="X44" i="1"/>
  <c r="X48" i="1"/>
  <c r="X49" i="1"/>
  <c r="B42" i="1"/>
  <c r="X50" i="1"/>
  <c r="X45" i="1"/>
  <c r="B40" i="1"/>
  <c r="F27" i="1"/>
  <c r="H25" i="1"/>
  <c r="G27" i="1"/>
  <c r="E27" i="1"/>
  <c r="G25" i="1"/>
  <c r="F25" i="1"/>
  <c r="E25" i="1"/>
  <c r="Y42" i="1" l="1"/>
  <c r="Y40" i="1"/>
  <c r="Y41" i="1"/>
  <c r="L39" i="1" l="1"/>
  <c r="C3" i="3" s="1"/>
  <c r="E38" i="1"/>
  <c r="C19" i="2" s="1"/>
  <c r="F40" i="1" l="1"/>
  <c r="F41" i="1"/>
  <c r="F42" i="1"/>
  <c r="E36" i="1"/>
  <c r="C17" i="2" s="1"/>
  <c r="E35" i="1"/>
  <c r="C16" i="2" s="1"/>
  <c r="F35" i="1" l="1"/>
  <c r="I32" i="1"/>
  <c r="F38" i="1"/>
  <c r="L32" i="1"/>
  <c r="F36" i="1"/>
  <c r="J32" i="1"/>
  <c r="J25" i="1"/>
  <c r="L27" i="1"/>
  <c r="L26" i="1"/>
  <c r="I27" i="1"/>
  <c r="I26" i="1"/>
  <c r="L25" i="1"/>
  <c r="L24" i="1"/>
  <c r="I24" i="1"/>
  <c r="I25" i="1"/>
  <c r="J27" i="1"/>
  <c r="J26" i="1"/>
  <c r="G37" i="1"/>
  <c r="G38" i="1" l="1"/>
  <c r="G19" i="2" s="1"/>
  <c r="E19" i="2"/>
  <c r="G36" i="1"/>
  <c r="G17" i="2" s="1"/>
  <c r="E17" i="2"/>
  <c r="G35" i="1"/>
  <c r="G16" i="2" s="1"/>
  <c r="E16" i="2"/>
</calcChain>
</file>

<file path=xl/sharedStrings.xml><?xml version="1.0" encoding="utf-8"?>
<sst xmlns="http://schemas.openxmlformats.org/spreadsheetml/2006/main" count="196" uniqueCount="129">
  <si>
    <t>Наименование деталей (узлов), содержащих драгоценные металлы</t>
  </si>
  <si>
    <t>Количество деталей (узлов), шт.</t>
  </si>
  <si>
    <t>Масса драгоценного металла, г</t>
  </si>
  <si>
    <t>По даным учета</t>
  </si>
  <si>
    <t>Изъято при ликвидации</t>
  </si>
  <si>
    <t>отклонние</t>
  </si>
  <si>
    <t>по данным учета</t>
  </si>
  <si>
    <t>фактически</t>
  </si>
  <si>
    <t>отклонение</t>
  </si>
  <si>
    <t>Золото</t>
  </si>
  <si>
    <t>Серебро</t>
  </si>
  <si>
    <t>Платина</t>
  </si>
  <si>
    <t>М.п.г.</t>
  </si>
  <si>
    <t>%</t>
  </si>
  <si>
    <t>г</t>
  </si>
  <si>
    <t>ИТОГО:</t>
  </si>
  <si>
    <t>ВСЕГО</t>
  </si>
  <si>
    <t>числится</t>
  </si>
  <si>
    <t>Кг</t>
  </si>
  <si>
    <t>Гр</t>
  </si>
  <si>
    <t>Платиновая группа</t>
  </si>
  <si>
    <t>кг</t>
  </si>
  <si>
    <t xml:space="preserve">Члены комиссии: </t>
  </si>
  <si>
    <t>Материально ответственные лица:</t>
  </si>
  <si>
    <r>
      <t>Заключение комиссии</t>
    </r>
    <r>
      <rPr>
        <sz val="12"/>
        <color theme="1"/>
        <rFont val="Times New Roman"/>
        <family val="1"/>
        <charset val="204"/>
      </rPr>
      <t xml:space="preserve"> </t>
    </r>
  </si>
  <si>
    <t>1. Изъятые комплектующие сдать в кладовую, с последующей сдачей на УП «Унидрагмет БГУ»</t>
  </si>
  <si>
    <t>2. Провести расследование по разногласию данных.</t>
  </si>
  <si>
    <t>Лом, содержащий драгметаллы, принять по фактическому содержанию</t>
  </si>
  <si>
    <t>(подпись)</t>
  </si>
  <si>
    <t>(ФИО)</t>
  </si>
  <si>
    <t>Составлен в _1_ экземплярах (на  бланке организации):</t>
  </si>
  <si>
    <r>
      <t>1-й экземпляр – в __</t>
    </r>
    <r>
      <rPr>
        <i/>
        <sz val="9"/>
        <color theme="1"/>
        <rFont val="Times New Roman"/>
        <family val="1"/>
        <charset val="204"/>
      </rPr>
      <t>техническом отделе</t>
    </r>
    <r>
      <rPr>
        <sz val="9"/>
        <color theme="1"/>
        <rFont val="Times New Roman"/>
        <family val="1"/>
        <charset val="204"/>
      </rPr>
      <t>__   2-й экземпляр – в _-_</t>
    </r>
  </si>
  <si>
    <t>Вес деталей (узлов) в лигатуре</t>
  </si>
  <si>
    <t>Норма возврата</t>
  </si>
  <si>
    <t xml:space="preserve">      Молодечненская дистанция сигнализации и связи</t>
  </si>
  <si>
    <t xml:space="preserve">                                                                                                                                                                                 АКТ</t>
  </si>
  <si>
    <r>
      <t xml:space="preserve">                  металлы, из ликвидируемого оборудования</t>
    </r>
    <r>
      <rPr>
        <sz val="12"/>
        <color theme="1"/>
        <rFont val="Times New Roman"/>
        <family val="1"/>
        <charset val="204"/>
      </rPr>
      <t xml:space="preserve">, </t>
    </r>
    <r>
      <rPr>
        <b/>
        <sz val="12"/>
        <color theme="1"/>
        <rFont val="Times New Roman"/>
        <family val="1"/>
        <charset val="204"/>
      </rPr>
      <t>приборов, спецоснастки и других изделий</t>
    </r>
  </si>
  <si>
    <t>Номер документа</t>
  </si>
  <si>
    <r>
      <t xml:space="preserve">  </t>
    </r>
    <r>
      <rPr>
        <sz val="11"/>
        <color theme="1"/>
        <rFont val="Times New Roman"/>
        <family val="1"/>
        <charset val="204"/>
      </rPr>
      <t>Дата составления</t>
    </r>
  </si>
  <si>
    <t xml:space="preserve">В результате разбора образовался лом массой </t>
  </si>
  <si>
    <t>кг.</t>
  </si>
  <si>
    <t>1000</t>
  </si>
  <si>
    <t xml:space="preserve">  УЧЕТ СОДЕРЖАНИЯ ДРАГОЦЕННЫХ МЕТАЛЛОВ В ЭЛЕКТРОННОМ ЛОМЕ ОТ ИМПОРТНЫХ ИЗДЕЛИЙ В 2012-2013 ГОДАХ</t>
  </si>
  <si>
    <t>Председатель комиссии:</t>
  </si>
  <si>
    <t>Сдал:</t>
  </si>
  <si>
    <t>Принял:</t>
  </si>
  <si>
    <t xml:space="preserve">Решение руководителя   организации  по  недостаче  деталей  (узлов), содержащих драгоценные  металлы,  а  также  по  определению </t>
  </si>
  <si>
    <t xml:space="preserve">наличия драгоценных металлов </t>
  </si>
  <si>
    <t>Перечисленные в акте детали (узлы)</t>
  </si>
  <si>
    <t>сданы по приходному ордеру на склад</t>
  </si>
  <si>
    <t xml:space="preserve">и отражены в учете: </t>
  </si>
  <si>
    <t>Бухгалтер</t>
  </si>
  <si>
    <t>Дата        составления</t>
  </si>
  <si>
    <t>плата</t>
  </si>
  <si>
    <t>Д.Е. Томашевский</t>
  </si>
  <si>
    <r>
      <t>демонтажа оборудования и изъятия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деталей (узлов), содержащих драгоценные</t>
    </r>
  </si>
  <si>
    <t xml:space="preserve">                                                                                                                                                                                                                      Приложение 118</t>
  </si>
  <si>
    <t xml:space="preserve">                                                                                                                                                                                                                      Форма М-36дм</t>
  </si>
  <si>
    <t>0</t>
  </si>
  <si>
    <t>Проверка</t>
  </si>
  <si>
    <t>М.п.г</t>
  </si>
  <si>
    <t>Д.В. Ключник</t>
  </si>
  <si>
    <t>С.В. Мацкевич</t>
  </si>
  <si>
    <t>Что списываем:</t>
  </si>
  <si>
    <t>№ п/п</t>
  </si>
  <si>
    <t>Наименование</t>
  </si>
  <si>
    <t>Инв.№</t>
  </si>
  <si>
    <t>Количество плат</t>
  </si>
  <si>
    <t>Вес плат</t>
  </si>
  <si>
    <t>Вес 1 платы</t>
  </si>
  <si>
    <t>в составе:</t>
  </si>
  <si>
    <t>основных средств</t>
  </si>
  <si>
    <t>отдельных предметов в составе оборотных средств</t>
  </si>
  <si>
    <t>Начальник дистанции</t>
  </si>
  <si>
    <t>сигнализации и связи</t>
  </si>
  <si>
    <t>АКТ</t>
  </si>
  <si>
    <t xml:space="preserve">расследования несоответствия данных по учету содержания драгоценных металлов и фактических данных в </t>
  </si>
  <si>
    <t>по акту демонтажа</t>
  </si>
  <si>
    <t xml:space="preserve">№____ от ___________ </t>
  </si>
  <si>
    <t>Наименование драгметалла</t>
  </si>
  <si>
    <t>Числится по данным учета, гр</t>
  </si>
  <si>
    <t>Фактически, гр</t>
  </si>
  <si>
    <t>Отклонение, гр</t>
  </si>
  <si>
    <t xml:space="preserve"> - </t>
  </si>
  <si>
    <t>1.</t>
  </si>
  <si>
    <t>2.</t>
  </si>
  <si>
    <t>Принять драгметаллы по фактическому содержанию в соответствии с актом демонтажа.</t>
  </si>
  <si>
    <t>М.Е. Пачковская</t>
  </si>
  <si>
    <t>АКТ №</t>
  </si>
  <si>
    <t>от</t>
  </si>
  <si>
    <t>вес</t>
  </si>
  <si>
    <t>Руководитель предприятия:</t>
  </si>
  <si>
    <t>А.Н. Бельский</t>
  </si>
  <si>
    <t>М.Ф. Ракецкий</t>
  </si>
  <si>
    <t>А.А. Быков</t>
  </si>
  <si>
    <t>Д.А. Зайко</t>
  </si>
  <si>
    <t xml:space="preserve">                                                                                                                                                      УТВЕРЖДАЮ</t>
  </si>
  <si>
    <t>Комиссия:</t>
  </si>
  <si>
    <t>Г.М. Алехнович</t>
  </si>
  <si>
    <t>Сдаёт:</t>
  </si>
  <si>
    <t>Кладовщик:</t>
  </si>
  <si>
    <t>инженер-электроник</t>
  </si>
  <si>
    <t>Данным учета</t>
  </si>
  <si>
    <t>Г.Н. Зияддинова</t>
  </si>
  <si>
    <t>Статистические данные о содержании драгоценных металлов в ломе импортных изделий на 2020г.</t>
  </si>
  <si>
    <t>Т.Ф. Самаль</t>
  </si>
  <si>
    <t>материалов (импорт)</t>
  </si>
  <si>
    <t>Н.А. Мисевич</t>
  </si>
  <si>
    <t>и.о. главного бухгалтера</t>
  </si>
  <si>
    <t>и.о. Начальника дистанции</t>
  </si>
  <si>
    <t>инженер</t>
  </si>
  <si>
    <t>начальник сектора</t>
  </si>
  <si>
    <t>кладовщик</t>
  </si>
  <si>
    <t xml:space="preserve">         На    основании   приказа    руководителя    организации     от " 06 "    мая   2020 г. N 66П          комиссия в составе:</t>
  </si>
  <si>
    <t>заместитель начальника</t>
  </si>
  <si>
    <t>главный инженер</t>
  </si>
  <si>
    <t>главный бухгалтер</t>
  </si>
  <si>
    <t>начальник участка</t>
  </si>
  <si>
    <t>и.о. кладовщика</t>
  </si>
  <si>
    <t xml:space="preserve">  утверждены директором УП "Унидрагмет БГУ" Г.М. Корзуном 27.10.2020г.</t>
  </si>
  <si>
    <t xml:space="preserve">       счет, субсчет _________________ ликвидированного от «    »___________2021 г. № </t>
  </si>
  <si>
    <t xml:space="preserve">                                                                                                                                                  "_____" ______________ 2021 г.</t>
  </si>
  <si>
    <t>«___» ___________ 2021г.</t>
  </si>
  <si>
    <t>1900016469</t>
  </si>
  <si>
    <t>Блоки питания CoolerMaster 500W</t>
  </si>
  <si>
    <t>Фактическое содержание  в электронном ломе, полученном в результате разборки, было определено по статическим значениям процентного содержания драгоценных металлов в ломе импортных изделий на 2021 г, утвержденных директором УП "Унидрагмет БГУ" 27.10.2020 г.</t>
  </si>
  <si>
    <t>Е.А. Крачко</t>
  </si>
  <si>
    <t>Манипулятор типа мышь</t>
  </si>
  <si>
    <t>35776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</si>
</sst>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"/>
    <numFmt numFmtId="166" formatCode="0.000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9"/>
      <color theme="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0"/>
      <color rgb="FF00B0F0"/>
      <name val="Times New Roman"/>
      <family val="1"/>
      <charset val="204"/>
    </font>
    <font>
      <sz val="11"/>
      <color theme="0" tint="-0.1499984740745262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5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10" fillId="0" borderId="0" xfId="0" applyFont="1"/>
    <xf numFmtId="0" fontId="12" fillId="0" borderId="0" xfId="0" applyFont="1"/>
    <xf numFmtId="0" fontId="0" fillId="0" borderId="0" xfId="0" applyAlignment="1"/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0" fillId="0" borderId="2" xfId="0" applyFont="1" applyBorder="1"/>
    <xf numFmtId="0" fontId="0" fillId="0" borderId="0" xfId="0" applyBorder="1"/>
    <xf numFmtId="0" fontId="5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6" fillId="0" borderId="1" xfId="0" applyFont="1" applyBorder="1"/>
    <xf numFmtId="0" fontId="15" fillId="0" borderId="1" xfId="0" applyFont="1" applyBorder="1"/>
    <xf numFmtId="0" fontId="0" fillId="0" borderId="2" xfId="0" applyBorder="1" applyAlignment="1"/>
    <xf numFmtId="0" fontId="2" fillId="0" borderId="0" xfId="0" applyFont="1"/>
    <xf numFmtId="0" fontId="4" fillId="0" borderId="2" xfId="0" applyFont="1" applyBorder="1" applyAlignment="1">
      <alignment horizontal="center" vertical="top" wrapText="1"/>
    </xf>
    <xf numFmtId="0" fontId="3" fillId="0" borderId="0" xfId="0" applyFont="1" applyAlignment="1"/>
    <xf numFmtId="0" fontId="16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wrapText="1"/>
    </xf>
    <xf numFmtId="165" fontId="16" fillId="0" borderId="2" xfId="0" applyNumberFormat="1" applyFont="1" applyBorder="1" applyAlignment="1">
      <alignment horizontal="justify" vertical="top" wrapText="1"/>
    </xf>
    <xf numFmtId="0" fontId="8" fillId="0" borderId="2" xfId="0" applyFont="1" applyBorder="1" applyAlignment="1">
      <alignment horizontal="justify" vertical="top" wrapText="1"/>
    </xf>
    <xf numFmtId="0" fontId="18" fillId="0" borderId="2" xfId="0" applyFont="1" applyBorder="1" applyAlignment="1">
      <alignment horizontal="justify" vertical="top" wrapText="1"/>
    </xf>
    <xf numFmtId="164" fontId="8" fillId="0" borderId="2" xfId="0" applyNumberFormat="1" applyFont="1" applyBorder="1" applyAlignment="1">
      <alignment horizontal="justify" vertical="top" wrapText="1"/>
    </xf>
    <xf numFmtId="49" fontId="8" fillId="0" borderId="2" xfId="1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/>
    <xf numFmtId="0" fontId="14" fillId="0" borderId="0" xfId="0" applyFont="1" applyBorder="1" applyAlignment="1">
      <alignment horizontal="center" vertical="top" wrapText="1"/>
    </xf>
    <xf numFmtId="0" fontId="19" fillId="0" borderId="0" xfId="0" applyFont="1" applyAlignment="1"/>
    <xf numFmtId="0" fontId="19" fillId="0" borderId="0" xfId="0" applyFont="1"/>
    <xf numFmtId="0" fontId="0" fillId="0" borderId="0" xfId="0" applyFont="1"/>
    <xf numFmtId="0" fontId="8" fillId="0" borderId="2" xfId="0" applyFont="1" applyBorder="1" applyAlignment="1">
      <alignment horizontal="justify" vertical="top" wrapText="1"/>
    </xf>
    <xf numFmtId="165" fontId="10" fillId="0" borderId="2" xfId="0" applyNumberFormat="1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 wrapText="1"/>
    </xf>
    <xf numFmtId="165" fontId="16" fillId="0" borderId="2" xfId="0" applyNumberFormat="1" applyFont="1" applyBorder="1" applyAlignment="1">
      <alignment horizontal="center" vertical="top" wrapText="1"/>
    </xf>
    <xf numFmtId="165" fontId="0" fillId="0" borderId="0" xfId="0" applyNumberFormat="1"/>
    <xf numFmtId="165" fontId="8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center" vertical="top" wrapText="1"/>
    </xf>
    <xf numFmtId="0" fontId="21" fillId="0" borderId="0" xfId="0" applyFont="1" applyAlignment="1">
      <alignment horizontal="left"/>
    </xf>
    <xf numFmtId="49" fontId="16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justify" vertical="top" wrapText="1"/>
    </xf>
    <xf numFmtId="0" fontId="2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166" fontId="16" fillId="0" borderId="2" xfId="0" applyNumberFormat="1" applyFont="1" applyBorder="1" applyAlignment="1">
      <alignment horizontal="center" vertical="top" wrapText="1"/>
    </xf>
    <xf numFmtId="166" fontId="8" fillId="0" borderId="2" xfId="0" applyNumberFormat="1" applyFont="1" applyBorder="1" applyAlignment="1">
      <alignment horizontal="center" vertical="top" wrapText="1"/>
    </xf>
    <xf numFmtId="166" fontId="16" fillId="0" borderId="2" xfId="0" applyNumberFormat="1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0" fontId="2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1" fontId="0" fillId="0" borderId="2" xfId="0" applyNumberFormat="1" applyBorder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" fontId="4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top"/>
    </xf>
    <xf numFmtId="0" fontId="27" fillId="0" borderId="5" xfId="0" applyFont="1" applyBorder="1" applyAlignment="1">
      <alignment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/>
    <xf numFmtId="0" fontId="2" fillId="0" borderId="12" xfId="0" applyFont="1" applyBorder="1" applyAlignment="1">
      <alignment horizontal="right"/>
    </xf>
    <xf numFmtId="0" fontId="2" fillId="0" borderId="12" xfId="0" applyFont="1" applyBorder="1"/>
    <xf numFmtId="0" fontId="0" fillId="0" borderId="12" xfId="0" applyFont="1" applyBorder="1"/>
    <xf numFmtId="0" fontId="0" fillId="0" borderId="13" xfId="0" applyBorder="1"/>
    <xf numFmtId="0" fontId="0" fillId="0" borderId="5" xfId="0" applyFont="1" applyBorder="1"/>
    <xf numFmtId="0" fontId="3" fillId="0" borderId="5" xfId="0" applyFont="1" applyBorder="1"/>
    <xf numFmtId="0" fontId="28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0" fillId="2" borderId="0" xfId="0" applyFill="1"/>
    <xf numFmtId="49" fontId="0" fillId="2" borderId="2" xfId="0" applyNumberFormat="1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28" fillId="2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3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vertical="top" wrapText="1"/>
    </xf>
    <xf numFmtId="14" fontId="20" fillId="0" borderId="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8" fillId="0" borderId="2" xfId="0" applyFont="1" applyBorder="1" applyAlignment="1">
      <alignment horizontal="justify" vertical="top" wrapText="1"/>
    </xf>
    <xf numFmtId="0" fontId="17" fillId="0" borderId="2" xfId="0" applyFont="1" applyBorder="1" applyAlignment="1"/>
    <xf numFmtId="0" fontId="10" fillId="0" borderId="2" xfId="0" applyFont="1" applyBorder="1" applyAlignment="1"/>
    <xf numFmtId="0" fontId="10" fillId="0" borderId="2" xfId="0" applyFont="1" applyFill="1" applyBorder="1" applyAlignment="1"/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wrapText="1"/>
    </xf>
    <xf numFmtId="0" fontId="11" fillId="0" borderId="2" xfId="0" applyFont="1" applyBorder="1" applyAlignment="1"/>
    <xf numFmtId="0" fontId="8" fillId="0" borderId="2" xfId="0" applyFont="1" applyBorder="1" applyAlignment="1">
      <alignment horizontal="center" vertical="center" textRotation="90" wrapText="1"/>
    </xf>
    <xf numFmtId="0" fontId="0" fillId="0" borderId="2" xfId="0" applyBorder="1" applyAlignment="1">
      <alignment vertical="center" textRotation="90" wrapText="1"/>
    </xf>
    <xf numFmtId="0" fontId="3" fillId="0" borderId="5" xfId="0" applyFont="1" applyBorder="1" applyAlignment="1">
      <alignment horizontal="right"/>
    </xf>
    <xf numFmtId="0" fontId="0" fillId="0" borderId="2" xfId="0" applyBorder="1" applyAlignment="1">
      <alignment vertical="center" wrapText="1"/>
    </xf>
    <xf numFmtId="0" fontId="3" fillId="0" borderId="5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7" fillId="0" borderId="9" xfId="0" applyFont="1" applyBorder="1" applyAlignment="1">
      <alignment horizontal="right" vertical="center" wrapText="1"/>
    </xf>
    <xf numFmtId="0" fontId="27" fillId="0" borderId="0" xfId="0" applyFont="1" applyBorder="1" applyAlignment="1">
      <alignment horizontal="right" vertical="center" wrapText="1"/>
    </xf>
    <xf numFmtId="0" fontId="27" fillId="0" borderId="0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20" sqref="D20"/>
    </sheetView>
  </sheetViews>
  <sheetFormatPr defaultRowHeight="15" x14ac:dyDescent="0.25"/>
  <cols>
    <col min="1" max="1" width="26.85546875" customWidth="1"/>
    <col min="2" max="2" width="45.7109375" customWidth="1"/>
    <col min="3" max="3" width="11.85546875" customWidth="1"/>
    <col min="4" max="4" width="12.140625" customWidth="1"/>
    <col min="5" max="5" width="10.140625" customWidth="1"/>
  </cols>
  <sheetData>
    <row r="1" spans="1:12" ht="18.75" x14ac:dyDescent="0.25">
      <c r="A1" s="102" t="s">
        <v>63</v>
      </c>
      <c r="B1" s="102"/>
      <c r="C1" s="66"/>
      <c r="D1" s="63"/>
    </row>
    <row r="2" spans="1:12" ht="18.75" x14ac:dyDescent="0.25">
      <c r="A2" s="67" t="s">
        <v>70</v>
      </c>
      <c r="B2" s="97" t="s">
        <v>106</v>
      </c>
      <c r="C2" s="66"/>
      <c r="D2" s="63"/>
    </row>
    <row r="3" spans="1:12" x14ac:dyDescent="0.25">
      <c r="B3" s="59"/>
      <c r="I3" s="103" t="s">
        <v>102</v>
      </c>
      <c r="J3" s="103"/>
      <c r="K3" s="103"/>
      <c r="L3" s="103"/>
    </row>
    <row r="4" spans="1:12" ht="30" x14ac:dyDescent="0.25">
      <c r="A4" s="64" t="s">
        <v>64</v>
      </c>
      <c r="B4" s="64" t="s">
        <v>65</v>
      </c>
      <c r="C4" s="64" t="s">
        <v>66</v>
      </c>
      <c r="D4" s="64" t="s">
        <v>67</v>
      </c>
      <c r="E4" s="64" t="s">
        <v>68</v>
      </c>
      <c r="F4" s="101" t="s">
        <v>69</v>
      </c>
      <c r="G4" s="101"/>
      <c r="H4" s="101"/>
      <c r="I4" s="91" t="s">
        <v>9</v>
      </c>
      <c r="J4" s="91" t="s">
        <v>10</v>
      </c>
      <c r="K4" s="91" t="s">
        <v>60</v>
      </c>
      <c r="L4" s="91" t="s">
        <v>11</v>
      </c>
    </row>
    <row r="5" spans="1:12" x14ac:dyDescent="0.25">
      <c r="A5" s="60">
        <v>1</v>
      </c>
      <c r="B5" s="94" t="s">
        <v>124</v>
      </c>
      <c r="C5" s="93" t="s">
        <v>123</v>
      </c>
      <c r="D5" s="65">
        <v>4</v>
      </c>
      <c r="E5" s="61">
        <v>0.56499999999999995</v>
      </c>
      <c r="F5" s="95">
        <v>5.1999999999999998E-2</v>
      </c>
      <c r="G5" s="95">
        <v>4.9000000000000002E-2</v>
      </c>
      <c r="H5" s="95">
        <v>5.3999999999999999E-2</v>
      </c>
      <c r="I5" s="96">
        <f>0.0122*D5</f>
        <v>4.8800000000000003E-2</v>
      </c>
      <c r="J5" s="96">
        <f>0.0513*D5</f>
        <v>0.20519999999999999</v>
      </c>
      <c r="K5" s="96">
        <f>0.013*D5</f>
        <v>5.1999999999999998E-2</v>
      </c>
      <c r="L5" s="96">
        <v>0</v>
      </c>
    </row>
    <row r="6" spans="1:12" x14ac:dyDescent="0.25">
      <c r="A6" s="60">
        <v>2</v>
      </c>
      <c r="B6" s="94" t="s">
        <v>127</v>
      </c>
      <c r="C6" s="93" t="s">
        <v>128</v>
      </c>
      <c r="D6" s="65">
        <v>7</v>
      </c>
      <c r="E6" s="61">
        <v>7.0999999999999994E-2</v>
      </c>
      <c r="F6" s="95">
        <v>5.2999999999999999E-2</v>
      </c>
      <c r="G6" s="95">
        <v>9.8000000000000004E-2</v>
      </c>
      <c r="H6" s="95">
        <v>9.5000000000000001E-2</v>
      </c>
      <c r="I6" s="96">
        <f>0.002*D6</f>
        <v>1.4E-2</v>
      </c>
      <c r="J6" s="96">
        <f>0.027*D6</f>
        <v>0.189</v>
      </c>
      <c r="K6" s="96">
        <f>0.0003*D6</f>
        <v>2.0999999999999999E-3</v>
      </c>
      <c r="L6" s="96">
        <v>0</v>
      </c>
    </row>
    <row r="7" spans="1:12" x14ac:dyDescent="0.25">
      <c r="A7" s="60"/>
      <c r="B7" s="94"/>
      <c r="C7" s="93"/>
      <c r="D7" s="65"/>
      <c r="E7" s="61"/>
      <c r="F7" s="100"/>
      <c r="G7" s="95"/>
      <c r="H7" s="95"/>
      <c r="I7" s="96">
        <f>0.069*D7</f>
        <v>0</v>
      </c>
      <c r="J7" s="96">
        <f>0.132*D7</f>
        <v>0</v>
      </c>
      <c r="K7" s="96">
        <f>0.097*D7</f>
        <v>0</v>
      </c>
      <c r="L7" s="96">
        <v>0</v>
      </c>
    </row>
    <row r="8" spans="1:12" x14ac:dyDescent="0.25">
      <c r="A8" s="60"/>
      <c r="B8" s="58"/>
      <c r="C8" s="62"/>
      <c r="D8" s="65"/>
      <c r="E8" s="61"/>
      <c r="F8" s="61"/>
      <c r="G8" s="61"/>
      <c r="H8" s="61"/>
      <c r="I8" s="90"/>
      <c r="J8" s="90"/>
      <c r="K8" s="90"/>
      <c r="L8" s="90"/>
    </row>
    <row r="9" spans="1:12" x14ac:dyDescent="0.25">
      <c r="A9" t="s">
        <v>91</v>
      </c>
      <c r="B9" s="92" t="s">
        <v>93</v>
      </c>
    </row>
    <row r="10" spans="1:12" x14ac:dyDescent="0.25">
      <c r="A10" t="s">
        <v>43</v>
      </c>
      <c r="B10" s="92" t="s">
        <v>94</v>
      </c>
      <c r="C10" t="str">
        <f>IF(B10="А.А. Быков","главный инженер","заместитель начальника")</f>
        <v>главный инженер</v>
      </c>
    </row>
    <row r="11" spans="1:12" x14ac:dyDescent="0.25">
      <c r="A11" t="s">
        <v>97</v>
      </c>
      <c r="B11" s="92" t="s">
        <v>105</v>
      </c>
      <c r="C11" t="str">
        <f>IF(B11="М.Е. Пачковская","Главный бухгалтер","и.о. главного бухгалтера")</f>
        <v>и.о. главного бухгалтера</v>
      </c>
    </row>
    <row r="12" spans="1:12" x14ac:dyDescent="0.25">
      <c r="B12" s="92" t="s">
        <v>126</v>
      </c>
      <c r="C12" t="str">
        <f>IF(B12="Т.А. Емельянова",A30,IF(B12=B29,A29,IF(B12=B28,A28,IF(B12=B31,A31))))</f>
        <v>Бухгалтер</v>
      </c>
    </row>
    <row r="13" spans="1:12" x14ac:dyDescent="0.25">
      <c r="B13" s="92" t="s">
        <v>103</v>
      </c>
      <c r="C13" t="str">
        <f>IF(B13=B30,A30,IF(B13=B29,A29,IF(B13=B28,A28,IF(B13=B31,A31))))</f>
        <v>инженер</v>
      </c>
    </row>
    <row r="14" spans="1:12" x14ac:dyDescent="0.25">
      <c r="A14" t="s">
        <v>100</v>
      </c>
      <c r="B14" s="92" t="s">
        <v>107</v>
      </c>
      <c r="C14" t="str">
        <f>IF(B14=B32,A32,A33)</f>
        <v>кладовщик</v>
      </c>
    </row>
    <row r="15" spans="1:12" x14ac:dyDescent="0.25">
      <c r="A15" t="s">
        <v>99</v>
      </c>
      <c r="B15" s="99" t="str">
        <f>B34</f>
        <v>Д.Е. Томашевский</v>
      </c>
      <c r="C15" t="str">
        <f>A34</f>
        <v>инженер-электроник</v>
      </c>
    </row>
    <row r="16" spans="1:12" ht="12" customHeight="1" x14ac:dyDescent="0.25">
      <c r="B16" s="98" t="s">
        <v>106</v>
      </c>
    </row>
    <row r="17" spans="1:2" ht="12" customHeight="1" x14ac:dyDescent="0.25">
      <c r="B17" s="98" t="s">
        <v>71</v>
      </c>
    </row>
    <row r="18" spans="1:2" ht="11.25" customHeight="1" x14ac:dyDescent="0.25">
      <c r="B18" s="98" t="s">
        <v>72</v>
      </c>
    </row>
    <row r="21" spans="1:2" x14ac:dyDescent="0.25">
      <c r="A21" s="98" t="s">
        <v>73</v>
      </c>
      <c r="B21" s="98" t="s">
        <v>92</v>
      </c>
    </row>
    <row r="22" spans="1:2" x14ac:dyDescent="0.25">
      <c r="A22" s="98" t="s">
        <v>109</v>
      </c>
      <c r="B22" s="98" t="s">
        <v>93</v>
      </c>
    </row>
    <row r="23" spans="1:2" x14ac:dyDescent="0.25">
      <c r="A23" s="98" t="s">
        <v>114</v>
      </c>
      <c r="B23" s="98" t="s">
        <v>93</v>
      </c>
    </row>
    <row r="24" spans="1:2" x14ac:dyDescent="0.25">
      <c r="A24" s="98" t="s">
        <v>114</v>
      </c>
      <c r="B24" s="98" t="s">
        <v>61</v>
      </c>
    </row>
    <row r="25" spans="1:2" x14ac:dyDescent="0.25">
      <c r="A25" s="98" t="s">
        <v>115</v>
      </c>
      <c r="B25" s="98" t="s">
        <v>94</v>
      </c>
    </row>
    <row r="26" spans="1:2" x14ac:dyDescent="0.25">
      <c r="A26" s="98" t="s">
        <v>116</v>
      </c>
      <c r="B26" s="98" t="s">
        <v>87</v>
      </c>
    </row>
    <row r="27" spans="1:2" x14ac:dyDescent="0.25">
      <c r="A27" s="98" t="s">
        <v>108</v>
      </c>
      <c r="B27" s="98" t="s">
        <v>105</v>
      </c>
    </row>
    <row r="28" spans="1:2" x14ac:dyDescent="0.25">
      <c r="A28" s="98" t="s">
        <v>51</v>
      </c>
      <c r="B28" s="98" t="s">
        <v>126</v>
      </c>
    </row>
    <row r="29" spans="1:2" x14ac:dyDescent="0.25">
      <c r="A29" s="98" t="s">
        <v>111</v>
      </c>
      <c r="B29" s="98" t="s">
        <v>62</v>
      </c>
    </row>
    <row r="30" spans="1:2" x14ac:dyDescent="0.25">
      <c r="A30" s="98" t="s">
        <v>110</v>
      </c>
      <c r="B30" s="98" t="s">
        <v>103</v>
      </c>
    </row>
    <row r="31" spans="1:2" x14ac:dyDescent="0.25">
      <c r="A31" s="98" t="s">
        <v>117</v>
      </c>
      <c r="B31" s="98" t="s">
        <v>95</v>
      </c>
    </row>
    <row r="32" spans="1:2" x14ac:dyDescent="0.25">
      <c r="A32" s="98" t="s">
        <v>112</v>
      </c>
      <c r="B32" s="98" t="s">
        <v>107</v>
      </c>
    </row>
    <row r="33" spans="1:2" x14ac:dyDescent="0.25">
      <c r="A33" s="98" t="s">
        <v>118</v>
      </c>
      <c r="B33" s="98" t="s">
        <v>98</v>
      </c>
    </row>
    <row r="34" spans="1:2" x14ac:dyDescent="0.25">
      <c r="A34" s="98" t="s">
        <v>101</v>
      </c>
      <c r="B34" s="98" t="s">
        <v>54</v>
      </c>
    </row>
  </sheetData>
  <mergeCells count="3">
    <mergeCell ref="F4:H4"/>
    <mergeCell ref="A1:B1"/>
    <mergeCell ref="I3:L3"/>
  </mergeCells>
  <dataValidations count="6">
    <dataValidation type="list" allowBlank="1" showInputMessage="1" showErrorMessage="1" sqref="B2">
      <formula1>тип_объекта</formula1>
    </dataValidation>
    <dataValidation type="list" allowBlank="1" showInputMessage="1" showErrorMessage="1" sqref="B9">
      <formula1>Начальник</formula1>
    </dataValidation>
    <dataValidation type="list" allowBlank="1" showInputMessage="1" showErrorMessage="1" sqref="B10">
      <formula1>преседатель</formula1>
    </dataValidation>
    <dataValidation type="list" allowBlank="1" showInputMessage="1" showErrorMessage="1" sqref="B11">
      <formula1>главный</formula1>
    </dataValidation>
    <dataValidation type="list" allowBlank="1" showInputMessage="1" showErrorMessage="1" sqref="B12:B13">
      <formula1>ком</formula1>
    </dataValidation>
    <dataValidation type="list" allowBlank="1" showInputMessage="1" showErrorMessage="1" sqref="B14">
      <formula1>клад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selection activeCell="N16" sqref="N16"/>
    </sheetView>
  </sheetViews>
  <sheetFormatPr defaultRowHeight="15" x14ac:dyDescent="0.25"/>
  <cols>
    <col min="1" max="1" width="19.85546875" customWidth="1"/>
    <col min="2" max="2" width="5.85546875" customWidth="1"/>
    <col min="3" max="3" width="5.7109375" customWidth="1"/>
    <col min="4" max="4" width="3.7109375" customWidth="1"/>
    <col min="5" max="5" width="11.42578125" customWidth="1"/>
    <col min="6" max="6" width="11" customWidth="1"/>
    <col min="7" max="7" width="10.5703125" customWidth="1"/>
    <col min="8" max="8" width="10.85546875" customWidth="1"/>
    <col min="9" max="9" width="11" customWidth="1"/>
    <col min="10" max="10" width="10.5703125" customWidth="1"/>
    <col min="11" max="11" width="9.7109375" customWidth="1"/>
    <col min="12" max="12" width="10.5703125" customWidth="1"/>
    <col min="13" max="13" width="6.42578125" customWidth="1"/>
    <col min="14" max="14" width="6.5703125" customWidth="1"/>
    <col min="15" max="15" width="5.140625" customWidth="1"/>
    <col min="16" max="16" width="3.42578125" customWidth="1"/>
    <col min="18" max="25" width="9.140625" hidden="1" customWidth="1"/>
  </cols>
  <sheetData>
    <row r="1" spans="1:16" ht="15.75" x14ac:dyDescent="0.25">
      <c r="A1" s="1" t="s">
        <v>56</v>
      </c>
    </row>
    <row r="2" spans="1:16" ht="15.75" x14ac:dyDescent="0.25">
      <c r="A2" s="1" t="s">
        <v>57</v>
      </c>
    </row>
    <row r="3" spans="1:16" ht="15.75" x14ac:dyDescent="0.25">
      <c r="A3" s="1" t="s">
        <v>34</v>
      </c>
    </row>
    <row r="4" spans="1:16" ht="2.25" customHeight="1" x14ac:dyDescent="0.25"/>
    <row r="5" spans="1:16" ht="15.75" x14ac:dyDescent="0.25">
      <c r="A5" s="1" t="s">
        <v>96</v>
      </c>
    </row>
    <row r="6" spans="1:16" ht="15.75" x14ac:dyDescent="0.25">
      <c r="A6" s="1"/>
      <c r="I6" s="70" t="str">
        <f>IF(L6="А.Н. Бельский","Начальник дистанции","И.о. начальника дистанции")</f>
        <v>И.о. начальника дистанции</v>
      </c>
      <c r="J6" s="70"/>
      <c r="K6" s="89"/>
      <c r="L6" s="127" t="str">
        <f>Данные!B9</f>
        <v>М.Ф. Ракецкий</v>
      </c>
      <c r="M6" s="127"/>
      <c r="N6" s="127"/>
    </row>
    <row r="7" spans="1:16" ht="15.75" x14ac:dyDescent="0.25">
      <c r="A7" s="2" t="s">
        <v>121</v>
      </c>
      <c r="D7" s="2"/>
    </row>
    <row r="8" spans="1:16" ht="15.75" x14ac:dyDescent="0.25">
      <c r="A8" s="4"/>
      <c r="B8" s="4" t="s">
        <v>35</v>
      </c>
      <c r="O8" s="16"/>
      <c r="P8" s="16"/>
    </row>
    <row r="9" spans="1:16" ht="15" customHeight="1" x14ac:dyDescent="0.25">
      <c r="A9" s="118" t="s">
        <v>55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1" t="s">
        <v>37</v>
      </c>
      <c r="M9" s="122" t="s">
        <v>38</v>
      </c>
      <c r="N9" s="123"/>
      <c r="O9" s="35"/>
      <c r="P9" s="36"/>
    </row>
    <row r="10" spans="1:16" s="10" customFormat="1" ht="15.75" customHeight="1" x14ac:dyDescent="0.25">
      <c r="A10" s="120" t="s">
        <v>36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1"/>
      <c r="M10" s="122"/>
      <c r="N10" s="123"/>
      <c r="O10" s="35"/>
      <c r="P10" s="36"/>
    </row>
    <row r="11" spans="1:16" ht="18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  <c r="M11" s="107"/>
      <c r="N11" s="108"/>
      <c r="O11" s="37"/>
      <c r="P11" s="36"/>
    </row>
    <row r="12" spans="1:16" ht="15.75" x14ac:dyDescent="0.25">
      <c r="A12" s="1" t="s">
        <v>113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x14ac:dyDescent="0.25">
      <c r="A13" s="6" t="str">
        <f>CONCATENATE("       ",Данные!C10," ",Данные!B10,", ",Данные!C11," ",Данные!B11,", ",Данные!C12," ",Данные!B12,", ",Данные!C13," ",Данные!B13)</f>
        <v xml:space="preserve">       главный инженер А.А. Быков, и.о. главного бухгалтера Т.Ф. Самаль, Бухгалтер Е.А. Крачко, инженер Г.Н. Зияддинова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x14ac:dyDescent="0.25">
      <c r="A14" s="1" t="str">
        <f>CONCATENATE("        произвела изъятие следующих деталей (узлов),  содержащих драгоценные металлы, из ", Данные!B5, " - 4 шт.")</f>
        <v xml:space="preserve">        произвела изъятие следующих деталей (узлов),  содержащих драгоценные металлы, из Блоки питания CoolerMaster 500W - 4 шт.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39" customFormat="1" ht="15.75" x14ac:dyDescent="0.25">
      <c r="A15" s="1" t="str">
        <f>CONCATENATE(Данные!B6, " - 7 шт.")</f>
        <v>Манипулятор типа мышь - 7 шт.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5.75" x14ac:dyDescent="0.25">
      <c r="A16" s="1" t="str">
        <f>CONCATENATE("       инвентарный № ",Данные!C5,", ",Данные!C6,", ",Данные!C7,"  учитываемого в составе ",Данные!B2)</f>
        <v xml:space="preserve">       инвентарный № 1900016469, 35776,   учитываемого в составе материалов (импорт)</v>
      </c>
      <c r="B16" s="10"/>
      <c r="C16" s="10"/>
      <c r="D16" s="10"/>
      <c r="E16" s="10"/>
      <c r="F16" s="10"/>
      <c r="G16" s="10"/>
      <c r="H16" s="10"/>
      <c r="I16" s="10"/>
      <c r="J16" s="26"/>
      <c r="K16" s="10"/>
      <c r="L16" s="10"/>
      <c r="M16" s="10"/>
      <c r="N16" s="10"/>
      <c r="O16" s="10"/>
      <c r="P16" s="10"/>
    </row>
    <row r="17" spans="1:16" ht="15.75" x14ac:dyDescent="0.25">
      <c r="A17" s="1" t="s">
        <v>120</v>
      </c>
      <c r="L17" s="8"/>
    </row>
    <row r="18" spans="1:16" ht="25.5" customHeight="1" x14ac:dyDescent="0.25">
      <c r="A18" s="113" t="s">
        <v>0</v>
      </c>
      <c r="B18" s="115" t="s">
        <v>1</v>
      </c>
      <c r="C18" s="115"/>
      <c r="D18" s="115"/>
      <c r="E18" s="113" t="s">
        <v>2</v>
      </c>
      <c r="F18" s="113"/>
      <c r="G18" s="113"/>
      <c r="H18" s="113"/>
      <c r="I18" s="113"/>
      <c r="J18" s="113"/>
      <c r="K18" s="113"/>
      <c r="L18" s="113"/>
      <c r="M18" s="113"/>
      <c r="N18" s="125" t="s">
        <v>32</v>
      </c>
      <c r="O18" s="113" t="s">
        <v>33</v>
      </c>
      <c r="P18" s="113"/>
    </row>
    <row r="19" spans="1:16" ht="10.5" customHeight="1" x14ac:dyDescent="0.25">
      <c r="A19" s="114"/>
      <c r="B19" s="115"/>
      <c r="C19" s="115"/>
      <c r="D19" s="115"/>
      <c r="E19" s="113"/>
      <c r="F19" s="113"/>
      <c r="G19" s="113"/>
      <c r="H19" s="113"/>
      <c r="I19" s="113"/>
      <c r="J19" s="113"/>
      <c r="K19" s="113"/>
      <c r="L19" s="113"/>
      <c r="M19" s="113"/>
      <c r="N19" s="126"/>
      <c r="O19" s="128"/>
      <c r="P19" s="128"/>
    </row>
    <row r="20" spans="1:16" ht="6" customHeight="1" x14ac:dyDescent="0.25">
      <c r="A20" s="114"/>
      <c r="B20" s="115"/>
      <c r="C20" s="115"/>
      <c r="D20" s="115"/>
      <c r="E20" s="113"/>
      <c r="F20" s="113"/>
      <c r="G20" s="113"/>
      <c r="H20" s="113"/>
      <c r="I20" s="113"/>
      <c r="J20" s="113"/>
      <c r="K20" s="113"/>
      <c r="L20" s="113"/>
      <c r="M20" s="113"/>
      <c r="N20" s="126"/>
      <c r="O20" s="128"/>
      <c r="P20" s="128"/>
    </row>
    <row r="21" spans="1:16" x14ac:dyDescent="0.25">
      <c r="A21" s="114"/>
      <c r="B21" s="116" t="s">
        <v>3</v>
      </c>
      <c r="C21" s="117" t="s">
        <v>4</v>
      </c>
      <c r="D21" s="116" t="s">
        <v>5</v>
      </c>
      <c r="E21" s="115" t="s">
        <v>6</v>
      </c>
      <c r="F21" s="115"/>
      <c r="G21" s="115"/>
      <c r="H21" s="115"/>
      <c r="I21" s="115" t="s">
        <v>7</v>
      </c>
      <c r="J21" s="115"/>
      <c r="K21" s="115"/>
      <c r="L21" s="115"/>
      <c r="M21" s="113" t="s">
        <v>8</v>
      </c>
      <c r="N21" s="126"/>
      <c r="O21" s="128"/>
      <c r="P21" s="128"/>
    </row>
    <row r="22" spans="1:16" ht="45.75" customHeight="1" x14ac:dyDescent="0.25">
      <c r="A22" s="114"/>
      <c r="B22" s="116"/>
      <c r="C22" s="117"/>
      <c r="D22" s="116"/>
      <c r="E22" s="11" t="s">
        <v>9</v>
      </c>
      <c r="F22" s="11" t="s">
        <v>10</v>
      </c>
      <c r="G22" s="11" t="s">
        <v>60</v>
      </c>
      <c r="H22" s="11" t="s">
        <v>11</v>
      </c>
      <c r="I22" s="11" t="s">
        <v>9</v>
      </c>
      <c r="J22" s="11" t="s">
        <v>10</v>
      </c>
      <c r="K22" s="11" t="s">
        <v>11</v>
      </c>
      <c r="L22" s="11" t="s">
        <v>12</v>
      </c>
      <c r="M22" s="113"/>
      <c r="N22" s="126"/>
      <c r="O22" s="11" t="s">
        <v>13</v>
      </c>
      <c r="P22" s="12" t="s">
        <v>14</v>
      </c>
    </row>
    <row r="23" spans="1:16" ht="15.75" x14ac:dyDescent="0.25">
      <c r="A23" s="13">
        <v>1</v>
      </c>
      <c r="B23" s="13">
        <v>2</v>
      </c>
      <c r="C23" s="13">
        <v>3</v>
      </c>
      <c r="D23" s="13">
        <v>4</v>
      </c>
      <c r="E23" s="13">
        <v>5</v>
      </c>
      <c r="F23" s="13">
        <v>6</v>
      </c>
      <c r="G23" s="13">
        <v>7</v>
      </c>
      <c r="H23" s="13">
        <v>8</v>
      </c>
      <c r="I23" s="13">
        <v>9</v>
      </c>
      <c r="J23" s="13">
        <v>10</v>
      </c>
      <c r="K23" s="13">
        <v>11</v>
      </c>
      <c r="L23" s="13">
        <v>12</v>
      </c>
      <c r="M23" s="13">
        <v>13</v>
      </c>
      <c r="N23" s="13">
        <v>14</v>
      </c>
      <c r="O23" s="13">
        <v>15</v>
      </c>
      <c r="P23" s="13">
        <v>16</v>
      </c>
    </row>
    <row r="24" spans="1:16" s="24" customFormat="1" ht="26.25" customHeight="1" x14ac:dyDescent="0.25">
      <c r="A24" s="53" t="str">
        <f>Данные!B5</f>
        <v>Блоки питания CoolerMaster 500W</v>
      </c>
      <c r="B24" s="68">
        <f>Данные!D5</f>
        <v>4</v>
      </c>
      <c r="C24" s="68">
        <f>Данные!D5</f>
        <v>4</v>
      </c>
      <c r="D24" s="14"/>
      <c r="E24" s="27">
        <f>Данные!I5</f>
        <v>4.8800000000000003E-2</v>
      </c>
      <c r="F24" s="55">
        <f>Данные!J5</f>
        <v>0.20519999999999999</v>
      </c>
      <c r="G24" s="27">
        <f>Данные!K5</f>
        <v>5.1999999999999998E-2</v>
      </c>
      <c r="H24" s="27">
        <f>Данные!L5</f>
        <v>0</v>
      </c>
      <c r="I24" s="44">
        <f>X40</f>
        <v>5.6499999999999995E-2</v>
      </c>
      <c r="J24" s="44">
        <f>X41</f>
        <v>0.408495</v>
      </c>
      <c r="K24" s="27"/>
      <c r="L24" s="44">
        <f>X42</f>
        <v>1.1864999999999999E-2</v>
      </c>
      <c r="M24" s="27"/>
      <c r="N24" s="27">
        <f>Данные!E5</f>
        <v>0.56499999999999995</v>
      </c>
      <c r="O24" s="14"/>
      <c r="P24" s="14"/>
    </row>
    <row r="25" spans="1:16" ht="15.75" x14ac:dyDescent="0.25">
      <c r="A25" s="54" t="s">
        <v>53</v>
      </c>
      <c r="B25" s="13">
        <f>B24</f>
        <v>4</v>
      </c>
      <c r="C25" s="13">
        <f>C24</f>
        <v>4</v>
      </c>
      <c r="D25" s="13"/>
      <c r="E25" s="28">
        <f>E24</f>
        <v>4.8800000000000003E-2</v>
      </c>
      <c r="F25" s="56">
        <f>F24</f>
        <v>0.20519999999999999</v>
      </c>
      <c r="G25" s="28">
        <f>G24</f>
        <v>5.1999999999999998E-2</v>
      </c>
      <c r="H25" s="28">
        <f>H24</f>
        <v>0</v>
      </c>
      <c r="I25" s="46">
        <f>X40</f>
        <v>5.6499999999999995E-2</v>
      </c>
      <c r="J25" s="46">
        <f>X41</f>
        <v>0.408495</v>
      </c>
      <c r="K25" s="28"/>
      <c r="L25" s="46">
        <f>X42</f>
        <v>1.1864999999999999E-2</v>
      </c>
      <c r="M25" s="28"/>
      <c r="N25" s="28"/>
      <c r="O25" s="13"/>
      <c r="P25" s="13"/>
    </row>
    <row r="26" spans="1:16" s="24" customFormat="1" ht="24" x14ac:dyDescent="0.25">
      <c r="A26" s="53" t="str">
        <f>Данные!B6</f>
        <v>Манипулятор типа мышь</v>
      </c>
      <c r="B26" s="68">
        <f>Данные!D6</f>
        <v>7</v>
      </c>
      <c r="C26" s="68">
        <f>Данные!D6</f>
        <v>7</v>
      </c>
      <c r="D26" s="14"/>
      <c r="E26" s="27">
        <f>Данные!I6</f>
        <v>1.4E-2</v>
      </c>
      <c r="F26" s="55">
        <f>Данные!J6</f>
        <v>0.189</v>
      </c>
      <c r="G26" s="27">
        <f>Данные!K6</f>
        <v>2.0999999999999999E-3</v>
      </c>
      <c r="H26" s="27"/>
      <c r="I26" s="44">
        <f>X44</f>
        <v>7.0999999999999995E-3</v>
      </c>
      <c r="J26" s="44">
        <f>X45</f>
        <v>5.1332999999999997E-2</v>
      </c>
      <c r="K26" s="27"/>
      <c r="L26" s="44">
        <f>X46</f>
        <v>1.4909999999999997E-3</v>
      </c>
      <c r="M26" s="27"/>
      <c r="N26" s="27">
        <f>Данные!E6</f>
        <v>7.0999999999999994E-2</v>
      </c>
      <c r="O26" s="14"/>
      <c r="P26" s="14"/>
    </row>
    <row r="27" spans="1:16" s="40" customFormat="1" ht="15.75" x14ac:dyDescent="0.25">
      <c r="A27" s="54" t="s">
        <v>53</v>
      </c>
      <c r="B27" s="69">
        <f>B26</f>
        <v>7</v>
      </c>
      <c r="C27" s="69">
        <f>C26</f>
        <v>7</v>
      </c>
      <c r="D27" s="13"/>
      <c r="E27" s="28">
        <f>E26</f>
        <v>1.4E-2</v>
      </c>
      <c r="F27" s="56">
        <f>F26</f>
        <v>0.189</v>
      </c>
      <c r="G27" s="28">
        <f>G26</f>
        <v>2.0999999999999999E-3</v>
      </c>
      <c r="H27" s="28">
        <f>Данные!L6</f>
        <v>0</v>
      </c>
      <c r="I27" s="46">
        <f>X44</f>
        <v>7.0999999999999995E-3</v>
      </c>
      <c r="J27" s="46">
        <f>X45</f>
        <v>5.1332999999999997E-2</v>
      </c>
      <c r="K27" s="28"/>
      <c r="L27" s="46">
        <f>X46</f>
        <v>1.4909999999999997E-3</v>
      </c>
      <c r="M27" s="28"/>
      <c r="N27" s="28"/>
      <c r="O27" s="13"/>
      <c r="P27" s="13"/>
    </row>
    <row r="28" spans="1:16" ht="35.25" customHeight="1" x14ac:dyDescent="0.25">
      <c r="A28" s="53"/>
      <c r="B28" s="48"/>
      <c r="C28" s="48"/>
      <c r="D28" s="13"/>
      <c r="E28" s="27"/>
      <c r="F28" s="55"/>
      <c r="G28" s="27"/>
      <c r="H28" s="28"/>
      <c r="I28" s="44"/>
      <c r="J28" s="44"/>
      <c r="K28" s="27"/>
      <c r="L28" s="44"/>
      <c r="M28" s="28"/>
      <c r="N28" s="27"/>
      <c r="O28" s="13"/>
      <c r="P28" s="13"/>
    </row>
    <row r="29" spans="1:16" s="24" customFormat="1" ht="15.75" x14ac:dyDescent="0.25">
      <c r="A29" s="54"/>
      <c r="B29" s="13"/>
      <c r="C29" s="13"/>
      <c r="D29" s="25"/>
      <c r="E29" s="28"/>
      <c r="F29" s="56"/>
      <c r="G29" s="28"/>
      <c r="H29" s="27"/>
      <c r="I29" s="46"/>
      <c r="J29" s="46"/>
      <c r="K29" s="28"/>
      <c r="L29" s="46"/>
      <c r="M29" s="27"/>
      <c r="N29" s="27"/>
      <c r="O29" s="25"/>
      <c r="P29" s="25"/>
    </row>
    <row r="30" spans="1:16" s="24" customFormat="1" ht="15.75" hidden="1" x14ac:dyDescent="0.25">
      <c r="A30" s="53"/>
      <c r="B30" s="68"/>
      <c r="C30" s="68"/>
      <c r="D30" s="51"/>
      <c r="E30" s="27"/>
      <c r="F30" s="55"/>
      <c r="G30" s="27"/>
      <c r="H30" s="27"/>
      <c r="I30" s="44"/>
      <c r="J30" s="44"/>
      <c r="K30" s="27"/>
      <c r="L30" s="44"/>
      <c r="M30" s="27"/>
      <c r="N30" s="27"/>
      <c r="O30" s="51"/>
      <c r="P30" s="51"/>
    </row>
    <row r="31" spans="1:16" s="24" customFormat="1" ht="15.75" hidden="1" x14ac:dyDescent="0.25">
      <c r="A31" s="54"/>
      <c r="B31" s="13"/>
      <c r="C31" s="13"/>
      <c r="D31" s="51"/>
      <c r="E31" s="28"/>
      <c r="F31" s="56"/>
      <c r="G31" s="28"/>
      <c r="H31" s="27"/>
      <c r="I31" s="46"/>
      <c r="J31" s="46"/>
      <c r="K31" s="28"/>
      <c r="L31" s="46"/>
      <c r="M31" s="27"/>
      <c r="N31" s="27"/>
      <c r="O31" s="51"/>
      <c r="P31" s="51"/>
    </row>
    <row r="32" spans="1:16" ht="16.5" customHeight="1" x14ac:dyDescent="0.25">
      <c r="A32" s="14" t="s">
        <v>15</v>
      </c>
      <c r="B32" s="14"/>
      <c r="C32" s="14"/>
      <c r="D32" s="14"/>
      <c r="E32" s="29">
        <f>E24+E26+E28+E30</f>
        <v>6.2800000000000009E-2</v>
      </c>
      <c r="F32" s="57">
        <f>F24+F26+F28+F30</f>
        <v>0.39419999999999999</v>
      </c>
      <c r="G32" s="29">
        <f>G24+G26+G28+G30</f>
        <v>5.4099999999999995E-2</v>
      </c>
      <c r="H32" s="29">
        <f>H24+H26+H28+H30</f>
        <v>0</v>
      </c>
      <c r="I32" s="43">
        <f>F40</f>
        <v>6.359999999999999E-2</v>
      </c>
      <c r="J32" s="43">
        <f>F41</f>
        <v>0.4598279999999999</v>
      </c>
      <c r="K32" s="29"/>
      <c r="L32" s="43">
        <f>F42</f>
        <v>1.3355999999999996E-2</v>
      </c>
      <c r="M32" s="27"/>
      <c r="N32" s="27">
        <f>N24+N26+N28+N30</f>
        <v>0.6359999999999999</v>
      </c>
      <c r="O32" s="14"/>
      <c r="P32" s="14"/>
    </row>
    <row r="33" spans="1:25" ht="58.5" customHeight="1" x14ac:dyDescent="0.25"/>
    <row r="34" spans="1:25" x14ac:dyDescent="0.25">
      <c r="B34" s="124" t="s">
        <v>16</v>
      </c>
      <c r="C34" s="124"/>
      <c r="D34" s="124"/>
      <c r="E34" s="15" t="s">
        <v>17</v>
      </c>
      <c r="F34" s="15" t="s">
        <v>7</v>
      </c>
      <c r="G34" s="15" t="s">
        <v>8</v>
      </c>
    </row>
    <row r="35" spans="1:25" x14ac:dyDescent="0.25">
      <c r="B35" s="111" t="s">
        <v>9</v>
      </c>
      <c r="C35" s="111"/>
      <c r="D35" s="111"/>
      <c r="E35" s="18">
        <f>E32</f>
        <v>6.2800000000000009E-2</v>
      </c>
      <c r="F35" s="42">
        <f>F40</f>
        <v>6.359999999999999E-2</v>
      </c>
      <c r="G35" s="19">
        <f>F35-E35</f>
        <v>7.9999999999998128E-4</v>
      </c>
    </row>
    <row r="36" spans="1:25" x14ac:dyDescent="0.25">
      <c r="B36" s="111" t="s">
        <v>10</v>
      </c>
      <c r="C36" s="111"/>
      <c r="D36" s="111"/>
      <c r="E36" s="18">
        <f>F32</f>
        <v>0.39419999999999999</v>
      </c>
      <c r="F36" s="42">
        <f>F41</f>
        <v>0.4598279999999999</v>
      </c>
      <c r="G36" s="19">
        <f t="shared" ref="G36:G38" si="0">F36-E36</f>
        <v>6.5627999999999909E-2</v>
      </c>
    </row>
    <row r="37" spans="1:25" x14ac:dyDescent="0.25">
      <c r="B37" s="112" t="s">
        <v>11</v>
      </c>
      <c r="C37" s="112"/>
      <c r="D37" s="112"/>
      <c r="E37" s="18">
        <f>H32</f>
        <v>0</v>
      </c>
      <c r="F37" s="19" t="s">
        <v>58</v>
      </c>
      <c r="G37" s="19">
        <f t="shared" si="0"/>
        <v>0</v>
      </c>
    </row>
    <row r="38" spans="1:25" x14ac:dyDescent="0.25">
      <c r="B38" s="112" t="s">
        <v>12</v>
      </c>
      <c r="C38" s="112"/>
      <c r="D38" s="112"/>
      <c r="E38" s="18">
        <f>G32</f>
        <v>5.4099999999999995E-2</v>
      </c>
      <c r="F38" s="42">
        <f>F42</f>
        <v>1.3355999999999996E-2</v>
      </c>
      <c r="G38" s="19">
        <f t="shared" si="0"/>
        <v>-4.0744000000000002E-2</v>
      </c>
    </row>
    <row r="39" spans="1:25" ht="15.75" x14ac:dyDescent="0.25">
      <c r="H39" s="8" t="s">
        <v>39</v>
      </c>
      <c r="L39" s="3">
        <f>N32</f>
        <v>0.6359999999999999</v>
      </c>
      <c r="M39" s="1" t="s">
        <v>40</v>
      </c>
      <c r="Y39" t="s">
        <v>59</v>
      </c>
    </row>
    <row r="40" spans="1:25" ht="15.75" customHeight="1" x14ac:dyDescent="0.25">
      <c r="A40" s="31" t="s">
        <v>9</v>
      </c>
      <c r="B40" s="109">
        <f>N32</f>
        <v>0.6359999999999999</v>
      </c>
      <c r="C40" s="110"/>
      <c r="D40" s="32" t="s">
        <v>18</v>
      </c>
      <c r="E40" s="33">
        <v>1E-4</v>
      </c>
      <c r="F40" s="50">
        <f>B40*E40*W40</f>
        <v>6.359999999999999E-2</v>
      </c>
      <c r="G40" s="31" t="s">
        <v>19</v>
      </c>
      <c r="R40" s="41" t="s">
        <v>9</v>
      </c>
      <c r="S40" s="109">
        <f>N24</f>
        <v>0.56499999999999995</v>
      </c>
      <c r="T40" s="110"/>
      <c r="U40" s="32" t="s">
        <v>18</v>
      </c>
      <c r="V40" s="33">
        <f>E40</f>
        <v>1E-4</v>
      </c>
      <c r="W40" s="34" t="s">
        <v>41</v>
      </c>
      <c r="X40" s="30">
        <f>S40*V40*W40</f>
        <v>5.6499999999999995E-2</v>
      </c>
      <c r="Y40" s="45">
        <f>X40+X44+X48+X52</f>
        <v>6.359999999999999E-2</v>
      </c>
    </row>
    <row r="41" spans="1:25" ht="17.25" customHeight="1" x14ac:dyDescent="0.25">
      <c r="A41" s="31" t="s">
        <v>10</v>
      </c>
      <c r="B41" s="109">
        <f>N32</f>
        <v>0.6359999999999999</v>
      </c>
      <c r="C41" s="110"/>
      <c r="D41" s="32" t="s">
        <v>18</v>
      </c>
      <c r="E41" s="33">
        <v>7.2300000000000001E-4</v>
      </c>
      <c r="F41" s="27">
        <f>B41*E41*W41</f>
        <v>0.4598279999999999</v>
      </c>
      <c r="G41" s="31" t="s">
        <v>19</v>
      </c>
      <c r="R41" s="41" t="s">
        <v>10</v>
      </c>
      <c r="S41" s="109">
        <f>N24</f>
        <v>0.56499999999999995</v>
      </c>
      <c r="T41" s="110"/>
      <c r="U41" s="32" t="s">
        <v>18</v>
      </c>
      <c r="V41" s="33">
        <f>E41</f>
        <v>7.2300000000000001E-4</v>
      </c>
      <c r="W41" s="28">
        <v>1000</v>
      </c>
      <c r="X41" s="30">
        <f t="shared" ref="X41:X42" si="1">S41*V41*W41</f>
        <v>0.408495</v>
      </c>
      <c r="Y41" s="45">
        <f>X41+X45+X49+X53</f>
        <v>0.45982800000000001</v>
      </c>
    </row>
    <row r="42" spans="1:25" ht="16.5" customHeight="1" x14ac:dyDescent="0.25">
      <c r="A42" s="31" t="s">
        <v>20</v>
      </c>
      <c r="B42" s="109">
        <f>N32</f>
        <v>0.6359999999999999</v>
      </c>
      <c r="C42" s="110"/>
      <c r="D42" s="32" t="s">
        <v>21</v>
      </c>
      <c r="E42" s="33">
        <v>2.0999999999999999E-5</v>
      </c>
      <c r="F42" s="27">
        <f>B42*E42*W42</f>
        <v>1.3355999999999996E-2</v>
      </c>
      <c r="G42" s="31" t="s">
        <v>19</v>
      </c>
      <c r="R42" s="41" t="s">
        <v>20</v>
      </c>
      <c r="S42" s="109">
        <f>N24</f>
        <v>0.56499999999999995</v>
      </c>
      <c r="T42" s="110"/>
      <c r="U42" s="32" t="s">
        <v>21</v>
      </c>
      <c r="V42" s="33">
        <f>E42</f>
        <v>2.0999999999999999E-5</v>
      </c>
      <c r="W42" s="28">
        <v>1000</v>
      </c>
      <c r="X42" s="30">
        <f t="shared" si="1"/>
        <v>1.1864999999999999E-2</v>
      </c>
      <c r="Y42" s="45">
        <f>X42+X46+X50+X54</f>
        <v>1.3355999999999998E-2</v>
      </c>
    </row>
    <row r="43" spans="1:25" x14ac:dyDescent="0.25">
      <c r="A43" s="8" t="s">
        <v>104</v>
      </c>
    </row>
    <row r="44" spans="1:25" x14ac:dyDescent="0.25">
      <c r="A44" s="8" t="s">
        <v>119</v>
      </c>
      <c r="R44" s="41" t="s">
        <v>9</v>
      </c>
      <c r="S44" s="109">
        <f>N26</f>
        <v>7.0999999999999994E-2</v>
      </c>
      <c r="T44" s="110"/>
      <c r="U44" s="32" t="s">
        <v>18</v>
      </c>
      <c r="V44" s="33">
        <f>E40</f>
        <v>1E-4</v>
      </c>
      <c r="W44" s="34" t="s">
        <v>41</v>
      </c>
      <c r="X44" s="30">
        <f>S44*V44*W44</f>
        <v>7.0999999999999995E-3</v>
      </c>
    </row>
    <row r="45" spans="1:25" ht="3" customHeight="1" x14ac:dyDescent="0.25">
      <c r="A45" s="49" t="s">
        <v>42</v>
      </c>
      <c r="R45" s="41" t="s">
        <v>10</v>
      </c>
      <c r="S45" s="109">
        <f>N26</f>
        <v>7.0999999999999994E-2</v>
      </c>
      <c r="T45" s="110"/>
      <c r="U45" s="32" t="s">
        <v>18</v>
      </c>
      <c r="V45" s="33">
        <f>E41</f>
        <v>7.2300000000000001E-4</v>
      </c>
      <c r="W45" s="28">
        <v>1000</v>
      </c>
      <c r="X45" s="30">
        <f t="shared" ref="X45:X46" si="2">S45*V45*W45</f>
        <v>5.1332999999999997E-2</v>
      </c>
    </row>
    <row r="46" spans="1:25" ht="25.5" x14ac:dyDescent="0.25">
      <c r="A46" s="1" t="s">
        <v>43</v>
      </c>
      <c r="C46" s="20" t="str">
        <f>CONCATENATE(Данные!C10,"_______________________")</f>
        <v>главный инженер_______________________</v>
      </c>
      <c r="D46" s="10"/>
      <c r="E46" s="10"/>
      <c r="F46" s="10"/>
      <c r="G46" s="10"/>
      <c r="H46" s="20" t="str">
        <f>Данные!B10</f>
        <v>А.А. Быков</v>
      </c>
      <c r="I46" s="10"/>
      <c r="R46" s="41" t="s">
        <v>20</v>
      </c>
      <c r="S46" s="109">
        <f>N26</f>
        <v>7.0999999999999994E-2</v>
      </c>
      <c r="T46" s="110"/>
      <c r="U46" s="32" t="s">
        <v>21</v>
      </c>
      <c r="V46" s="33">
        <f>E42</f>
        <v>2.0999999999999999E-5</v>
      </c>
      <c r="W46" s="28">
        <v>1000</v>
      </c>
      <c r="X46" s="30">
        <f t="shared" si="2"/>
        <v>1.4909999999999997E-3</v>
      </c>
    </row>
    <row r="47" spans="1:25" ht="15.75" x14ac:dyDescent="0.25">
      <c r="A47" s="1" t="s">
        <v>22</v>
      </c>
      <c r="C47" s="8" t="str">
        <f>CONCATENATE(Данные!C11,"_______________________")</f>
        <v>и.о. главного бухгалтера_______________________</v>
      </c>
      <c r="H47" s="8" t="str">
        <f>Данные!B11</f>
        <v>Т.Ф. Самаль</v>
      </c>
    </row>
    <row r="48" spans="1:25" x14ac:dyDescent="0.25">
      <c r="C48" s="8" t="str">
        <f>CONCATENATE(Данные!C12,"_______________________")</f>
        <v>Бухгалтер_______________________</v>
      </c>
      <c r="H48" s="8" t="str">
        <f>Данные!B12</f>
        <v>Е.А. Крачко</v>
      </c>
      <c r="R48" s="47" t="s">
        <v>9</v>
      </c>
      <c r="S48" s="109">
        <f>N28</f>
        <v>0</v>
      </c>
      <c r="T48" s="110"/>
      <c r="U48" s="32" t="s">
        <v>18</v>
      </c>
      <c r="V48" s="33">
        <f>E40</f>
        <v>1E-4</v>
      </c>
      <c r="W48" s="34" t="s">
        <v>41</v>
      </c>
      <c r="X48" s="30">
        <f>S48*V48*W48</f>
        <v>0</v>
      </c>
    </row>
    <row r="49" spans="1:24" x14ac:dyDescent="0.25">
      <c r="C49" s="8" t="str">
        <f>CONCATENATE(Данные!C13,"_______________________")</f>
        <v>инженер_______________________</v>
      </c>
      <c r="H49" s="8" t="str">
        <f>Данные!B13</f>
        <v>Г.Н. Зияддинова</v>
      </c>
      <c r="R49" s="47" t="s">
        <v>10</v>
      </c>
      <c r="S49" s="109">
        <f>N28</f>
        <v>0</v>
      </c>
      <c r="T49" s="110"/>
      <c r="U49" s="32" t="s">
        <v>18</v>
      </c>
      <c r="V49" s="33">
        <f>E41</f>
        <v>7.2300000000000001E-4</v>
      </c>
      <c r="W49" s="28">
        <v>1000</v>
      </c>
      <c r="X49" s="30">
        <f t="shared" ref="X49:X50" si="3">S49*V49*W49</f>
        <v>0</v>
      </c>
    </row>
    <row r="50" spans="1:24" ht="15.75" customHeight="1" x14ac:dyDescent="0.25">
      <c r="A50" s="8" t="s">
        <v>23</v>
      </c>
      <c r="B50" s="8"/>
      <c r="C50" s="8"/>
      <c r="D50" s="8"/>
      <c r="E50" s="8"/>
      <c r="F50" s="8"/>
      <c r="G50" s="8"/>
      <c r="H50" s="8"/>
      <c r="R50" s="47" t="s">
        <v>20</v>
      </c>
      <c r="S50" s="109">
        <f>N28</f>
        <v>0</v>
      </c>
      <c r="T50" s="110"/>
      <c r="U50" s="32" t="s">
        <v>21</v>
      </c>
      <c r="V50" s="33">
        <f>E42</f>
        <v>2.0999999999999999E-5</v>
      </c>
      <c r="W50" s="28">
        <v>1000</v>
      </c>
      <c r="X50" s="30">
        <f t="shared" si="3"/>
        <v>0</v>
      </c>
    </row>
    <row r="51" spans="1:24" x14ac:dyDescent="0.25">
      <c r="A51" s="8" t="s">
        <v>44</v>
      </c>
      <c r="B51" s="8"/>
      <c r="C51" s="8" t="str">
        <f>CONCATENATE(Данные!C15,"_______________________")</f>
        <v>инженер-электроник_______________________</v>
      </c>
      <c r="D51" s="8"/>
      <c r="E51" s="8"/>
      <c r="F51" s="8"/>
      <c r="G51" s="8"/>
      <c r="H51" s="8" t="str">
        <f>Данные!B15</f>
        <v>Д.Е. Томашевский</v>
      </c>
    </row>
    <row r="52" spans="1:24" x14ac:dyDescent="0.25">
      <c r="A52" s="8" t="s">
        <v>45</v>
      </c>
      <c r="B52" s="8"/>
      <c r="C52" s="8" t="str">
        <f>CONCATENATE(Данные!C14,"_______________________")</f>
        <v>кладовщик_______________________</v>
      </c>
      <c r="D52" s="8"/>
      <c r="E52" s="8"/>
      <c r="F52" s="8"/>
      <c r="G52" s="8"/>
      <c r="H52" s="8" t="str">
        <f>Данные!B14</f>
        <v>Н.А. Мисевич</v>
      </c>
      <c r="R52" s="52" t="s">
        <v>9</v>
      </c>
      <c r="S52" s="109">
        <f>N30</f>
        <v>0</v>
      </c>
      <c r="T52" s="110"/>
      <c r="U52" s="32" t="s">
        <v>18</v>
      </c>
      <c r="V52" s="33">
        <f>E40</f>
        <v>1E-4</v>
      </c>
      <c r="W52" s="34" t="s">
        <v>41</v>
      </c>
      <c r="X52" s="30">
        <f>S52*V52*W52</f>
        <v>0</v>
      </c>
    </row>
    <row r="53" spans="1:24" ht="3" customHeight="1" x14ac:dyDescent="0.25">
      <c r="R53" s="52" t="s">
        <v>10</v>
      </c>
      <c r="S53" s="109">
        <f>N30</f>
        <v>0</v>
      </c>
      <c r="T53" s="110"/>
      <c r="U53" s="32" t="s">
        <v>18</v>
      </c>
      <c r="V53" s="33">
        <f>E41</f>
        <v>7.2300000000000001E-4</v>
      </c>
      <c r="W53" s="28">
        <v>1000</v>
      </c>
      <c r="X53" s="30">
        <f t="shared" ref="X53:X54" si="4">S53*V53*W53</f>
        <v>0</v>
      </c>
    </row>
    <row r="54" spans="1:24" ht="15.75" customHeight="1" x14ac:dyDescent="0.25">
      <c r="A54" s="5" t="s">
        <v>24</v>
      </c>
      <c r="R54" s="52" t="s">
        <v>20</v>
      </c>
      <c r="S54" s="109">
        <f>N30</f>
        <v>0</v>
      </c>
      <c r="T54" s="110"/>
      <c r="U54" s="32" t="s">
        <v>21</v>
      </c>
      <c r="V54" s="33">
        <f>E42</f>
        <v>2.0999999999999999E-5</v>
      </c>
      <c r="W54" s="28">
        <v>1000</v>
      </c>
      <c r="X54" s="30">
        <f t="shared" si="4"/>
        <v>0</v>
      </c>
    </row>
    <row r="55" spans="1:24" ht="15.75" x14ac:dyDescent="0.25">
      <c r="A55" s="1" t="s">
        <v>25</v>
      </c>
    </row>
    <row r="56" spans="1:24" ht="15.75" x14ac:dyDescent="0.25">
      <c r="A56" s="1" t="s">
        <v>26</v>
      </c>
    </row>
    <row r="57" spans="1:24" ht="15.75" x14ac:dyDescent="0.25">
      <c r="A57" s="1" t="s">
        <v>46</v>
      </c>
    </row>
    <row r="58" spans="1:24" ht="15.75" x14ac:dyDescent="0.25">
      <c r="A58" s="1" t="s">
        <v>47</v>
      </c>
    </row>
    <row r="59" spans="1:24" ht="16.5" thickBot="1" x14ac:dyDescent="0.3">
      <c r="A59" s="21" t="s">
        <v>27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24" ht="15.75" x14ac:dyDescent="0.25">
      <c r="A60" s="1" t="str">
        <f>CONCATENATE("                 '__' ______________ 2021 г.                                             ",I6,"_________________", L6)</f>
        <v xml:space="preserve">                 '__' ______________ 2021 г.                                             И.о. начальника дистанции_________________М.Ф. Ракецкий</v>
      </c>
    </row>
    <row r="61" spans="1:24" ht="15.75" x14ac:dyDescent="0.25">
      <c r="A61" s="1" t="s">
        <v>48</v>
      </c>
    </row>
    <row r="62" spans="1:24" ht="15.75" x14ac:dyDescent="0.25">
      <c r="A62" s="1" t="s">
        <v>49</v>
      </c>
    </row>
    <row r="63" spans="1:24" ht="15.75" customHeight="1" x14ac:dyDescent="0.25">
      <c r="A63" s="1" t="s">
        <v>50</v>
      </c>
      <c r="J63" s="104" t="s">
        <v>37</v>
      </c>
      <c r="K63" s="104" t="s">
        <v>52</v>
      </c>
      <c r="L63" s="105"/>
    </row>
    <row r="64" spans="1:24" x14ac:dyDescent="0.25">
      <c r="J64" s="106"/>
      <c r="K64" s="104"/>
      <c r="L64" s="105"/>
    </row>
    <row r="65" spans="1:12" ht="18" customHeight="1" thickBot="1" x14ac:dyDescent="0.3">
      <c r="A65" s="1" t="s">
        <v>51</v>
      </c>
      <c r="B65" s="7"/>
      <c r="C65" s="7"/>
      <c r="E65" s="22"/>
      <c r="F65" s="22"/>
      <c r="J65" s="17"/>
      <c r="K65" s="107"/>
      <c r="L65" s="108"/>
    </row>
    <row r="66" spans="1:12" x14ac:dyDescent="0.25">
      <c r="B66" s="9" t="s">
        <v>28</v>
      </c>
      <c r="C66" s="9"/>
      <c r="D66" s="9"/>
      <c r="E66" s="9" t="s">
        <v>29</v>
      </c>
    </row>
    <row r="67" spans="1:12" x14ac:dyDescent="0.25">
      <c r="A67" s="9" t="s">
        <v>30</v>
      </c>
    </row>
    <row r="68" spans="1:12" x14ac:dyDescent="0.25">
      <c r="A68" s="9" t="s">
        <v>31</v>
      </c>
    </row>
  </sheetData>
  <mergeCells count="40">
    <mergeCell ref="L6:N6"/>
    <mergeCell ref="S52:T52"/>
    <mergeCell ref="S53:T53"/>
    <mergeCell ref="S54:T54"/>
    <mergeCell ref="M11:N11"/>
    <mergeCell ref="O18:P21"/>
    <mergeCell ref="S48:T48"/>
    <mergeCell ref="S49:T49"/>
    <mergeCell ref="S50:T50"/>
    <mergeCell ref="S46:T46"/>
    <mergeCell ref="S40:T40"/>
    <mergeCell ref="S41:T41"/>
    <mergeCell ref="S42:T42"/>
    <mergeCell ref="S44:T44"/>
    <mergeCell ref="S45:T45"/>
    <mergeCell ref="A9:K9"/>
    <mergeCell ref="A10:K10"/>
    <mergeCell ref="L9:L10"/>
    <mergeCell ref="M9:N10"/>
    <mergeCell ref="B34:D34"/>
    <mergeCell ref="E18:M20"/>
    <mergeCell ref="E21:H21"/>
    <mergeCell ref="I21:L21"/>
    <mergeCell ref="M21:M22"/>
    <mergeCell ref="N18:N22"/>
    <mergeCell ref="B35:D35"/>
    <mergeCell ref="B36:D36"/>
    <mergeCell ref="B37:D37"/>
    <mergeCell ref="B38:D38"/>
    <mergeCell ref="A18:A22"/>
    <mergeCell ref="B18:D20"/>
    <mergeCell ref="B21:B22"/>
    <mergeCell ref="C21:C22"/>
    <mergeCell ref="D21:D22"/>
    <mergeCell ref="K63:L64"/>
    <mergeCell ref="J63:J64"/>
    <mergeCell ref="K65:L65"/>
    <mergeCell ref="B40:C40"/>
    <mergeCell ref="B41:C41"/>
    <mergeCell ref="B42:C42"/>
  </mergeCells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6" max="6" width="9.140625" customWidth="1"/>
    <col min="9" max="9" width="9.140625" customWidth="1"/>
  </cols>
  <sheetData>
    <row r="1" spans="1:9" ht="15.75" x14ac:dyDescent="0.25">
      <c r="F1" s="136" t="str">
        <f>Акт!I6</f>
        <v>И.о. начальника дистанции</v>
      </c>
      <c r="G1" s="136"/>
      <c r="H1" s="136"/>
      <c r="I1" s="136"/>
    </row>
    <row r="2" spans="1:9" ht="15.75" x14ac:dyDescent="0.25">
      <c r="F2" s="136" t="s">
        <v>74</v>
      </c>
      <c r="G2" s="136"/>
      <c r="H2" s="136"/>
      <c r="I2" s="136"/>
    </row>
    <row r="3" spans="1:9" ht="15.75" x14ac:dyDescent="0.25">
      <c r="F3" s="136" t="str">
        <f>CONCATENATE("________________ ",Акт!L6)</f>
        <v>________________ М.Ф. Ракецкий</v>
      </c>
      <c r="G3" s="136"/>
      <c r="H3" s="136"/>
      <c r="I3" s="136"/>
    </row>
    <row r="4" spans="1:9" ht="15.75" x14ac:dyDescent="0.25">
      <c r="F4" s="136" t="s">
        <v>122</v>
      </c>
      <c r="G4" s="136"/>
      <c r="H4" s="136"/>
      <c r="I4" s="136"/>
    </row>
    <row r="7" spans="1:9" ht="18.75" x14ac:dyDescent="0.3">
      <c r="A7" s="137" t="s">
        <v>75</v>
      </c>
      <c r="B7" s="137"/>
      <c r="C7" s="137"/>
      <c r="D7" s="137"/>
      <c r="E7" s="137"/>
      <c r="F7" s="137"/>
      <c r="G7" s="137"/>
      <c r="H7" s="137"/>
      <c r="I7" s="137"/>
    </row>
    <row r="8" spans="1:9" ht="30" customHeight="1" x14ac:dyDescent="0.25">
      <c r="A8" s="135" t="s">
        <v>76</v>
      </c>
      <c r="B8" s="135"/>
      <c r="C8" s="135"/>
      <c r="D8" s="135"/>
      <c r="E8" s="135"/>
      <c r="F8" s="135"/>
      <c r="G8" s="135"/>
      <c r="H8" s="135"/>
      <c r="I8" s="135"/>
    </row>
    <row r="9" spans="1:9" ht="46.5" customHeight="1" x14ac:dyDescent="0.25">
      <c r="A9" s="138" t="str">
        <f>CONCATENATE(Данные!B5," - 4 шт., ",Данные!B6,"      - 7 шт. ")</f>
        <v xml:space="preserve">Блоки питания CoolerMaster 500W - 4 шт., Манипулятор типа мышь      - 7 шт. </v>
      </c>
      <c r="B9" s="138"/>
      <c r="C9" s="138"/>
      <c r="D9" s="138"/>
      <c r="E9" s="138"/>
      <c r="F9" s="138"/>
      <c r="G9" s="138"/>
      <c r="H9" s="138"/>
      <c r="I9" s="138"/>
    </row>
    <row r="11" spans="1:9" ht="15.75" x14ac:dyDescent="0.25">
      <c r="A11" s="136" t="s">
        <v>77</v>
      </c>
      <c r="B11" s="136"/>
    </row>
    <row r="12" spans="1:9" ht="15.75" x14ac:dyDescent="0.25">
      <c r="A12" s="136" t="s">
        <v>78</v>
      </c>
      <c r="B12" s="136"/>
    </row>
    <row r="14" spans="1:9" ht="30.75" customHeight="1" x14ac:dyDescent="0.25">
      <c r="A14" s="135" t="str">
        <f>CONCATENATE("Инвентарный № ",Данные!C5,", ",Данные!C6,", ",Данные!C7," учитываемый в составе ",Данные!B2)</f>
        <v>Инвентарный № 1900016469, 35776,  учитываемый в составе материалов (импорт)</v>
      </c>
      <c r="B14" s="135"/>
      <c r="C14" s="135"/>
      <c r="D14" s="135"/>
      <c r="E14" s="135"/>
      <c r="F14" s="135"/>
      <c r="G14" s="135"/>
      <c r="H14" s="135"/>
      <c r="I14" s="135"/>
    </row>
    <row r="15" spans="1:9" ht="32.25" customHeight="1" x14ac:dyDescent="0.25">
      <c r="A15" s="133" t="s">
        <v>79</v>
      </c>
      <c r="B15" s="133"/>
      <c r="C15" s="133" t="s">
        <v>80</v>
      </c>
      <c r="D15" s="133"/>
      <c r="E15" s="133" t="s">
        <v>81</v>
      </c>
      <c r="F15" s="133"/>
      <c r="G15" s="133" t="s">
        <v>82</v>
      </c>
      <c r="H15" s="133"/>
    </row>
    <row r="16" spans="1:9" ht="15.75" x14ac:dyDescent="0.25">
      <c r="A16" s="133" t="s">
        <v>9</v>
      </c>
      <c r="B16" s="133"/>
      <c r="C16" s="133">
        <f>Акт!E35</f>
        <v>6.2800000000000009E-2</v>
      </c>
      <c r="D16" s="133"/>
      <c r="E16" s="133">
        <f>Акт!F35</f>
        <v>6.359999999999999E-2</v>
      </c>
      <c r="F16" s="133"/>
      <c r="G16" s="134">
        <f>Акт!G35</f>
        <v>7.9999999999998128E-4</v>
      </c>
      <c r="H16" s="133"/>
    </row>
    <row r="17" spans="1:9" ht="15.75" x14ac:dyDescent="0.25">
      <c r="A17" s="133" t="s">
        <v>10</v>
      </c>
      <c r="B17" s="133"/>
      <c r="C17" s="133">
        <f>Акт!E36</f>
        <v>0.39419999999999999</v>
      </c>
      <c r="D17" s="133"/>
      <c r="E17" s="133">
        <f>Акт!F36</f>
        <v>0.4598279999999999</v>
      </c>
      <c r="F17" s="133"/>
      <c r="G17" s="134">
        <f>Акт!G36</f>
        <v>6.5627999999999909E-2</v>
      </c>
      <c r="H17" s="133"/>
    </row>
    <row r="18" spans="1:9" ht="15.75" x14ac:dyDescent="0.25">
      <c r="A18" s="133" t="s">
        <v>11</v>
      </c>
      <c r="B18" s="133"/>
      <c r="C18" s="133" t="s">
        <v>83</v>
      </c>
      <c r="D18" s="133"/>
      <c r="E18" s="133" t="s">
        <v>83</v>
      </c>
      <c r="F18" s="133"/>
      <c r="G18" s="133" t="s">
        <v>83</v>
      </c>
      <c r="H18" s="133"/>
    </row>
    <row r="19" spans="1:9" ht="15.75" x14ac:dyDescent="0.25">
      <c r="A19" s="133" t="s">
        <v>12</v>
      </c>
      <c r="B19" s="133"/>
      <c r="C19" s="133">
        <f>Акт!E38</f>
        <v>5.4099999999999995E-2</v>
      </c>
      <c r="D19" s="133"/>
      <c r="E19" s="133">
        <f>Акт!F38</f>
        <v>1.3355999999999996E-2</v>
      </c>
      <c r="F19" s="133"/>
      <c r="G19" s="134">
        <f>Акт!G38</f>
        <v>-4.0744000000000002E-2</v>
      </c>
      <c r="H19" s="133"/>
    </row>
    <row r="21" spans="1:9" ht="63.75" customHeight="1" x14ac:dyDescent="0.25">
      <c r="A21" s="71" t="s">
        <v>84</v>
      </c>
      <c r="B21" s="131" t="s">
        <v>125</v>
      </c>
      <c r="C21" s="131"/>
      <c r="D21" s="131"/>
      <c r="E21" s="131"/>
      <c r="F21" s="131"/>
      <c r="G21" s="131"/>
      <c r="H21" s="131"/>
      <c r="I21" s="131"/>
    </row>
    <row r="22" spans="1:9" ht="32.25" customHeight="1" x14ac:dyDescent="0.25">
      <c r="A22" s="71" t="s">
        <v>85</v>
      </c>
      <c r="B22" s="131" t="s">
        <v>86</v>
      </c>
      <c r="C22" s="131"/>
      <c r="D22" s="131"/>
      <c r="E22" s="131"/>
      <c r="F22" s="131"/>
      <c r="G22" s="131"/>
      <c r="H22" s="131"/>
      <c r="I22" s="131"/>
    </row>
    <row r="24" spans="1:9" ht="15.75" customHeight="1" x14ac:dyDescent="0.25">
      <c r="A24" s="131" t="s">
        <v>43</v>
      </c>
      <c r="B24" s="131"/>
      <c r="C24" s="131"/>
      <c r="D24" s="129" t="str">
        <f>Данные!C10</f>
        <v>главный инженер</v>
      </c>
      <c r="E24" s="129"/>
      <c r="F24" s="129"/>
      <c r="G24" s="88"/>
      <c r="H24" s="131" t="str">
        <f>Данные!B10</f>
        <v>А.А. Быков</v>
      </c>
      <c r="I24" s="131"/>
    </row>
    <row r="25" spans="1:9" ht="15.75" x14ac:dyDescent="0.25">
      <c r="G25" s="40"/>
      <c r="H25" s="131"/>
      <c r="I25" s="131"/>
    </row>
    <row r="26" spans="1:9" ht="15.75" x14ac:dyDescent="0.25">
      <c r="A26" s="131" t="s">
        <v>22</v>
      </c>
      <c r="B26" s="131"/>
      <c r="C26" s="131"/>
      <c r="D26" s="129" t="str">
        <f>Данные!C11</f>
        <v>и.о. главного бухгалтера</v>
      </c>
      <c r="E26" s="129"/>
      <c r="F26" s="129"/>
      <c r="G26" s="88"/>
      <c r="H26" s="131" t="str">
        <f>Данные!B11</f>
        <v>Т.Ф. Самаль</v>
      </c>
      <c r="I26" s="131"/>
    </row>
    <row r="27" spans="1:9" ht="15.75" x14ac:dyDescent="0.25">
      <c r="G27" s="40"/>
      <c r="H27" s="131"/>
      <c r="I27" s="131"/>
    </row>
    <row r="28" spans="1:9" ht="15.75" x14ac:dyDescent="0.25">
      <c r="D28" s="129" t="str">
        <f>Данные!C13</f>
        <v>инженер</v>
      </c>
      <c r="E28" s="129"/>
      <c r="F28" s="129"/>
      <c r="G28" s="88"/>
      <c r="H28" s="131" t="str">
        <f>Данные!B13</f>
        <v>Г.Н. Зияддинова</v>
      </c>
      <c r="I28" s="131"/>
    </row>
    <row r="29" spans="1:9" ht="15.75" x14ac:dyDescent="0.25">
      <c r="D29" s="131"/>
      <c r="E29" s="131"/>
      <c r="F29" s="131"/>
      <c r="G29" s="40"/>
      <c r="H29" s="131"/>
      <c r="I29" s="131"/>
    </row>
    <row r="30" spans="1:9" ht="15.75" x14ac:dyDescent="0.25">
      <c r="D30" s="129" t="str">
        <f>Данные!C12</f>
        <v>Бухгалтер</v>
      </c>
      <c r="E30" s="129"/>
      <c r="F30" s="129"/>
      <c r="G30" s="88"/>
      <c r="H30" s="131" t="str">
        <f>Данные!B12</f>
        <v>Е.А. Крачко</v>
      </c>
      <c r="I30" s="131"/>
    </row>
    <row r="31" spans="1:9" ht="15.75" x14ac:dyDescent="0.25">
      <c r="D31" s="131"/>
      <c r="E31" s="131"/>
      <c r="F31" s="131"/>
      <c r="G31" s="40"/>
      <c r="H31" s="131"/>
      <c r="I31" s="131"/>
    </row>
    <row r="32" spans="1:9" ht="15.75" x14ac:dyDescent="0.25">
      <c r="D32" s="129" t="str">
        <f>Данные!C15</f>
        <v>инженер-электроник</v>
      </c>
      <c r="E32" s="129"/>
      <c r="F32" s="129"/>
      <c r="G32" s="88"/>
      <c r="H32" s="132" t="str">
        <f>Данные!B15</f>
        <v>Д.Е. Томашевский</v>
      </c>
      <c r="I32" s="132"/>
    </row>
    <row r="34" spans="4:9" x14ac:dyDescent="0.25">
      <c r="D34" s="130"/>
      <c r="E34" s="130"/>
      <c r="F34" s="130"/>
      <c r="H34" s="130"/>
      <c r="I34" s="130"/>
    </row>
  </sheetData>
  <mergeCells count="52">
    <mergeCell ref="A14:I14"/>
    <mergeCell ref="F1:I1"/>
    <mergeCell ref="F2:I2"/>
    <mergeCell ref="F3:I3"/>
    <mergeCell ref="F4:I4"/>
    <mergeCell ref="A7:I7"/>
    <mergeCell ref="A8:I8"/>
    <mergeCell ref="A9:I9"/>
    <mergeCell ref="A11:B11"/>
    <mergeCell ref="A12:B12"/>
    <mergeCell ref="A15:B15"/>
    <mergeCell ref="C15:D15"/>
    <mergeCell ref="E15:F15"/>
    <mergeCell ref="G15:H15"/>
    <mergeCell ref="A16:B16"/>
    <mergeCell ref="E16:F16"/>
    <mergeCell ref="A18:B18"/>
    <mergeCell ref="A19:B19"/>
    <mergeCell ref="C16:D16"/>
    <mergeCell ref="C17:D17"/>
    <mergeCell ref="C18:D18"/>
    <mergeCell ref="C19:D19"/>
    <mergeCell ref="A17:B17"/>
    <mergeCell ref="E18:F18"/>
    <mergeCell ref="E19:F19"/>
    <mergeCell ref="G16:H16"/>
    <mergeCell ref="G17:H17"/>
    <mergeCell ref="G18:H18"/>
    <mergeCell ref="G19:H19"/>
    <mergeCell ref="E17:F17"/>
    <mergeCell ref="B21:I21"/>
    <mergeCell ref="B22:I22"/>
    <mergeCell ref="A24:C24"/>
    <mergeCell ref="A26:C26"/>
    <mergeCell ref="D24:F24"/>
    <mergeCell ref="D26:F26"/>
    <mergeCell ref="D32:F32"/>
    <mergeCell ref="D34:F34"/>
    <mergeCell ref="H26:I26"/>
    <mergeCell ref="H24:I24"/>
    <mergeCell ref="H28:I28"/>
    <mergeCell ref="H30:I30"/>
    <mergeCell ref="H32:I32"/>
    <mergeCell ref="H34:I34"/>
    <mergeCell ref="D29:F29"/>
    <mergeCell ref="D31:F31"/>
    <mergeCell ref="H25:I25"/>
    <mergeCell ref="H27:I27"/>
    <mergeCell ref="H29:I29"/>
    <mergeCell ref="H31:I31"/>
    <mergeCell ref="D28:F28"/>
    <mergeCell ref="D30:F30"/>
  </mergeCells>
  <pageMargins left="0.78740157480314965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:E2"/>
    </sheetView>
  </sheetViews>
  <sheetFormatPr defaultRowHeight="15" x14ac:dyDescent="0.25"/>
  <cols>
    <col min="3" max="3" width="9.140625" customWidth="1"/>
  </cols>
  <sheetData>
    <row r="1" spans="1:5" x14ac:dyDescent="0.25">
      <c r="A1" s="83"/>
      <c r="B1" s="84" t="s">
        <v>88</v>
      </c>
      <c r="C1" s="85"/>
      <c r="D1" s="86" t="s">
        <v>89</v>
      </c>
      <c r="E1" s="87"/>
    </row>
    <row r="2" spans="1:5" ht="54" customHeight="1" x14ac:dyDescent="0.25">
      <c r="A2" s="143" t="str">
        <f>'АКТ разногласий'!A9:I9</f>
        <v xml:space="preserve">Блоки питания CoolerMaster 500W - 4 шт., Манипулятор типа мышь      - 7 шт. </v>
      </c>
      <c r="B2" s="144"/>
      <c r="C2" s="144"/>
      <c r="D2" s="144"/>
      <c r="E2" s="145"/>
    </row>
    <row r="3" spans="1:5" x14ac:dyDescent="0.25">
      <c r="A3" s="81"/>
      <c r="B3" s="73" t="s">
        <v>90</v>
      </c>
      <c r="C3" s="74">
        <f>Акт!L39</f>
        <v>0.6359999999999999</v>
      </c>
      <c r="D3" s="75" t="s">
        <v>21</v>
      </c>
      <c r="E3" s="79"/>
    </row>
    <row r="4" spans="1:5" ht="16.5" customHeight="1" x14ac:dyDescent="0.25">
      <c r="A4" s="139" t="str">
        <f>Данные!C10</f>
        <v>главный инженер</v>
      </c>
      <c r="B4" s="140"/>
      <c r="C4" s="72"/>
      <c r="D4" s="141" t="str">
        <f>Данные!B10</f>
        <v>А.А. Быков</v>
      </c>
      <c r="E4" s="142"/>
    </row>
    <row r="5" spans="1:5" x14ac:dyDescent="0.25">
      <c r="A5" s="139" t="str">
        <f>Данные!C11</f>
        <v>и.о. главного бухгалтера</v>
      </c>
      <c r="B5" s="140"/>
      <c r="C5" s="78"/>
      <c r="D5" s="141" t="str">
        <f>Данные!B11</f>
        <v>Т.Ф. Самаль</v>
      </c>
      <c r="E5" s="142"/>
    </row>
    <row r="6" spans="1:5" x14ac:dyDescent="0.25">
      <c r="A6" s="139" t="str">
        <f>Данные!C12</f>
        <v>Бухгалтер</v>
      </c>
      <c r="B6" s="140"/>
      <c r="C6" s="78"/>
      <c r="D6" s="141" t="str">
        <f>Данные!B12</f>
        <v>Е.А. Крачко</v>
      </c>
      <c r="E6" s="142"/>
    </row>
    <row r="7" spans="1:5" x14ac:dyDescent="0.25">
      <c r="A7" s="139" t="str">
        <f>Данные!C13</f>
        <v>инженер</v>
      </c>
      <c r="B7" s="140"/>
      <c r="C7" s="78"/>
      <c r="D7" s="141" t="str">
        <f>Данные!B13</f>
        <v>Г.Н. Зияддинова</v>
      </c>
      <c r="E7" s="142"/>
    </row>
    <row r="8" spans="1:5" x14ac:dyDescent="0.25">
      <c r="A8" s="139" t="str">
        <f>Данные!C15</f>
        <v>инженер-электроник</v>
      </c>
      <c r="B8" s="140"/>
      <c r="C8" s="78"/>
      <c r="D8" s="141" t="str">
        <f>Данные!B15</f>
        <v>Д.Е. Томашевский</v>
      </c>
      <c r="E8" s="142"/>
    </row>
    <row r="9" spans="1:5" x14ac:dyDescent="0.25">
      <c r="A9" s="139" t="str">
        <f>Данные!C14</f>
        <v>кладовщик</v>
      </c>
      <c r="B9" s="140"/>
      <c r="C9" s="78"/>
      <c r="D9" s="141" t="str">
        <f>Данные!B14</f>
        <v>Н.А. Мисевич</v>
      </c>
      <c r="E9" s="142"/>
    </row>
    <row r="10" spans="1:5" x14ac:dyDescent="0.25">
      <c r="A10" s="82"/>
      <c r="B10" s="76"/>
      <c r="C10" s="77"/>
      <c r="D10" s="77"/>
      <c r="E10" s="80"/>
    </row>
  </sheetData>
  <mergeCells count="13">
    <mergeCell ref="A2:E2"/>
    <mergeCell ref="A4:B4"/>
    <mergeCell ref="A5:B5"/>
    <mergeCell ref="A6:B6"/>
    <mergeCell ref="A7:B7"/>
    <mergeCell ref="A8:B8"/>
    <mergeCell ref="A9:B9"/>
    <mergeCell ref="D4:E4"/>
    <mergeCell ref="D5:E5"/>
    <mergeCell ref="D6:E6"/>
    <mergeCell ref="D7:E7"/>
    <mergeCell ref="D8:E8"/>
    <mergeCell ref="D9:E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Данные</vt:lpstr>
      <vt:lpstr>Акт</vt:lpstr>
      <vt:lpstr>АКТ разногласий</vt:lpstr>
      <vt:lpstr>Этикетка</vt:lpstr>
      <vt:lpstr>Акт!OLE_LINK10</vt:lpstr>
      <vt:lpstr>главный</vt:lpstr>
      <vt:lpstr>клад</vt:lpstr>
      <vt:lpstr>ком</vt:lpstr>
      <vt:lpstr>комиссия</vt:lpstr>
      <vt:lpstr>Начальник</vt:lpstr>
      <vt:lpstr>преседатель</vt:lpstr>
      <vt:lpstr>тип_объекта</vt:lpstr>
    </vt:vector>
  </TitlesOfParts>
  <Company>SHCH2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</dc:creator>
  <cp:lastModifiedBy>tomash</cp:lastModifiedBy>
  <cp:lastPrinted>2021-07-02T11:37:42Z</cp:lastPrinted>
  <dcterms:created xsi:type="dcterms:W3CDTF">2012-05-08T07:39:29Z</dcterms:created>
  <dcterms:modified xsi:type="dcterms:W3CDTF">2021-07-02T11:55:34Z</dcterms:modified>
</cp:coreProperties>
</file>