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filterPrivacy="1"/>
  <xr:revisionPtr revIDLastSave="0" documentId="13_ncr:1_{6D9E3C94-3D81-B344-8B84-BDED53720AAE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TRANSPORT" sheetId="45" r:id="rId1"/>
    <sheet name="TRANSPORT_AJT" sheetId="37" r:id="rId2"/>
    <sheet name="TRANSPORT_OLD" sheetId="44" r:id="rId3"/>
    <sheet name="Parc VP par PF" sheetId="43" r:id="rId4"/>
    <sheet name="immat. de VP par PF" sheetId="41" r:id="rId5"/>
    <sheet name="vente PF car labelling Ademe" sheetId="42" r:id="rId6"/>
    <sheet name="JRC_TrRoad_ene" sheetId="40" r:id="rId7"/>
    <sheet name="JRC_TrRoad_act" sheetId="39" r:id="rId8"/>
    <sheet name="ventes et prix VP" sheetId="33" r:id="rId9"/>
    <sheet name="coût entretien" sheetId="32" r:id="rId10"/>
    <sheet name="coût  batterie" sheetId="36" r:id="rId11"/>
    <sheet name="parc auto_thrreeMEV2" sheetId="34" r:id="rId12"/>
  </sheets>
  <externalReferences>
    <externalReference r:id="rId13"/>
  </externalReferences>
  <definedNames>
    <definedName name="df" localSheetId="0" hidden="1">#REF!</definedName>
    <definedName name="df" localSheetId="1" hidden="1">#REF!</definedName>
    <definedName name="df" localSheetId="2" hidden="1">#REF!</definedName>
    <definedName name="df" hidden="1">#REF!</definedName>
    <definedName name="_xlnm.Print_Titles" localSheetId="7">JRC_TrRoad_act!$1:$1</definedName>
    <definedName name="_xlnm.Print_Titles" localSheetId="6">JRC_TrRoad_ene!$1:$1</definedName>
    <definedName name="solver_eng" hidden="1">1</definedName>
    <definedName name="solver_lhs3" localSheetId="0" hidden="1">#REF!</definedName>
    <definedName name="solver_lhs3" localSheetId="1" hidden="1">#REF!</definedName>
    <definedName name="solver_lhs3" localSheetId="2" hidden="1">#REF!</definedName>
    <definedName name="solver_lhs3" hidden="1">#REF!</definedName>
    <definedName name="solver_lhs3_old" localSheetId="0" hidden="1">#REF!</definedName>
    <definedName name="solver_lhs3_old" localSheetId="1" hidden="1">#REF!</definedName>
    <definedName name="solver_lhs3_old" localSheetId="2" hidden="1">#REF!</definedName>
    <definedName name="solver_lhs3_old" hidden="1">#REF!</definedName>
    <definedName name="solver_lhs4" localSheetId="0" hidden="1">#REF!</definedName>
    <definedName name="solver_lhs4" localSheetId="1" hidden="1">#REF!</definedName>
    <definedName name="solver_lhs4" localSheetId="2" hidden="1">#REF!</definedName>
    <definedName name="solver_lhs4" hidden="1">#REF!</definedName>
    <definedName name="solver_lhs4_old" localSheetId="0" hidden="1">#REF!</definedName>
    <definedName name="solver_lhs4_old" localSheetId="1" hidden="1">#REF!</definedName>
    <definedName name="solver_lhs4_old" localSheetId="2" hidden="1">#REF!</definedName>
    <definedName name="solver_lhs4_old" hidden="1">#REF!</definedName>
    <definedName name="solver_lhs5" localSheetId="0" hidden="1">#REF!</definedName>
    <definedName name="solver_lhs5" localSheetId="1" hidden="1">#REF!</definedName>
    <definedName name="solver_lhs5" localSheetId="2" hidden="1">#REF!</definedName>
    <definedName name="solver_lhs5" hidden="1">#REF!</definedName>
    <definedName name="solver_lhs5_old" localSheetId="0" hidden="1">#REF!</definedName>
    <definedName name="solver_lhs5_old" localSheetId="1" hidden="1">#REF!</definedName>
    <definedName name="solver_lhs5_old" localSheetId="2" hidden="1">#REF!</definedName>
    <definedName name="solver_lhs5_old" hidden="1">#REF!</definedName>
    <definedName name="solver_lhs6" localSheetId="0" hidden="1">#REF!</definedName>
    <definedName name="solver_lhs6" localSheetId="1" hidden="1">#REF!</definedName>
    <definedName name="solver_lhs6" localSheetId="2" hidden="1">#REF!</definedName>
    <definedName name="solver_lhs6" hidden="1">#REF!</definedName>
    <definedName name="solver_lhs6_old" localSheetId="0" hidden="1">#REF!</definedName>
    <definedName name="solver_lhs6_old" localSheetId="1" hidden="1">#REF!</definedName>
    <definedName name="solver_lhs6_old" localSheetId="2" hidden="1">#REF!</definedName>
    <definedName name="solver_lhs6_old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0" hidden="1">#REF!</definedName>
    <definedName name="solver_rhs5" localSheetId="1" hidden="1">#REF!</definedName>
    <definedName name="solver_rhs5" localSheetId="2" hidden="1">#REF!</definedName>
    <definedName name="solver_rhs5" hidden="1">#REF!</definedName>
    <definedName name="solver_rhs5_old" localSheetId="0" hidden="1">#REF!</definedName>
    <definedName name="solver_rhs5_old" localSheetId="1" hidden="1">#REF!</definedName>
    <definedName name="solver_rhs5_old" localSheetId="2" hidden="1">#REF!</definedName>
    <definedName name="solver_rhs5_old" hidden="1">#REF!</definedName>
    <definedName name="solver_rhs6" localSheetId="0" hidden="1">#REF!</definedName>
    <definedName name="solver_rhs6" localSheetId="1" hidden="1">#REF!</definedName>
    <definedName name="solver_rhs6" localSheetId="2" hidden="1">#REF!</definedName>
    <definedName name="solver_rhs6" hidden="1">#REF!</definedName>
    <definedName name="solver_rhs6_old" localSheetId="0" hidden="1">#REF!</definedName>
    <definedName name="solver_rhs6_old" localSheetId="1" hidden="1">#REF!</definedName>
    <definedName name="solver_rhs6_old" localSheetId="2" hidden="1">#REF!</definedName>
    <definedName name="solver_rhs6_old" hidden="1">#REF!</definedName>
    <definedName name="Solver_rhs9" localSheetId="0" hidden="1">#REF!</definedName>
    <definedName name="Solver_rhs9" localSheetId="1" hidden="1">#REF!</definedName>
    <definedName name="Solver_rhs9" localSheetId="2" hidden="1">#REF!</definedName>
    <definedName name="Solver_rhs9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45" l="1"/>
  <c r="H28" i="45"/>
  <c r="G28" i="45"/>
  <c r="F28" i="45"/>
  <c r="E28" i="45"/>
  <c r="D28" i="45"/>
  <c r="C28" i="45"/>
  <c r="I27" i="45"/>
  <c r="H27" i="45"/>
  <c r="G27" i="45"/>
  <c r="F27" i="45"/>
  <c r="E27" i="45"/>
  <c r="D27" i="45"/>
  <c r="C27" i="45"/>
  <c r="J27" i="45" s="1"/>
  <c r="C44" i="45"/>
  <c r="C47" i="45" s="1"/>
  <c r="J26" i="45"/>
  <c r="J25" i="45"/>
  <c r="J24" i="45"/>
  <c r="I23" i="45"/>
  <c r="H23" i="45"/>
  <c r="G23" i="45"/>
  <c r="F23" i="45"/>
  <c r="E23" i="45"/>
  <c r="D23" i="45"/>
  <c r="C23" i="45"/>
  <c r="I22" i="45"/>
  <c r="H22" i="45"/>
  <c r="G22" i="45"/>
  <c r="F22" i="45"/>
  <c r="E22" i="45"/>
  <c r="D22" i="45"/>
  <c r="C22" i="45"/>
  <c r="I21" i="45"/>
  <c r="H21" i="45"/>
  <c r="G21" i="45"/>
  <c r="F21" i="45"/>
  <c r="E21" i="45"/>
  <c r="D21" i="45"/>
  <c r="C21" i="45"/>
  <c r="J19" i="45"/>
  <c r="J18" i="45"/>
  <c r="H18" i="45" s="1"/>
  <c r="J16" i="45"/>
  <c r="J14" i="45"/>
  <c r="J13" i="45"/>
  <c r="J6" i="45"/>
  <c r="L5" i="45"/>
  <c r="L4" i="45"/>
  <c r="L3" i="45"/>
  <c r="E76" i="44"/>
  <c r="I73" i="44"/>
  <c r="I74" i="44" s="1"/>
  <c r="H73" i="44"/>
  <c r="E73" i="44"/>
  <c r="E74" i="44" s="1"/>
  <c r="D73" i="44"/>
  <c r="G73" i="44" s="1"/>
  <c r="D76" i="44"/>
  <c r="L54" i="44"/>
  <c r="L53" i="44"/>
  <c r="L52" i="44"/>
  <c r="L55" i="44"/>
  <c r="J50" i="44"/>
  <c r="I50" i="44"/>
  <c r="H50" i="44"/>
  <c r="G50" i="44"/>
  <c r="F50" i="44"/>
  <c r="E50" i="44"/>
  <c r="D50" i="44"/>
  <c r="J49" i="44"/>
  <c r="I49" i="44"/>
  <c r="H49" i="44"/>
  <c r="G49" i="44"/>
  <c r="F49" i="44"/>
  <c r="E49" i="44"/>
  <c r="D49" i="44"/>
  <c r="J48" i="44"/>
  <c r="I48" i="44"/>
  <c r="H48" i="44"/>
  <c r="G48" i="44"/>
  <c r="F48" i="44"/>
  <c r="E48" i="44"/>
  <c r="D48" i="44"/>
  <c r="L42" i="44"/>
  <c r="E42" i="44"/>
  <c r="L40" i="44"/>
  <c r="L32" i="44"/>
  <c r="L29" i="44"/>
  <c r="L28" i="44"/>
  <c r="L20" i="44"/>
  <c r="E24" i="44" s="1"/>
  <c r="M16" i="44"/>
  <c r="M15" i="44"/>
  <c r="J15" i="44" s="1"/>
  <c r="J25" i="44" s="1"/>
  <c r="M14" i="44"/>
  <c r="E14" i="44" s="1"/>
  <c r="C6" i="44"/>
  <c r="C7" i="44" s="1"/>
  <c r="C8" i="44" s="1"/>
  <c r="C9" i="44" s="1"/>
  <c r="C10" i="44" s="1"/>
  <c r="C11" i="44" s="1"/>
  <c r="C12" i="44" s="1"/>
  <c r="C13" i="44" s="1"/>
  <c r="C14" i="44" s="1"/>
  <c r="C15" i="44" s="1"/>
  <c r="C16" i="44" s="1"/>
  <c r="C17" i="44" s="1"/>
  <c r="C18" i="44" s="1"/>
  <c r="C19" i="44" s="1"/>
  <c r="C20" i="44" s="1"/>
  <c r="C21" i="44" s="1"/>
  <c r="C22" i="44" s="1"/>
  <c r="C23" i="44" s="1"/>
  <c r="C24" i="44" s="1"/>
  <c r="C25" i="44" s="1"/>
  <c r="C26" i="44" s="1"/>
  <c r="C27" i="44" s="1"/>
  <c r="C28" i="44" s="1"/>
  <c r="C29" i="44" s="1"/>
  <c r="C30" i="44" s="1"/>
  <c r="C31" i="44" s="1"/>
  <c r="C32" i="44" s="1"/>
  <c r="C33" i="44" s="1"/>
  <c r="C34" i="44" s="1"/>
  <c r="C35" i="44" s="1"/>
  <c r="C36" i="44" s="1"/>
  <c r="C37" i="44" s="1"/>
  <c r="C38" i="44" s="1"/>
  <c r="C39" i="44" s="1"/>
  <c r="C40" i="44" s="1"/>
  <c r="C41" i="44" s="1"/>
  <c r="C42" i="44" s="1"/>
  <c r="C43" i="44" s="1"/>
  <c r="C44" i="44" s="1"/>
  <c r="C45" i="44" s="1"/>
  <c r="C46" i="44" s="1"/>
  <c r="C47" i="44" s="1"/>
  <c r="C48" i="44" s="1"/>
  <c r="C49" i="44" s="1"/>
  <c r="C50" i="44" s="1"/>
  <c r="C51" i="44" s="1"/>
  <c r="C52" i="44" s="1"/>
  <c r="C53" i="44" s="1"/>
  <c r="C54" i="44" s="1"/>
  <c r="C55" i="44" s="1"/>
  <c r="C56" i="44" s="1"/>
  <c r="C57" i="44" s="1"/>
  <c r="C58" i="44" s="1"/>
  <c r="C59" i="44" s="1"/>
  <c r="C60" i="44" s="1"/>
  <c r="C61" i="44" s="1"/>
  <c r="C62" i="44" s="1"/>
  <c r="C63" i="44" s="1"/>
  <c r="C64" i="44" s="1"/>
  <c r="C65" i="44" s="1"/>
  <c r="C66" i="44" s="1"/>
  <c r="C67" i="44" s="1"/>
  <c r="C68" i="44" s="1"/>
  <c r="C69" i="44" s="1"/>
  <c r="C70" i="44" s="1"/>
  <c r="C71" i="44" s="1"/>
  <c r="C72" i="44" s="1"/>
  <c r="C73" i="44" s="1"/>
  <c r="C74" i="44" s="1"/>
  <c r="C75" i="44" s="1"/>
  <c r="C76" i="44" s="1"/>
  <c r="C77" i="44" s="1"/>
  <c r="C78" i="44" s="1"/>
  <c r="C79" i="44" s="1"/>
  <c r="C80" i="44" s="1"/>
  <c r="C81" i="44" s="1"/>
  <c r="C82" i="44" s="1"/>
  <c r="C83" i="44" s="1"/>
  <c r="C84" i="44" s="1"/>
  <c r="C85" i="44" s="1"/>
  <c r="C86" i="44" s="1"/>
  <c r="C87" i="44" s="1"/>
  <c r="C88" i="44" s="1"/>
  <c r="C89" i="44" s="1"/>
  <c r="C90" i="44" s="1"/>
  <c r="C91" i="44" s="1"/>
  <c r="C92" i="44" s="1"/>
  <c r="C93" i="44" s="1"/>
  <c r="C94" i="44" s="1"/>
  <c r="C95" i="44" s="1"/>
  <c r="C96" i="44" s="1"/>
  <c r="C97" i="44" s="1"/>
  <c r="C98" i="44" s="1"/>
  <c r="C99" i="44" s="1"/>
  <c r="C100" i="44" s="1"/>
  <c r="C101" i="44" s="1"/>
  <c r="C102" i="44" s="1"/>
  <c r="C103" i="44" s="1"/>
  <c r="C104" i="44" s="1"/>
  <c r="C105" i="44" s="1"/>
  <c r="C106" i="44" s="1"/>
  <c r="C107" i="44" s="1"/>
  <c r="C108" i="44" s="1"/>
  <c r="C109" i="44" s="1"/>
  <c r="C110" i="44" s="1"/>
  <c r="C111" i="44" s="1"/>
  <c r="C112" i="44" s="1"/>
  <c r="C113" i="44" s="1"/>
  <c r="C114" i="44" s="1"/>
  <c r="C115" i="44" s="1"/>
  <c r="C116" i="44" s="1"/>
  <c r="C117" i="44" s="1"/>
  <c r="C118" i="44" s="1"/>
  <c r="E3" i="44"/>
  <c r="F3" i="44" s="1"/>
  <c r="G3" i="44" s="1"/>
  <c r="H3" i="44" s="1"/>
  <c r="I3" i="44" s="1"/>
  <c r="J3" i="44" s="1"/>
  <c r="K3" i="44" s="1"/>
  <c r="L3" i="44" s="1"/>
  <c r="J35" i="33"/>
  <c r="J12" i="37"/>
  <c r="Q30" i="41"/>
  <c r="Q31" i="41"/>
  <c r="J20" i="45" s="1"/>
  <c r="J13" i="37"/>
  <c r="J11" i="37"/>
  <c r="U69" i="40"/>
  <c r="U74" i="40" s="1"/>
  <c r="V74" i="40" s="1"/>
  <c r="U68" i="40"/>
  <c r="U67" i="40"/>
  <c r="U66" i="40"/>
  <c r="U72" i="40" s="1"/>
  <c r="V72" i="40" s="1"/>
  <c r="U65" i="40"/>
  <c r="U64" i="40"/>
  <c r="T65" i="40"/>
  <c r="T66" i="40"/>
  <c r="T72" i="40"/>
  <c r="T67" i="40"/>
  <c r="T73" i="40" s="1"/>
  <c r="T68" i="40"/>
  <c r="T69" i="40"/>
  <c r="T74" i="40" s="1"/>
  <c r="T64" i="40"/>
  <c r="E23" i="33"/>
  <c r="H25" i="33"/>
  <c r="R30" i="41"/>
  <c r="S30" i="41"/>
  <c r="T30" i="41"/>
  <c r="U30" i="41"/>
  <c r="AE11" i="41"/>
  <c r="AE13" i="41"/>
  <c r="AE14" i="41"/>
  <c r="AB8" i="41"/>
  <c r="AC8" i="41"/>
  <c r="AD8" i="41"/>
  <c r="AD9" i="41" s="1"/>
  <c r="I16" i="42" s="1"/>
  <c r="AA8" i="41"/>
  <c r="Z8" i="41"/>
  <c r="AE8" i="41" s="1"/>
  <c r="Y8" i="41"/>
  <c r="X8" i="41"/>
  <c r="H15" i="42"/>
  <c r="I42" i="44" s="1"/>
  <c r="G15" i="42"/>
  <c r="H42" i="44" s="1"/>
  <c r="F15" i="42"/>
  <c r="G42" i="44" s="1"/>
  <c r="E15" i="42"/>
  <c r="D15" i="42"/>
  <c r="C15" i="42"/>
  <c r="D42" i="44" s="1"/>
  <c r="AB4" i="43"/>
  <c r="AA4" i="43"/>
  <c r="Z4" i="43"/>
  <c r="Y4" i="43"/>
  <c r="X4" i="43"/>
  <c r="W4" i="43"/>
  <c r="V4" i="43"/>
  <c r="J66" i="43"/>
  <c r="I66" i="43"/>
  <c r="H66" i="43"/>
  <c r="G66" i="43"/>
  <c r="F66" i="43"/>
  <c r="E66" i="43"/>
  <c r="D66" i="43"/>
  <c r="C66" i="43"/>
  <c r="B66" i="43"/>
  <c r="J59" i="43"/>
  <c r="I59" i="43"/>
  <c r="H59" i="43"/>
  <c r="G59" i="43"/>
  <c r="F59" i="43"/>
  <c r="E59" i="43"/>
  <c r="D59" i="43"/>
  <c r="C59" i="43"/>
  <c r="B59" i="43"/>
  <c r="J52" i="43"/>
  <c r="I52" i="43"/>
  <c r="H52" i="43"/>
  <c r="G52" i="43"/>
  <c r="F52" i="43"/>
  <c r="E52" i="43"/>
  <c r="D52" i="43"/>
  <c r="C52" i="43"/>
  <c r="B52" i="43"/>
  <c r="J45" i="43"/>
  <c r="I45" i="43"/>
  <c r="H45" i="43"/>
  <c r="G45" i="43"/>
  <c r="F45" i="43"/>
  <c r="E45" i="43"/>
  <c r="D45" i="43"/>
  <c r="C45" i="43"/>
  <c r="B45" i="43"/>
  <c r="J38" i="43"/>
  <c r="I38" i="43"/>
  <c r="H38" i="43"/>
  <c r="G38" i="43"/>
  <c r="F38" i="43"/>
  <c r="E38" i="43"/>
  <c r="D38" i="43"/>
  <c r="C38" i="43"/>
  <c r="B38" i="43"/>
  <c r="J31" i="43"/>
  <c r="I31" i="43"/>
  <c r="H31" i="43"/>
  <c r="G31" i="43"/>
  <c r="F31" i="43"/>
  <c r="E31" i="43"/>
  <c r="D31" i="43"/>
  <c r="C31" i="43"/>
  <c r="B31" i="43"/>
  <c r="J24" i="43"/>
  <c r="I24" i="43"/>
  <c r="H24" i="43"/>
  <c r="G24" i="43"/>
  <c r="F24" i="43"/>
  <c r="E24" i="43"/>
  <c r="D24" i="43"/>
  <c r="C24" i="43"/>
  <c r="B24" i="43"/>
  <c r="J17" i="43"/>
  <c r="I17" i="43"/>
  <c r="H17" i="43"/>
  <c r="G17" i="43"/>
  <c r="F17" i="43"/>
  <c r="E17" i="43"/>
  <c r="D17" i="43"/>
  <c r="C17" i="43"/>
  <c r="B17" i="43"/>
  <c r="J10" i="43"/>
  <c r="I10" i="43"/>
  <c r="H10" i="43"/>
  <c r="G10" i="43"/>
  <c r="F10" i="43"/>
  <c r="E10" i="43"/>
  <c r="D10" i="43"/>
  <c r="C10" i="43"/>
  <c r="B10" i="43"/>
  <c r="H10" i="42"/>
  <c r="H11" i="42" s="1"/>
  <c r="I15" i="42" s="1"/>
  <c r="D10" i="42"/>
  <c r="E10" i="42"/>
  <c r="F10" i="42"/>
  <c r="G10" i="42"/>
  <c r="I10" i="42"/>
  <c r="J10" i="42"/>
  <c r="K10" i="42"/>
  <c r="L10" i="42"/>
  <c r="C10" i="42"/>
  <c r="V68" i="40"/>
  <c r="V65" i="40"/>
  <c r="T70" i="40"/>
  <c r="V64" i="40"/>
  <c r="J18" i="37"/>
  <c r="J17" i="37"/>
  <c r="R65" i="39"/>
  <c r="J19" i="37"/>
  <c r="H6" i="34"/>
  <c r="H5" i="34" a="1"/>
  <c r="H5" i="34" s="1"/>
  <c r="H4" i="34" a="1"/>
  <c r="L4" i="34" s="1"/>
  <c r="N13" i="34"/>
  <c r="M13" i="34"/>
  <c r="L13" i="34"/>
  <c r="K13" i="34"/>
  <c r="J13" i="34"/>
  <c r="I13" i="34"/>
  <c r="O13" i="34" s="1"/>
  <c r="R170" i="39"/>
  <c r="D5" i="34"/>
  <c r="E8" i="34"/>
  <c r="E14" i="34"/>
  <c r="D13" i="34"/>
  <c r="E15" i="34"/>
  <c r="E16" i="34"/>
  <c r="E7" i="34"/>
  <c r="H11" i="34" s="1" a="1"/>
  <c r="M11" i="34" s="1"/>
  <c r="E9" i="34"/>
  <c r="E10" i="34"/>
  <c r="E11" i="34"/>
  <c r="E12" i="34"/>
  <c r="E6" i="34"/>
  <c r="E18" i="34"/>
  <c r="E27" i="36"/>
  <c r="E28" i="36"/>
  <c r="E29" i="36"/>
  <c r="E26" i="36"/>
  <c r="F26" i="36"/>
  <c r="E20" i="36"/>
  <c r="E21" i="36"/>
  <c r="F19" i="36"/>
  <c r="E22" i="36"/>
  <c r="E19" i="36"/>
  <c r="E13" i="36"/>
  <c r="E14" i="36"/>
  <c r="E15" i="36"/>
  <c r="E12" i="36"/>
  <c r="F12" i="36" s="1"/>
  <c r="E6" i="36"/>
  <c r="E7" i="36"/>
  <c r="E8" i="36"/>
  <c r="E5" i="36"/>
  <c r="D57" i="44" s="1"/>
  <c r="J6" i="34"/>
  <c r="K6" i="34"/>
  <c r="L6" i="34"/>
  <c r="M6" i="34"/>
  <c r="O6" i="34" s="1"/>
  <c r="N6" i="34"/>
  <c r="I6" i="34"/>
  <c r="D39" i="33"/>
  <c r="N34" i="33" s="1"/>
  <c r="D38" i="33"/>
  <c r="M34" i="33"/>
  <c r="I59" i="44" s="1"/>
  <c r="D37" i="33"/>
  <c r="L34" i="33"/>
  <c r="H59" i="44" s="1"/>
  <c r="E36" i="33"/>
  <c r="K35" i="33" s="1"/>
  <c r="D36" i="33"/>
  <c r="K34" i="33" s="1"/>
  <c r="G59" i="44" s="1"/>
  <c r="N35" i="33"/>
  <c r="M35" i="33"/>
  <c r="L35" i="33"/>
  <c r="D35" i="33"/>
  <c r="J34" i="33" s="1"/>
  <c r="E34" i="33"/>
  <c r="I35" i="33"/>
  <c r="D34" i="33"/>
  <c r="I34" i="33"/>
  <c r="E33" i="33"/>
  <c r="H35" i="33" s="1"/>
  <c r="D33" i="33"/>
  <c r="H34" i="33" s="1"/>
  <c r="D59" i="44" s="1"/>
  <c r="C33" i="33"/>
  <c r="H33" i="33"/>
  <c r="H36" i="33" s="1"/>
  <c r="E56" i="44" s="1"/>
  <c r="E29" i="33"/>
  <c r="N25" i="33" s="1"/>
  <c r="D29" i="33"/>
  <c r="N24" i="33" s="1"/>
  <c r="E28" i="33"/>
  <c r="M25" i="33" s="1"/>
  <c r="D28" i="33"/>
  <c r="M24" i="33"/>
  <c r="E27" i="33"/>
  <c r="L25" i="33"/>
  <c r="D27" i="33"/>
  <c r="L24" i="33" s="1"/>
  <c r="E26" i="33"/>
  <c r="K25" i="33" s="1"/>
  <c r="D26" i="33"/>
  <c r="K24" i="33"/>
  <c r="E25" i="33"/>
  <c r="J25" i="33"/>
  <c r="D25" i="33"/>
  <c r="J24" i="33"/>
  <c r="E24" i="33"/>
  <c r="I25" i="33" s="1"/>
  <c r="D24" i="33"/>
  <c r="I24" i="33" s="1"/>
  <c r="D23" i="33"/>
  <c r="H24" i="33"/>
  <c r="H29" i="33" s="1"/>
  <c r="H30" i="33" s="1"/>
  <c r="C23" i="33"/>
  <c r="H23" i="33" s="1"/>
  <c r="C4" i="32"/>
  <c r="B5" i="32"/>
  <c r="M17" i="44"/>
  <c r="E60" i="44"/>
  <c r="F60" i="44"/>
  <c r="E59" i="44"/>
  <c r="E75" i="44"/>
  <c r="I40" i="44"/>
  <c r="H40" i="44"/>
  <c r="F40" i="44"/>
  <c r="E40" i="44"/>
  <c r="D40" i="44"/>
  <c r="E15" i="44"/>
  <c r="E25" i="44" s="1"/>
  <c r="H74" i="44"/>
  <c r="H75" i="44"/>
  <c r="H76" i="44"/>
  <c r="I75" i="44"/>
  <c r="I76" i="44"/>
  <c r="I57" i="44" s="1"/>
  <c r="F42" i="44"/>
  <c r="D74" i="44"/>
  <c r="D62" i="44" s="1"/>
  <c r="D75" i="44"/>
  <c r="E13" i="34"/>
  <c r="M4" i="34"/>
  <c r="AC4" i="43"/>
  <c r="AB5" i="43" s="1"/>
  <c r="J15" i="42"/>
  <c r="U73" i="40"/>
  <c r="V73" i="40"/>
  <c r="E20" i="34"/>
  <c r="E19" i="34"/>
  <c r="K4" i="34"/>
  <c r="E17" i="34"/>
  <c r="H12" i="34" a="1"/>
  <c r="H63" i="44"/>
  <c r="H64" i="44"/>
  <c r="H62" i="44"/>
  <c r="U75" i="40"/>
  <c r="AA9" i="41"/>
  <c r="F16" i="42" s="1"/>
  <c r="Z9" i="41"/>
  <c r="E16" i="42" s="1"/>
  <c r="W5" i="43"/>
  <c r="E16" i="44" s="1"/>
  <c r="E26" i="44" s="1"/>
  <c r="AC5" i="43"/>
  <c r="Z5" i="43"/>
  <c r="J3" i="37"/>
  <c r="J5" i="37"/>
  <c r="J4" i="37"/>
  <c r="J9" i="37"/>
  <c r="J8" i="37"/>
  <c r="J10" i="37"/>
  <c r="G18" i="45"/>
  <c r="E18" i="45"/>
  <c r="F18" i="45"/>
  <c r="I18" i="45"/>
  <c r="D44" i="45"/>
  <c r="E44" i="45"/>
  <c r="E46" i="45" s="1"/>
  <c r="C18" i="45"/>
  <c r="C31" i="45"/>
  <c r="F44" i="45"/>
  <c r="F45" i="45" s="1"/>
  <c r="D18" i="45"/>
  <c r="G44" i="45"/>
  <c r="G45" i="45" s="1"/>
  <c r="H44" i="45"/>
  <c r="H45" i="45" s="1"/>
  <c r="I44" i="45"/>
  <c r="I45" i="45" s="1"/>
  <c r="C45" i="45"/>
  <c r="C33" i="45" s="1"/>
  <c r="C46" i="45"/>
  <c r="E47" i="45"/>
  <c r="E30" i="45" s="1"/>
  <c r="E45" i="45"/>
  <c r="E33" i="45" s="1"/>
  <c r="G31" i="45"/>
  <c r="D32" i="45"/>
  <c r="E32" i="45" s="1"/>
  <c r="D31" i="45"/>
  <c r="D47" i="45"/>
  <c r="D30" i="45" s="1"/>
  <c r="D46" i="45"/>
  <c r="D45" i="45"/>
  <c r="D34" i="45" s="1"/>
  <c r="D35" i="45" s="1"/>
  <c r="J28" i="45" l="1"/>
  <c r="J12" i="34"/>
  <c r="L12" i="34"/>
  <c r="H12" i="34"/>
  <c r="K12" i="34"/>
  <c r="M12" i="34"/>
  <c r="D20" i="45"/>
  <c r="H20" i="45"/>
  <c r="G20" i="45"/>
  <c r="E21" i="44"/>
  <c r="J16" i="44"/>
  <c r="J26" i="44" s="1"/>
  <c r="J14" i="44"/>
  <c r="J24" i="44" s="1"/>
  <c r="I34" i="45"/>
  <c r="I35" i="45" s="1"/>
  <c r="I33" i="45"/>
  <c r="I12" i="34"/>
  <c r="C32" i="45"/>
  <c r="D60" i="44"/>
  <c r="J40" i="44"/>
  <c r="J42" i="44"/>
  <c r="I20" i="45"/>
  <c r="L40" i="45"/>
  <c r="M69" i="44"/>
  <c r="G76" i="44"/>
  <c r="G57" i="44" s="1"/>
  <c r="G74" i="44"/>
  <c r="G75" i="44"/>
  <c r="K11" i="34"/>
  <c r="J11" i="34"/>
  <c r="I11" i="34"/>
  <c r="H11" i="34"/>
  <c r="L11" i="34"/>
  <c r="N11" i="34"/>
  <c r="C20" i="45"/>
  <c r="H16" i="44"/>
  <c r="H14" i="44"/>
  <c r="H24" i="44" s="1"/>
  <c r="H15" i="44"/>
  <c r="H25" i="44" s="1"/>
  <c r="H69" i="44" s="1"/>
  <c r="N12" i="34"/>
  <c r="F5" i="36"/>
  <c r="H57" i="44"/>
  <c r="AB9" i="41"/>
  <c r="G16" i="42" s="1"/>
  <c r="X9" i="41"/>
  <c r="C16" i="42" s="1"/>
  <c r="AC9" i="41"/>
  <c r="H16" i="42" s="1"/>
  <c r="AE9" i="41"/>
  <c r="Y9" i="41"/>
  <c r="D16" i="42" s="1"/>
  <c r="E62" i="44"/>
  <c r="E63" i="44"/>
  <c r="E64" i="44" s="1"/>
  <c r="E69" i="44"/>
  <c r="G56" i="44"/>
  <c r="I56" i="44"/>
  <c r="D56" i="44"/>
  <c r="H56" i="44"/>
  <c r="J69" i="44"/>
  <c r="F32" i="45"/>
  <c r="G32" i="45" s="1"/>
  <c r="H32" i="45" s="1"/>
  <c r="I32" i="45" s="1"/>
  <c r="G60" i="44"/>
  <c r="H60" i="44" s="1"/>
  <c r="I60" i="44" s="1"/>
  <c r="J60" i="44" s="1"/>
  <c r="T75" i="40"/>
  <c r="V75" i="40" s="1"/>
  <c r="G34" i="45"/>
  <c r="G35" i="45" s="1"/>
  <c r="G33" i="45"/>
  <c r="I63" i="44"/>
  <c r="I64" i="44" s="1"/>
  <c r="I62" i="44"/>
  <c r="L41" i="45"/>
  <c r="M70" i="44"/>
  <c r="E70" i="44" s="1"/>
  <c r="F43" i="44"/>
  <c r="L39" i="45"/>
  <c r="M68" i="44"/>
  <c r="E68" i="44" s="1"/>
  <c r="E29" i="45"/>
  <c r="X5" i="43"/>
  <c r="H4" i="34"/>
  <c r="K5" i="34"/>
  <c r="G46" i="45"/>
  <c r="G29" i="45" s="1"/>
  <c r="H31" i="45"/>
  <c r="V5" i="43"/>
  <c r="C3" i="45" s="1"/>
  <c r="C10" i="45" s="1"/>
  <c r="C39" i="45" s="1"/>
  <c r="N5" i="34"/>
  <c r="G40" i="44"/>
  <c r="V69" i="40"/>
  <c r="G43" i="44"/>
  <c r="F73" i="44"/>
  <c r="F59" i="44" s="1"/>
  <c r="E57" i="44"/>
  <c r="G47" i="45"/>
  <c r="G30" i="45" s="1"/>
  <c r="C29" i="45"/>
  <c r="Y5" i="43"/>
  <c r="D63" i="44"/>
  <c r="D64" i="44" s="1"/>
  <c r="M5" i="34"/>
  <c r="L5" i="34"/>
  <c r="J4" i="34"/>
  <c r="I4" i="34"/>
  <c r="V67" i="40"/>
  <c r="I19" i="45"/>
  <c r="N4" i="34"/>
  <c r="D29" i="45"/>
  <c r="I31" i="45"/>
  <c r="AA5" i="43"/>
  <c r="J5" i="34"/>
  <c r="V66" i="40"/>
  <c r="L43" i="44"/>
  <c r="G4" i="45"/>
  <c r="G11" i="45" s="1"/>
  <c r="G40" i="45" s="1"/>
  <c r="F25" i="44"/>
  <c r="F69" i="44" s="1"/>
  <c r="J73" i="44"/>
  <c r="F5" i="45"/>
  <c r="F12" i="45" s="1"/>
  <c r="F41" i="45" s="1"/>
  <c r="I5" i="34"/>
  <c r="O5" i="34" s="1"/>
  <c r="E5" i="34"/>
  <c r="F15" i="44"/>
  <c r="U70" i="40"/>
  <c r="V70" i="40" s="1"/>
  <c r="H26" i="44"/>
  <c r="H70" i="44" s="1"/>
  <c r="I46" i="45"/>
  <c r="I29" i="45" s="1"/>
  <c r="C30" i="45"/>
  <c r="E34" i="45"/>
  <c r="E35" i="45" s="1"/>
  <c r="I47" i="45"/>
  <c r="I30" i="45" s="1"/>
  <c r="H46" i="45"/>
  <c r="H29" i="45" s="1"/>
  <c r="H34" i="45"/>
  <c r="H35" i="45" s="1"/>
  <c r="H33" i="45"/>
  <c r="G19" i="45"/>
  <c r="C34" i="45"/>
  <c r="C35" i="45" s="1"/>
  <c r="E31" i="45"/>
  <c r="H47" i="45"/>
  <c r="H30" i="45" s="1"/>
  <c r="G3" i="45"/>
  <c r="G10" i="45" s="1"/>
  <c r="I3" i="45"/>
  <c r="I10" i="45" s="1"/>
  <c r="F3" i="45"/>
  <c r="F10" i="45" s="1"/>
  <c r="F39" i="45" s="1"/>
  <c r="D3" i="45"/>
  <c r="D10" i="45" s="1"/>
  <c r="D33" i="45"/>
  <c r="F33" i="45"/>
  <c r="F34" i="45"/>
  <c r="F35" i="45" s="1"/>
  <c r="C19" i="45"/>
  <c r="F46" i="45"/>
  <c r="F29" i="45" s="1"/>
  <c r="D5" i="45"/>
  <c r="D12" i="45" s="1"/>
  <c r="D41" i="45" s="1"/>
  <c r="G5" i="45"/>
  <c r="G12" i="45" s="1"/>
  <c r="G41" i="45" s="1"/>
  <c r="E20" i="45"/>
  <c r="E4" i="45"/>
  <c r="E11" i="45" s="1"/>
  <c r="E40" i="45" s="1"/>
  <c r="I4" i="45"/>
  <c r="I11" i="45" s="1"/>
  <c r="I40" i="45" s="1"/>
  <c r="H19" i="45"/>
  <c r="F47" i="45"/>
  <c r="F30" i="45" s="1"/>
  <c r="E5" i="45"/>
  <c r="E12" i="45" s="1"/>
  <c r="E41" i="45" s="1"/>
  <c r="F31" i="45"/>
  <c r="F4" i="45"/>
  <c r="F11" i="45" s="1"/>
  <c r="F40" i="45" s="1"/>
  <c r="D4" i="45"/>
  <c r="D11" i="45" s="1"/>
  <c r="D40" i="45" s="1"/>
  <c r="E19" i="45"/>
  <c r="F19" i="45"/>
  <c r="F20" i="45"/>
  <c r="I5" i="45"/>
  <c r="I12" i="45" s="1"/>
  <c r="I41" i="45" s="1"/>
  <c r="D19" i="45"/>
  <c r="I14" i="44" l="1"/>
  <c r="I24" i="44" s="1"/>
  <c r="I16" i="44"/>
  <c r="I26" i="44" s="1"/>
  <c r="I70" i="44" s="1"/>
  <c r="I15" i="44"/>
  <c r="I25" i="44" s="1"/>
  <c r="I69" i="44" s="1"/>
  <c r="J76" i="44"/>
  <c r="J57" i="44" s="1"/>
  <c r="J75" i="44"/>
  <c r="J56" i="44" s="1"/>
  <c r="J74" i="44"/>
  <c r="J70" i="44"/>
  <c r="H3" i="45"/>
  <c r="H10" i="45" s="1"/>
  <c r="H39" i="45" s="1"/>
  <c r="H68" i="44"/>
  <c r="H21" i="44"/>
  <c r="F75" i="44"/>
  <c r="F56" i="44" s="1"/>
  <c r="F76" i="44"/>
  <c r="F57" i="44" s="1"/>
  <c r="F74" i="44"/>
  <c r="J16" i="42"/>
  <c r="D43" i="44"/>
  <c r="H43" i="44"/>
  <c r="E43" i="44"/>
  <c r="L44" i="44"/>
  <c r="J43" i="44"/>
  <c r="I43" i="44"/>
  <c r="G16" i="44"/>
  <c r="G26" i="44" s="1"/>
  <c r="G70" i="44" s="1"/>
  <c r="G15" i="44"/>
  <c r="G25" i="44" s="1"/>
  <c r="G69" i="44" s="1"/>
  <c r="G14" i="44"/>
  <c r="G24" i="44" s="1"/>
  <c r="O4" i="34"/>
  <c r="G62" i="44"/>
  <c r="G63" i="44"/>
  <c r="G64" i="44" s="1"/>
  <c r="J21" i="44"/>
  <c r="J68" i="44"/>
  <c r="C4" i="45"/>
  <c r="C11" i="45" s="1"/>
  <c r="H5" i="45"/>
  <c r="H12" i="45" s="1"/>
  <c r="H41" i="45" s="1"/>
  <c r="E3" i="45"/>
  <c r="E10" i="45" s="1"/>
  <c r="E39" i="45" s="1"/>
  <c r="J39" i="45" s="1"/>
  <c r="C24" i="45" s="1"/>
  <c r="F16" i="44"/>
  <c r="F26" i="44" s="1"/>
  <c r="F70" i="44" s="1"/>
  <c r="F14" i="44"/>
  <c r="F24" i="44" s="1"/>
  <c r="O12" i="34"/>
  <c r="D16" i="44"/>
  <c r="D15" i="44"/>
  <c r="D14" i="44"/>
  <c r="C5" i="45"/>
  <c r="C12" i="45" s="1"/>
  <c r="C41" i="45" s="1"/>
  <c r="I39" i="45"/>
  <c r="H4" i="45"/>
  <c r="H11" i="45" s="1"/>
  <c r="H40" i="45" s="1"/>
  <c r="G39" i="45"/>
  <c r="O11" i="34"/>
  <c r="J59" i="44"/>
  <c r="D7" i="45"/>
  <c r="J3" i="45"/>
  <c r="D39" i="45"/>
  <c r="I7" i="45"/>
  <c r="F7" i="45"/>
  <c r="J5" i="45"/>
  <c r="G7" i="45"/>
  <c r="D24" i="44" l="1"/>
  <c r="L14" i="44"/>
  <c r="G21" i="44"/>
  <c r="G68" i="44"/>
  <c r="I21" i="44"/>
  <c r="I68" i="44"/>
  <c r="J41" i="45"/>
  <c r="F26" i="45" s="1"/>
  <c r="L15" i="44"/>
  <c r="D25" i="44"/>
  <c r="J12" i="45"/>
  <c r="J10" i="45"/>
  <c r="J4" i="45"/>
  <c r="F62" i="44"/>
  <c r="F63" i="44"/>
  <c r="F64" i="44" s="1"/>
  <c r="J63" i="44"/>
  <c r="J64" i="44" s="1"/>
  <c r="J62" i="44"/>
  <c r="E7" i="45"/>
  <c r="L16" i="44"/>
  <c r="D26" i="44"/>
  <c r="F21" i="44"/>
  <c r="F68" i="44"/>
  <c r="H7" i="45"/>
  <c r="C40" i="45"/>
  <c r="J11" i="45"/>
  <c r="C7" i="45"/>
  <c r="H26" i="45"/>
  <c r="I26" i="45"/>
  <c r="G24" i="45"/>
  <c r="I24" i="45"/>
  <c r="D24" i="45"/>
  <c r="E24" i="45"/>
  <c r="H24" i="45"/>
  <c r="F24" i="45"/>
  <c r="D70" i="44" l="1"/>
  <c r="L26" i="44"/>
  <c r="L25" i="44"/>
  <c r="D69" i="44"/>
  <c r="L17" i="44"/>
  <c r="L24" i="44"/>
  <c r="D68" i="44"/>
  <c r="D21" i="44"/>
  <c r="E26" i="45"/>
  <c r="D26" i="45"/>
  <c r="G26" i="45"/>
  <c r="C26" i="45"/>
  <c r="J7" i="45"/>
  <c r="C8" i="45"/>
  <c r="C9" i="45"/>
  <c r="J40" i="45"/>
  <c r="L70" i="44" l="1"/>
  <c r="L21" i="44"/>
  <c r="L68" i="44"/>
  <c r="D52" i="44" s="1"/>
  <c r="L69" i="44"/>
  <c r="F25" i="45"/>
  <c r="H25" i="45"/>
  <c r="D25" i="45"/>
  <c r="G25" i="45"/>
  <c r="I25" i="45"/>
  <c r="E25" i="45"/>
  <c r="J42" i="45"/>
  <c r="C25" i="45"/>
  <c r="J9" i="45"/>
  <c r="I8" i="45"/>
  <c r="I9" i="45" s="1"/>
  <c r="D8" i="45"/>
  <c r="D9" i="45" s="1"/>
  <c r="F8" i="45"/>
  <c r="F9" i="45" s="1"/>
  <c r="G8" i="45"/>
  <c r="G9" i="45" s="1"/>
  <c r="E8" i="45"/>
  <c r="E9" i="45" s="1"/>
  <c r="H8" i="45"/>
  <c r="H9" i="45" s="1"/>
  <c r="L71" i="44" l="1"/>
  <c r="E52" i="44"/>
  <c r="H52" i="44"/>
  <c r="J52" i="44"/>
  <c r="G52" i="44"/>
  <c r="I52" i="44"/>
  <c r="F52" i="44"/>
  <c r="E53" i="44"/>
  <c r="H53" i="44"/>
  <c r="J53" i="44"/>
  <c r="F53" i="44"/>
  <c r="I53" i="44"/>
  <c r="G53" i="44"/>
  <c r="L23" i="44"/>
  <c r="E22" i="44"/>
  <c r="E23" i="44" s="1"/>
  <c r="H22" i="44"/>
  <c r="H23" i="44" s="1"/>
  <c r="J22" i="44"/>
  <c r="J23" i="44" s="1"/>
  <c r="F22" i="44"/>
  <c r="F23" i="44" s="1"/>
  <c r="G22" i="44"/>
  <c r="G23" i="44" s="1"/>
  <c r="I22" i="44"/>
  <c r="I23" i="44" s="1"/>
  <c r="D22" i="44"/>
  <c r="D23" i="44" s="1"/>
  <c r="E54" i="44"/>
  <c r="H54" i="44"/>
  <c r="J54" i="44"/>
  <c r="F54" i="44"/>
  <c r="I54" i="44"/>
  <c r="G54" i="44"/>
  <c r="D53" i="44"/>
  <c r="D54" i="4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J6" authorId="0" shapeId="0" xr:uid="{00000000-0006-0000-0100-000001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en supposant que tous les trajets automobiles LD sont métropolitains</t>
        </r>
      </text>
    </comment>
    <comment ref="A11" authorId="0" shapeId="0" xr:uid="{00000000-0006-0000-0100-000002000000}">
      <text>
        <r>
          <rPr>
            <b/>
            <sz val="10"/>
            <color indexed="8"/>
            <rFont val="Calibri"/>
            <family val="2"/>
          </rPr>
          <t>Auteur:</t>
        </r>
        <r>
          <rPr>
            <sz val="10"/>
            <color indexed="8"/>
            <rFont val="Calibri"/>
            <family val="2"/>
          </rPr>
          <t xml:space="preserve">
Pourquoi by price catégory ? Pas plutôt by energy category ?</t>
        </r>
        <r>
          <rPr>
            <sz val="4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Calibri"/>
            <family val="2"/>
          </rPr>
          <t>Notammenent : en 2015, tous les véhicules électriques sont en classe A énergétique, alors qu'en 2006, tous en classe D-G, parce que… coûtent cher ? Ou parce que véhicule électrique n'était pas propre à l'époque ?</t>
        </r>
        <r>
          <rPr>
            <sz val="4"/>
            <color indexed="8"/>
            <rFont val="Calibri"/>
            <family val="2"/>
          </rPr>
          <t xml:space="preserve">
</t>
        </r>
      </text>
    </comment>
    <comment ref="A24" authorId="0" shapeId="0" xr:uid="{00000000-0006-0000-0100-000003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doit inclure les hybrides rechargeables ? </t>
        </r>
      </text>
    </comment>
    <comment ref="A26" authorId="0" shapeId="0" xr:uid="{00000000-0006-0000-0100-000004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hmypothèse :</t>
        </r>
        <r>
          <rPr>
            <b/>
            <sz val="9"/>
            <color indexed="8"/>
            <rFont val="Tahoma"/>
            <family val="2"/>
          </rPr>
          <t xml:space="preserve"> </t>
        </r>
        <r>
          <rPr>
            <sz val="9"/>
            <color indexed="8"/>
            <rFont val="Tahoma"/>
            <family val="2"/>
          </rPr>
          <t>le coût du gaz est celui du thermique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M17" authorId="0" shapeId="0" xr:uid="{00000000-0006-0000-0200-000001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l'enquête TNS, hors gros VU, p.16, chiffre à 33 855</t>
        </r>
      </text>
    </comment>
    <comment ref="L22" authorId="0" shapeId="0" xr:uid="{00000000-0006-0000-0200-000002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en supposant que tous les trajets automobiles LD sont métropolitains</t>
        </r>
      </text>
    </comment>
    <comment ref="L34" authorId="0" shapeId="0" xr:uid="{00000000-0006-0000-0200-000003000000}">
      <text>
        <r>
          <rPr>
            <b/>
            <sz val="10"/>
            <color indexed="8"/>
            <rFont val="Tahoma"/>
            <family val="2"/>
          </rPr>
          <t>Auteur:</t>
        </r>
        <r>
          <rPr>
            <sz val="10"/>
            <color indexed="8"/>
            <rFont val="Tahoma"/>
            <family val="2"/>
          </rPr>
          <t xml:space="preserve">
inlcus le vol domestic, intra-EU et  extra-EU</t>
        </r>
      </text>
    </comment>
    <comment ref="B40" authorId="0" shapeId="0" xr:uid="{00000000-0006-0000-0200-000004000000}">
      <text>
        <r>
          <rPr>
            <b/>
            <sz val="10"/>
            <color indexed="8"/>
            <rFont val="Calibri"/>
            <family val="2"/>
          </rPr>
          <t>Auteur:</t>
        </r>
        <r>
          <rPr>
            <sz val="10"/>
            <color indexed="8"/>
            <rFont val="Calibri"/>
            <family val="2"/>
          </rPr>
          <t xml:space="preserve">
Pourquoi by price catégory ? Pas plutôt by energy category ?</t>
        </r>
        <r>
          <rPr>
            <sz val="4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Calibri"/>
            <family val="2"/>
          </rPr>
          <t>Notammenent : en 2015, tous les véhicules électriques sont en classe A énergétique, alors qu'en 2006, tous en classe D-G, parce que… coûtent cher ? Ou parce que véhicule électrique n'était pas propre à l'époque ?</t>
        </r>
        <r>
          <rPr>
            <sz val="4"/>
            <color indexed="8"/>
            <rFont val="Calibri"/>
            <family val="2"/>
          </rPr>
          <t xml:space="preserve">
</t>
        </r>
      </text>
    </comment>
    <comment ref="B62" authorId="0" shapeId="0" xr:uid="{00000000-0006-0000-0200-000005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doit inclure les hybrides rechargeables ? </t>
        </r>
      </text>
    </comment>
    <comment ref="B64" authorId="0" shapeId="0" xr:uid="{00000000-0006-0000-0200-000006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hmypothèse :</t>
        </r>
        <r>
          <rPr>
            <b/>
            <sz val="9"/>
            <color indexed="8"/>
            <rFont val="Tahoma"/>
            <family val="2"/>
          </rPr>
          <t xml:space="preserve"> </t>
        </r>
        <r>
          <rPr>
            <sz val="9"/>
            <color indexed="8"/>
            <rFont val="Tahoma"/>
            <family val="2"/>
          </rPr>
          <t>le coût du gaz est celui du thermique</t>
        </r>
      </text>
    </comment>
    <comment ref="B73" authorId="0" shapeId="0" xr:uid="{00000000-0006-0000-0200-000007000000}">
      <text>
        <r>
          <rPr>
            <sz val="9"/>
            <color indexed="8"/>
            <rFont val="Tahoma"/>
            <family val="2"/>
          </rPr>
          <t xml:space="preserve">To match national account households consumption (CH_cveh) at base year.
</t>
        </r>
        <r>
          <rPr>
            <sz val="9"/>
            <color indexed="8"/>
            <rFont val="Tahoma"/>
            <family val="2"/>
          </rPr>
          <t xml:space="preserve">At base year, the households expenditures related to vehicule calculated from the transport block are higher than the national account. We introduce a coefficient correction.
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 xml:space="preserve">1. Simulation of the calibration with coef = 1
</t>
        </r>
        <r>
          <rPr>
            <sz val="9"/>
            <color indexed="8"/>
            <rFont val="Tahoma"/>
            <family val="2"/>
          </rPr>
          <t>2. Calculation of the correction: show ch_cveh/nch_cveh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3" authorId="0" shapeId="0" xr:uid="{00000000-0006-0000-0900-000001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enquête TNS, p. 80</t>
        </r>
      </text>
    </comment>
    <comment ref="B4" authorId="0" shapeId="0" xr:uid="{00000000-0006-0000-0900-000002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enquête TNS, p.23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F5" authorId="0" shapeId="0" xr:uid="{00000000-0006-0000-0A00-000001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puisqu'on suppose qu'une batterie coûte 8 000€ dans 3ME, on suppose donc qu'il n'y a que des citadines electriques</t>
        </r>
      </text>
    </comment>
    <comment ref="F12" authorId="0" shapeId="0" xr:uid="{00000000-0006-0000-0A00-000002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en reprenant l'hypothèse précédente de 100% de citadines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H6" authorId="0" shapeId="0" xr:uid="{00000000-0006-0000-0B00-000001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On suppose que tous les véhicules gaz sont en classe A.</t>
        </r>
      </text>
    </comment>
    <comment ref="H13" authorId="0" shapeId="0" xr:uid="{00000000-0006-0000-0B00-000002000000}">
      <text>
        <r>
          <rPr>
            <b/>
            <sz val="9"/>
            <color indexed="8"/>
            <rFont val="Tahoma"/>
            <family val="2"/>
          </rPr>
          <t>Auteur:</t>
        </r>
        <r>
          <rPr>
            <sz val="9"/>
            <color indexed="8"/>
            <rFont val="Tahoma"/>
            <family val="2"/>
          </rPr>
          <t xml:space="preserve">
On suppose que tous les véhicules gaz sont en classe A.</t>
        </r>
      </text>
    </comment>
  </commentList>
</comments>
</file>

<file path=xl/sharedStrings.xml><?xml version="1.0" encoding="utf-8"?>
<sst xmlns="http://schemas.openxmlformats.org/spreadsheetml/2006/main" count="1263" uniqueCount="379">
  <si>
    <t>TOTAL</t>
  </si>
  <si>
    <t>A</t>
  </si>
  <si>
    <t>B</t>
  </si>
  <si>
    <t>C</t>
  </si>
  <si>
    <t>D</t>
  </si>
  <si>
    <t>E</t>
  </si>
  <si>
    <t>F</t>
  </si>
  <si>
    <t>G</t>
  </si>
  <si>
    <t>Type of the enegy class</t>
  </si>
  <si>
    <t>DES</t>
  </si>
  <si>
    <t>Definition</t>
  </si>
  <si>
    <t>c'=class2</t>
  </si>
  <si>
    <t>KM_Auto</t>
  </si>
  <si>
    <t>Numbers of km made by automobiles (in thousand)</t>
  </si>
  <si>
    <t>KM_Auto_electric</t>
  </si>
  <si>
    <t>KM_Auto_gas</t>
  </si>
  <si>
    <t>Numbers of km made by electric automobiles (in thousand)</t>
  </si>
  <si>
    <t>Numbers of km made by gas automobiles (in thousand)</t>
  </si>
  <si>
    <t>KM_Auto_oil</t>
  </si>
  <si>
    <t>Numbers of km made by oil automobiles (in thousand)</t>
  </si>
  <si>
    <t>Numbers of kms-traveler  by road (in million)</t>
  </si>
  <si>
    <t>Numbers of kms-traveler  by air (in million)</t>
  </si>
  <si>
    <t>Numbers of electric automobiles by price category (in thousand)</t>
  </si>
  <si>
    <t>Numbers of thermic automobiles runing on oil (in thousand)</t>
  </si>
  <si>
    <t>Numbers of thermic automobiles runing on gas (in thousand)</t>
  </si>
  <si>
    <t>Average numbers of km per automobiles</t>
  </si>
  <si>
    <t>Numbers of new electric automobiles per price category (in thousand)</t>
  </si>
  <si>
    <t>Km_traveler[cair]</t>
  </si>
  <si>
    <t>km_trav_auto_LD</t>
  </si>
  <si>
    <t>km_trav_auto_SD</t>
  </si>
  <si>
    <t>km_traveler[crai]</t>
  </si>
  <si>
    <t>km_traveler[croa]</t>
  </si>
  <si>
    <t>km_auto_LD</t>
  </si>
  <si>
    <t>km_auto_SD</t>
  </si>
  <si>
    <t>Numbers of km made by automobiles for long distance trip (in thousand)</t>
  </si>
  <si>
    <t>Numbers of km made by automobiles for short distance trip (in thousand)</t>
  </si>
  <si>
    <t>kmPerAuto</t>
  </si>
  <si>
    <t>AUTO_th[ecl,cgas]</t>
  </si>
  <si>
    <t>AUTO_elec[ecl]</t>
  </si>
  <si>
    <t>Numbers of new thermic automobiles fueled with oil per price category (in thousand)</t>
  </si>
  <si>
    <t>Numbers of new thermic automobiles fueled with gas per price category (in thousand)</t>
  </si>
  <si>
    <t>delta_AUTO_elec[ecl,DES]</t>
  </si>
  <si>
    <t>delta_AUTO[ecl,cgas,DES]</t>
  </si>
  <si>
    <t>CH_AUTO_toe[ecl,cele]</t>
  </si>
  <si>
    <t>CH_AUTO_toe[ecl,cgas]</t>
  </si>
  <si>
    <t>PNewAUTO[ecl,cgas]</t>
  </si>
  <si>
    <t>Price of a new thermic automobiles fueled with oil (in Euros)</t>
  </si>
  <si>
    <t>Price of a new thermic automobiles fueled with gas (in Euros)</t>
  </si>
  <si>
    <t>Energy consumption of a class $ecl$ automobile fueled with oil expressed in tonne of oil equivalent</t>
  </si>
  <si>
    <t>Energy consumption of a class $ecl$ automobile fueled with gas expressed in tonne of oil equivalent</t>
  </si>
  <si>
    <t>Energy consumption of a class $ecl$ automobile fueled with electricity expressed in tonne of oil equivalent</t>
  </si>
  <si>
    <t>overcost_elec[ecl]</t>
  </si>
  <si>
    <t>Pbattery[ecl]</t>
  </si>
  <si>
    <t>Battery cost a class $ecl$ electric automobile expressed in Euros</t>
  </si>
  <si>
    <t>Overcost of a class $ecl$ electric automobile compared to a thermic car expressed in Euros</t>
  </si>
  <si>
    <t>MCperkm[ecl,cele]</t>
  </si>
  <si>
    <t>MCperkm[ecl,cgas]</t>
  </si>
  <si>
    <t>Maintenance cost per km of a class $ecl$ automobile fueled with electricity expressed in Euro cents</t>
  </si>
  <si>
    <t>Maintenance cost per km of a class $ecl$ automobile fueled with oil expressed in Euro cents</t>
  </si>
  <si>
    <t>Maintenance cost per km of a class $ecl$ automobile fueled with gas expressed in Euros cents</t>
  </si>
  <si>
    <t>NewAUTO[ecl,cele]</t>
  </si>
  <si>
    <t>NewAUTO[ecl,cgas]</t>
  </si>
  <si>
    <t>2. Cells with text in gray  are not loaded in ThreeME. But these data are used to calculate other cells</t>
  </si>
  <si>
    <t>3. The  numbers of km per automobiles should be same for all classes. The model is not compatible differenciated numbers of km per automobiles</t>
  </si>
  <si>
    <t>4. Respect the unit requested!</t>
  </si>
  <si>
    <t>5. Update with data for 2015</t>
  </si>
  <si>
    <t>Explanation !!!</t>
  </si>
  <si>
    <t>class ecl</t>
  </si>
  <si>
    <t>Variable in ThreeME</t>
  </si>
  <si>
    <t>diesel</t>
  </si>
  <si>
    <t>essence</t>
  </si>
  <si>
    <t>coût moyen (€)</t>
  </si>
  <si>
    <t>coût moyen total (€]</t>
  </si>
  <si>
    <t>Source : https://www.statistiques.developpement-durable.gouv.fr/sites/default/files/2018-11/datalab-essentiel-138-mobilite-longue-distance-2016-fevrier2018.pdf</t>
  </si>
  <si>
    <t>Total number of automobiles (in thousand)</t>
  </si>
  <si>
    <t>Source : ADEME</t>
  </si>
  <si>
    <t>repartition</t>
  </si>
  <si>
    <t>1. Only cell in light green should be filled</t>
  </si>
  <si>
    <t>Classe energetique</t>
  </si>
  <si>
    <t>ELECTRIC</t>
  </si>
  <si>
    <t>ESSENCE +ELEC HYBRIDE NON RECHARGEABLE</t>
  </si>
  <si>
    <t>DIESEL +ELEC HYBRIDE NON RECHARGEABLE</t>
  </si>
  <si>
    <t>ESSENCE +ELEC HYBRIDE RECHARGEABLE</t>
  </si>
  <si>
    <t>DIESEL +ELEC HYBRIDE RECHARGEABLE</t>
  </si>
  <si>
    <t>ESS+GNV</t>
  </si>
  <si>
    <t>ESS+GPL</t>
  </si>
  <si>
    <t>ESSENCE</t>
  </si>
  <si>
    <t>DIESEL</t>
  </si>
  <si>
    <t>SUPERETHANOL</t>
  </si>
  <si>
    <t>GNV</t>
  </si>
  <si>
    <t xml:space="preserve">OIL-FUELED THERMIC </t>
  </si>
  <si>
    <t xml:space="preserve">GAS-FUELED THERMIC </t>
  </si>
  <si>
    <t>ventes ADEME</t>
  </si>
  <si>
    <t>prix moyen ADEME</t>
  </si>
  <si>
    <t>ventes totales</t>
  </si>
  <si>
    <t>stock of vehicles</t>
  </si>
  <si>
    <t>ER_AUTO_2</t>
  </si>
  <si>
    <t>electric</t>
  </si>
  <si>
    <t>ER_AUTO_ELEC_2</t>
  </si>
  <si>
    <t>Class A</t>
  </si>
  <si>
    <t>ER_AUTO_ELEC_A_2</t>
  </si>
  <si>
    <t>Class B</t>
  </si>
  <si>
    <t>ER_AUTO_ELEC_B_2</t>
  </si>
  <si>
    <t>Class C</t>
  </si>
  <si>
    <t>ER_AUTO_ELEC_C_2</t>
  </si>
  <si>
    <t>Class D</t>
  </si>
  <si>
    <t>ER_AUTO_ELEC_D_2</t>
  </si>
  <si>
    <t>Class E</t>
  </si>
  <si>
    <t>ER_AUTO_ELEC_E_2</t>
  </si>
  <si>
    <t>Class F</t>
  </si>
  <si>
    <t>ER_AUTO_ELEC_F_2</t>
  </si>
  <si>
    <t>Class G</t>
  </si>
  <si>
    <t>ER_AUTO_ELEC_G_2</t>
  </si>
  <si>
    <t>Combustion</t>
  </si>
  <si>
    <t>ER_AUTO_TH_2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</si>
  <si>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</si>
  <si>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</si>
  <si>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</si>
  <si>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</si>
  <si>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</si>
  <si>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</si>
  <si>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</si>
  <si>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Total</t>
  </si>
  <si>
    <t>Coal</t>
  </si>
  <si>
    <t>ER_AUTO_COAL_2</t>
  </si>
  <si>
    <t>Fuel</t>
  </si>
  <si>
    <t>Electricity</t>
  </si>
  <si>
    <t>Gas</t>
  </si>
  <si>
    <t>ER_AUTO_GAS_2</t>
  </si>
  <si>
    <t>Sorties 3ME</t>
  </si>
  <si>
    <t>Coût batterie (en €/kWh)</t>
  </si>
  <si>
    <t>Source : constructeurs (PSA)</t>
  </si>
  <si>
    <t>Taille de batterie (en kWh)</t>
  </si>
  <si>
    <t xml:space="preserve">citadine </t>
  </si>
  <si>
    <t>citadine longue autonomie</t>
  </si>
  <si>
    <t>berline</t>
  </si>
  <si>
    <t>berline longue autonomie</t>
  </si>
  <si>
    <t>Evolution des ventes de véhicules particuliers électriques</t>
  </si>
  <si>
    <t>Source : AAA</t>
  </si>
  <si>
    <t>nombre de ventes neuves</t>
  </si>
  <si>
    <t>% achetés par des entreprises</t>
  </si>
  <si>
    <t>% achetés par des particuliers</t>
  </si>
  <si>
    <t>Attention : environ 50% des ventes d'entreprises peuvent être assimilées à des ventes de particuliers puisque ces véhicules sont revendus dans leur année d'immatriculation à des particuliers</t>
  </si>
  <si>
    <t>Frais d'entretien (en c€/km)</t>
  </si>
  <si>
    <t>Source : enquête Parc Auto de Kantar TNS et infos constructeurs</t>
  </si>
  <si>
    <t>Vague 2018 sur la mobilité 2017</t>
  </si>
  <si>
    <t>thermique</t>
  </si>
  <si>
    <t>électrique</t>
  </si>
  <si>
    <t>40% de moins qu'un thermique</t>
  </si>
  <si>
    <t>hybride rechargeable</t>
  </si>
  <si>
    <t>20% de moins qu'un thermique</t>
  </si>
  <si>
    <t>Données CGDD</t>
  </si>
  <si>
    <t>enquête TNS</t>
  </si>
  <si>
    <t>ventes CGDD electrique</t>
  </si>
  <si>
    <t>coût batterie CGDD</t>
  </si>
  <si>
    <t>Coût batterie (en €)</t>
  </si>
  <si>
    <t xml:space="preserve">% du parc </t>
  </si>
  <si>
    <t>Coût moyen pondéré batterie (en €)</t>
  </si>
  <si>
    <t>Source : CGDD, enquête Parc Auto de Kantar TNS et infos constructeurs</t>
  </si>
  <si>
    <t>2015 (%)</t>
  </si>
  <si>
    <t>FR - Road transport</t>
  </si>
  <si>
    <t>Transport activity</t>
  </si>
  <si>
    <t>Passenger transport (mio pkm)</t>
  </si>
  <si>
    <t>Powered 2-wheelers</t>
  </si>
  <si>
    <t>Passenger cars</t>
  </si>
  <si>
    <t>Gasoline engine</t>
  </si>
  <si>
    <t>Diesel oil engine</t>
  </si>
  <si>
    <t>LPG engine</t>
  </si>
  <si>
    <t>Natural gas engine</t>
  </si>
  <si>
    <t>Plug-in hybrid electric</t>
  </si>
  <si>
    <t>Battery electric vehicles</t>
  </si>
  <si>
    <t>Motor coaches, buses and trolley buses</t>
  </si>
  <si>
    <t>Freight transport (mio tkm)</t>
  </si>
  <si>
    <t>Light duty vehicles</t>
  </si>
  <si>
    <t>Heavy duty vehicles</t>
  </si>
  <si>
    <t>Domestic</t>
  </si>
  <si>
    <t>International</t>
  </si>
  <si>
    <t>Vehicle-km driven (mio km)</t>
  </si>
  <si>
    <t>Passenger transport</t>
  </si>
  <si>
    <t>Freight transport</t>
  </si>
  <si>
    <t>Stock of vehicles - total (vehicles)</t>
  </si>
  <si>
    <t>Stock of vehicles - in use (vehicles)</t>
  </si>
  <si>
    <t>New vehicle-registrations</t>
  </si>
  <si>
    <t>Indicators</t>
  </si>
  <si>
    <t>Load factor of vehicles</t>
  </si>
  <si>
    <t>Passenger transport (p/movement)</t>
  </si>
  <si>
    <t/>
  </si>
  <si>
    <t>Freight transport (t/movement)</t>
  </si>
  <si>
    <t>Vehicle-km driven per vehicle annum (km/vehicle)</t>
  </si>
  <si>
    <t>Passenger-km and tonne-km driven per vehicle annum</t>
  </si>
  <si>
    <t>Passenger transport (pkm/vehicle)</t>
  </si>
  <si>
    <t>Freight transport (tkm/vehicle)</t>
  </si>
  <si>
    <t>Market shares of activity</t>
  </si>
  <si>
    <t>Passenger transport (% of pkm)</t>
  </si>
  <si>
    <t>Freight transport (% of tkm)</t>
  </si>
  <si>
    <t>Market shares of vehicle km (% of km)</t>
  </si>
  <si>
    <t>%</t>
  </si>
  <si>
    <t>Source : JRC-IDEES</t>
  </si>
  <si>
    <t>FR - Road transport / energy consumption</t>
  </si>
  <si>
    <t>Energy consumption (ktoe)</t>
  </si>
  <si>
    <t>by fuel (EUROSTAT DATA)</t>
  </si>
  <si>
    <t>Liquids</t>
  </si>
  <si>
    <t>Liquified petroleum gas (LPG)</t>
  </si>
  <si>
    <t>Gasoline (without biofuels)</t>
  </si>
  <si>
    <t>Gas/Diesel oil (without biofuels)</t>
  </si>
  <si>
    <t>Natural gas</t>
  </si>
  <si>
    <t>Renewable energies and wastes</t>
  </si>
  <si>
    <t>Biogas</t>
  </si>
  <si>
    <t>Biogasoline</t>
  </si>
  <si>
    <t>Biodiesel</t>
  </si>
  <si>
    <t>Other biofuels</t>
  </si>
  <si>
    <t>Total energy consumption (ktoe)</t>
  </si>
  <si>
    <t>Powered 2-wheelers (Gasoline)</t>
  </si>
  <si>
    <t>of which biofuels</t>
  </si>
  <si>
    <t>of which biogas</t>
  </si>
  <si>
    <t>Plug-in hybrid electric (Gasoline and electricity)</t>
  </si>
  <si>
    <t>of which electricity</t>
  </si>
  <si>
    <t>Heavy duty vehicles (Diesel oil incl. biofuels)</t>
  </si>
  <si>
    <t>Vehicle-efficiency - effective (kgoe/100 km)</t>
  </si>
  <si>
    <t>Energy intensity over activity</t>
  </si>
  <si>
    <t>Passenger transport (kgoe / 000 pkm)</t>
  </si>
  <si>
    <t>Freight transport (kgoe / 000 tkm)</t>
  </si>
  <si>
    <t>Energy consumption per vehicle annum (kgoe/vehicle)</t>
  </si>
  <si>
    <t>Shares of total energy consumption (%)</t>
  </si>
  <si>
    <t>Numbers of passenger-km for long distance by automobile (in million)</t>
  </si>
  <si>
    <t>Numbers of passanger-km  for short distance by automobile (in million)</t>
  </si>
  <si>
    <t>Numbers of passenger-km by rail (in million)</t>
  </si>
  <si>
    <t>Source : JRC-IDEES, vetilation LD/SD isues de données 2006</t>
  </si>
  <si>
    <t>sans vehicule hybride</t>
  </si>
  <si>
    <t>Sources : fichier central des automobiles jusqu'en 2009, SDES-RSVERO à partir de 2010</t>
  </si>
  <si>
    <t>* Y compris superéthanol à partir de 2007.</t>
  </si>
  <si>
    <t>personnes physiques</t>
  </si>
  <si>
    <t>personnes morales</t>
  </si>
  <si>
    <t>dont:</t>
  </si>
  <si>
    <t xml:space="preserve"> Essence - GPL </t>
  </si>
  <si>
    <t xml:space="preserve"> Electricité</t>
  </si>
  <si>
    <t xml:space="preserve"> Hybrides</t>
  </si>
  <si>
    <t xml:space="preserve"> Gazole</t>
  </si>
  <si>
    <t xml:space="preserve"> Essence *</t>
  </si>
  <si>
    <t xml:space="preserve"> dont : </t>
  </si>
  <si>
    <t xml:space="preserve"> Total</t>
  </si>
  <si>
    <t xml:space="preserve"> 17 CV et +</t>
  </si>
  <si>
    <t xml:space="preserve"> 13 à 16 CV</t>
  </si>
  <si>
    <t xml:space="preserve"> 10 à 12 CV</t>
  </si>
  <si>
    <t xml:space="preserve"> 9 CV</t>
  </si>
  <si>
    <t xml:space="preserve"> 8 CV</t>
  </si>
  <si>
    <t xml:space="preserve"> 7 CV</t>
  </si>
  <si>
    <t xml:space="preserve"> 6 CV</t>
  </si>
  <si>
    <t xml:space="preserve"> 5 CV</t>
  </si>
  <si>
    <t xml:space="preserve"> 4 CV</t>
  </si>
  <si>
    <t xml:space="preserve"> non indiqué</t>
  </si>
  <si>
    <t xml:space="preserve"> 1 à 3 CV et</t>
  </si>
  <si>
    <t>administrative</t>
  </si>
  <si>
    <t>puissance</t>
  </si>
  <si>
    <t>Classes de</t>
  </si>
  <si>
    <t>Champ : France métropolitaine</t>
  </si>
  <si>
    <t>2.I.F.1 Immatriculations des voitures particulières neuves</t>
  </si>
  <si>
    <t>7 CV</t>
  </si>
  <si>
    <t>8 CV</t>
  </si>
  <si>
    <t>9 CV</t>
  </si>
  <si>
    <t>Puissance fiscale</t>
  </si>
  <si>
    <t>2010  (%)</t>
  </si>
  <si>
    <t>2011  (%)</t>
  </si>
  <si>
    <t>2012  (%)</t>
  </si>
  <si>
    <t>2013  (%)</t>
  </si>
  <si>
    <t>2014  (%)</t>
  </si>
  <si>
    <t>2015  (%)</t>
  </si>
  <si>
    <t>2016  (%)</t>
  </si>
  <si>
    <t>2017  (%)</t>
  </si>
  <si>
    <t>2018  (%)</t>
  </si>
  <si>
    <t>2019  (%)</t>
  </si>
  <si>
    <t>&lt;= 4 CV</t>
  </si>
  <si>
    <t>5 CV</t>
  </si>
  <si>
    <t>6 CV</t>
  </si>
  <si>
    <t>10 CV</t>
  </si>
  <si>
    <t>&gt;= 11 CV</t>
  </si>
  <si>
    <t>Exporté le : 14/12/2020 à 14:15:16</t>
  </si>
  <si>
    <r>
      <t xml:space="preserve">2.P.F.1. Parc au 1er janvier des </t>
    </r>
    <r>
      <rPr>
        <b/>
        <u/>
        <sz val="11"/>
        <rFont val="Arial"/>
        <family val="2"/>
      </rPr>
      <t>voitures particulières</t>
    </r>
    <r>
      <rPr>
        <b/>
        <sz val="11"/>
        <rFont val="Arial"/>
        <family val="2"/>
      </rPr>
      <t xml:space="preserve"> d'âge inférieur ou égal à 15 ans selon la classe de puissance administrative et l'âge </t>
    </r>
  </si>
  <si>
    <t>Classe de puissance administrative et classe d'âge</t>
  </si>
  <si>
    <t>1 à 4 CV</t>
  </si>
  <si>
    <t xml:space="preserve"> 3 ans et moins</t>
  </si>
  <si>
    <t xml:space="preserve"> 4 à 5 ans</t>
  </si>
  <si>
    <t xml:space="preserve"> 6 à 7 ans</t>
  </si>
  <si>
    <t xml:space="preserve"> 8, 9 et 10 ans</t>
  </si>
  <si>
    <t xml:space="preserve"> 11 à 15 ans</t>
  </si>
  <si>
    <t>10 et 11 CV</t>
  </si>
  <si>
    <t xml:space="preserve">12 CV et + </t>
  </si>
  <si>
    <t>Non indiqué</t>
  </si>
  <si>
    <t>Source : Fichier central des automobiles jusqu'en 2010, SDES-RSVERO à partir de 2011</t>
  </si>
  <si>
    <t>&lt;= 4CV</t>
  </si>
  <si>
    <t xml:space="preserve">9 CV </t>
  </si>
  <si>
    <t>&gt;= 10 CV</t>
  </si>
  <si>
    <t xml:space="preserve">Total </t>
  </si>
  <si>
    <t>Source : car labelling ADEME</t>
  </si>
  <si>
    <t>&lt; = 4 CV</t>
  </si>
  <si>
    <t>7 Cv</t>
  </si>
  <si>
    <t>&gt; = 10 CV</t>
  </si>
  <si>
    <t>Oil</t>
  </si>
  <si>
    <t xml:space="preserve">gaz </t>
  </si>
  <si>
    <t>elec</t>
  </si>
  <si>
    <t>Car labelling ADEME</t>
  </si>
  <si>
    <t>SDES-RSVERO</t>
  </si>
  <si>
    <t>oil</t>
  </si>
  <si>
    <t>gaz</t>
  </si>
  <si>
    <t>Gasoline</t>
  </si>
  <si>
    <t>Diesel</t>
  </si>
  <si>
    <t>LPG</t>
  </si>
  <si>
    <t>NG</t>
  </si>
  <si>
    <t>Hybrid</t>
  </si>
  <si>
    <t>Elec</t>
  </si>
  <si>
    <t>Ktoe/ mio km</t>
  </si>
  <si>
    <t>Energy</t>
  </si>
  <si>
    <t>source: Sources :  SDES-RSVERO</t>
  </si>
  <si>
    <t>Source: JRC-IDEES,  répartition par classe de puissance administrative SDES-RSVERO</t>
  </si>
  <si>
    <t>ktoe/million km</t>
  </si>
  <si>
    <t>gas</t>
  </si>
  <si>
    <t>electricity (toe)</t>
  </si>
  <si>
    <t>coeficient energetique par classe de puissance</t>
  </si>
  <si>
    <t>overcost elec</t>
  </si>
  <si>
    <t>LD ans SD ThreeME V2</t>
  </si>
  <si>
    <t>source : CGDD</t>
  </si>
  <si>
    <t>AUTO_th[ecl,cfut]</t>
  </si>
  <si>
    <t>NewAUTO[ecl,cfut]</t>
  </si>
  <si>
    <t>delta_AUTO[ecl,cfut,DES]</t>
  </si>
  <si>
    <t>CH_AUTO_toe[ecl,cfut]</t>
  </si>
  <si>
    <t xml:space="preserve">PNewAUTO[ecl,cfut] </t>
  </si>
  <si>
    <t>MCperkm[ecl,cfut]</t>
  </si>
  <si>
    <t xml:space="preserve">Coeficient price new vehicule </t>
  </si>
  <si>
    <t>Coeficient maintenance cost</t>
  </si>
  <si>
    <t>Coef overcost_elec[ecl]</t>
  </si>
  <si>
    <t>Coef Pbattery[ecl]</t>
  </si>
  <si>
    <t>code</t>
  </si>
  <si>
    <t>AUTO_th_cfut</t>
  </si>
  <si>
    <t>NewAUTO_cele</t>
  </si>
  <si>
    <t>NewAUTO_cfut</t>
  </si>
  <si>
    <t>NewAUTO_cgas</t>
  </si>
  <si>
    <t>delta_AUTO_cfut_DES</t>
  </si>
  <si>
    <t>delta_AUTO_cgas_DES</t>
  </si>
  <si>
    <t>CH_AUTO_toe_cele</t>
  </si>
  <si>
    <t>CH_AUTO_toe_cfut</t>
  </si>
  <si>
    <t>CH_AUTO_toe_cgas</t>
  </si>
  <si>
    <t>overcost_elec</t>
  </si>
  <si>
    <t>Pbattery</t>
  </si>
  <si>
    <t>PNewAUTO_cfut</t>
  </si>
  <si>
    <t>PNewAUTO_cgas</t>
  </si>
  <si>
    <t>Mcperkm_cele</t>
  </si>
  <si>
    <t>Mcperkm_cfut</t>
  </si>
  <si>
    <t>Mcperkm_cgas</t>
  </si>
  <si>
    <t>AUTO_th_cgas</t>
  </si>
  <si>
    <t>KM_Auto_cele</t>
  </si>
  <si>
    <t>AUTO_cele</t>
  </si>
  <si>
    <t>KM_Auto_cfut</t>
  </si>
  <si>
    <t>KM_Auto_cgas</t>
  </si>
  <si>
    <t>delta_AUTO_cele_DES</t>
  </si>
  <si>
    <t>Code</t>
  </si>
  <si>
    <t>Source</t>
  </si>
  <si>
    <t>Source : https://www.statistiques.developpement-durable.gouv.fr/sites/default/files/2018-11/datalab-essentiel-138-mobilite-longue-distance-2016-fevrier2018.pdf; en supposant que tous les trajets automobiles LD sont métropolitains</t>
  </si>
  <si>
    <t>Source : JRC-IDEES; inlcus le vol domestic, intra-EU et  extra-EU</t>
  </si>
  <si>
    <t>In ThreeME V2 (2006)</t>
  </si>
  <si>
    <t>km_traveler_crai</t>
  </si>
  <si>
    <t>km_traveler_croa</t>
  </si>
  <si>
    <t>km_traveler_cair</t>
  </si>
  <si>
    <t>Variable / Units</t>
  </si>
  <si>
    <t>Depreciation rate of automobiles (electric)</t>
  </si>
  <si>
    <t>Depreciation rate of automobiles (running on oil)</t>
  </si>
  <si>
    <t>Depreciation rate of automobiles (running on gas)</t>
  </si>
  <si>
    <t>overcost_elec_euro</t>
  </si>
  <si>
    <t>Pbattery_euro</t>
  </si>
  <si>
    <t>Source: DATA_BUILDING.xlsx / Ceren avec part par classe energetique Menfis</t>
  </si>
  <si>
    <t>ENER_BUIL_bis_cele</t>
  </si>
  <si>
    <t>ENER_BUIL_bis_cgas</t>
  </si>
  <si>
    <t>Consumption of energy cele by class $ecl$ buildings. In Mtoe.</t>
  </si>
  <si>
    <t>Consumption of energy cgas by class $ecl$ buildings. In Mtoe.</t>
  </si>
  <si>
    <t>Theoretic energy consumption of automobile fueld with electricity (toe)</t>
  </si>
  <si>
    <t>Theoretic energy consumption of automobile fueld with oil (toe)</t>
  </si>
  <si>
    <t>Theoretic energy consumption of automobile fueld with gas (toe)</t>
  </si>
  <si>
    <t>Energy consumption of a class $ecl$ automobile fueled with oil expressed in toe</t>
  </si>
  <si>
    <t>Energy consumption of a class $ecl$ automobile fueled with electricity expressed in toe</t>
  </si>
  <si>
    <t>Energy consumption of a class $ecl$ automobile fueled with gas expressed in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</si>
</sst>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 * #,##0.00_ ;_ * \-#,##0.00_ ;_ * &quot;-&quot;??_ ;_ @_ "/>
    <numFmt numFmtId="165" formatCode="_-* #,##0.00\ _€_-;\-* #,##0.00\ _€_-;_-* &quot;-&quot;??\ _€_-;_-@_-"/>
    <numFmt numFmtId="166" formatCode="0.000"/>
    <numFmt numFmtId="167" formatCode="0.0000"/>
    <numFmt numFmtId="168" formatCode="#,##0.0;\-#,##0.0;&quot;-&quot;"/>
    <numFmt numFmtId="169" formatCode="#,##0;\-#,##0;&quot;-&quot;"/>
    <numFmt numFmtId="170" formatCode="#,##0.00;\-#,##0.00;&quot;-&quot;"/>
    <numFmt numFmtId="171" formatCode="#,##0.0"/>
    <numFmt numFmtId="172" formatCode="0.00%;\-0.00%;&quot;-&quot;"/>
    <numFmt numFmtId="173" formatCode="0.0%"/>
    <numFmt numFmtId="174" formatCode="0.0"/>
    <numFmt numFmtId="175" formatCode="#,##0.000;\-#,##0.000;&quot;-&quot;"/>
    <numFmt numFmtId="176" formatCode="#,##0\ _ "/>
    <numFmt numFmtId="177" formatCode="0.00000"/>
    <numFmt numFmtId="178" formatCode="0.000%"/>
  </numFmts>
  <fonts count="6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23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61"/>
    </font>
    <font>
      <sz val="9"/>
      <name val="Arial"/>
      <family val="2"/>
    </font>
    <font>
      <sz val="10"/>
      <name val="MS Sans Serif"/>
    </font>
    <font>
      <sz val="9"/>
      <name val="MS Sans Serif"/>
    </font>
    <font>
      <b/>
      <sz val="9"/>
      <name val="Arial"/>
      <family val="2"/>
    </font>
    <font>
      <b/>
      <sz val="9"/>
      <name val="MS Sans Serif"/>
    </font>
    <font>
      <b/>
      <sz val="11"/>
      <name val="Arial"/>
      <family val="2"/>
    </font>
    <font>
      <b/>
      <u/>
      <sz val="11"/>
      <name val="Arial"/>
      <family val="2"/>
    </font>
    <font>
      <i/>
      <sz val="9"/>
      <name val="Arial"/>
      <family val="2"/>
    </font>
    <font>
      <sz val="9"/>
      <color indexed="17"/>
      <name val="Arial"/>
      <family val="2"/>
    </font>
    <font>
      <u/>
      <sz val="9"/>
      <name val="Arial"/>
      <family val="2"/>
    </font>
    <font>
      <sz val="9"/>
      <color indexed="10"/>
      <name val="Arial"/>
      <family val="2"/>
    </font>
    <font>
      <sz val="10"/>
      <color indexed="8"/>
      <name val="Calibri"/>
      <family val="2"/>
    </font>
    <font>
      <sz val="10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4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color theme="0" tint="-0.34998626667073579"/>
      <name val="Arial"/>
      <family val="2"/>
    </font>
    <font>
      <sz val="8"/>
      <color theme="1"/>
      <name val="Arial"/>
      <family val="2"/>
    </font>
    <font>
      <b/>
      <sz val="8"/>
      <color theme="0" tint="-0.34998626667073579"/>
      <name val="Arial"/>
      <family val="2"/>
    </font>
    <font>
      <b/>
      <sz val="8"/>
      <color theme="0" tint="-0.249977111117893"/>
      <name val="Arial"/>
      <family val="2"/>
    </font>
    <font>
      <sz val="8"/>
      <color theme="0" tint="-0.249977111117893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  <font>
      <b/>
      <sz val="12"/>
      <color rgb="FFFF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5" tint="-0.249977111117893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i/>
      <sz val="8"/>
      <color rgb="FF002060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0" fontId="0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4" fillId="0" borderId="0"/>
    <xf numFmtId="0" fontId="2" fillId="0" borderId="0"/>
    <xf numFmtId="0" fontId="30" fillId="0" borderId="0"/>
    <xf numFmtId="0" fontId="12" fillId="0" borderId="0"/>
    <xf numFmtId="0" fontId="2" fillId="0" borderId="0"/>
    <xf numFmtId="0" fontId="9" fillId="0" borderId="0"/>
    <xf numFmtId="0" fontId="12" fillId="0" borderId="0"/>
    <xf numFmtId="0" fontId="31" fillId="2" borderId="22" applyNumberFormat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298">
    <xf numFmtId="0" fontId="0" fillId="0" borderId="0" xfId="0"/>
    <xf numFmtId="0" fontId="5" fillId="0" borderId="0" xfId="8" applyFont="1"/>
    <xf numFmtId="0" fontId="6" fillId="3" borderId="0" xfId="8" applyFont="1" applyFill="1"/>
    <xf numFmtId="0" fontId="5" fillId="3" borderId="0" xfId="8" applyFont="1" applyFill="1"/>
    <xf numFmtId="0" fontId="6" fillId="0" borderId="0" xfId="8" applyFont="1"/>
    <xf numFmtId="0" fontId="33" fillId="0" borderId="0" xfId="8" applyFont="1"/>
    <xf numFmtId="0" fontId="34" fillId="0" borderId="0" xfId="8" applyFont="1"/>
    <xf numFmtId="0" fontId="6" fillId="0" borderId="0" xfId="8" applyFont="1" applyAlignment="1">
      <alignment horizontal="left"/>
    </xf>
    <xf numFmtId="0" fontId="35" fillId="0" borderId="0" xfId="8" applyFont="1"/>
    <xf numFmtId="0" fontId="7" fillId="0" borderId="0" xfId="8" applyFont="1"/>
    <xf numFmtId="0" fontId="6" fillId="0" borderId="0" xfId="8" applyFont="1" applyAlignment="1">
      <alignment horizontal="center"/>
    </xf>
    <xf numFmtId="0" fontId="6" fillId="0" borderId="0" xfId="8" applyFont="1" applyAlignment="1">
      <alignment wrapText="1"/>
    </xf>
    <xf numFmtId="0" fontId="8" fillId="0" borderId="0" xfId="8" applyFont="1"/>
    <xf numFmtId="2" fontId="5" fillId="0" borderId="0" xfId="8" applyNumberFormat="1" applyFont="1"/>
    <xf numFmtId="167" fontId="5" fillId="0" borderId="0" xfId="8" applyNumberFormat="1" applyFont="1"/>
    <xf numFmtId="2" fontId="5" fillId="0" borderId="0" xfId="8" applyNumberFormat="1" applyFont="1" applyAlignment="1">
      <alignment horizontal="center"/>
    </xf>
    <xf numFmtId="1" fontId="5" fillId="0" borderId="0" xfId="8" applyNumberFormat="1" applyFont="1" applyAlignment="1">
      <alignment horizontal="center"/>
    </xf>
    <xf numFmtId="0" fontId="5" fillId="0" borderId="0" xfId="8" applyFont="1" applyAlignment="1">
      <alignment horizontal="center"/>
    </xf>
    <xf numFmtId="165" fontId="5" fillId="0" borderId="0" xfId="8" applyNumberFormat="1" applyFont="1"/>
    <xf numFmtId="11" fontId="5" fillId="0" borderId="0" xfId="8" applyNumberFormat="1" applyFont="1"/>
    <xf numFmtId="0" fontId="34" fillId="0" borderId="0" xfId="5" applyFont="1"/>
    <xf numFmtId="0" fontId="5" fillId="0" borderId="0" xfId="5" applyFont="1"/>
    <xf numFmtId="164" fontId="5" fillId="0" borderId="0" xfId="8" applyNumberFormat="1" applyFont="1"/>
    <xf numFmtId="164" fontId="34" fillId="0" borderId="0" xfId="8" applyNumberFormat="1" applyFont="1"/>
    <xf numFmtId="9" fontId="36" fillId="0" borderId="0" xfId="17" applyFont="1" applyFill="1" applyBorder="1"/>
    <xf numFmtId="0" fontId="6" fillId="0" borderId="0" xfId="0" applyFont="1"/>
    <xf numFmtId="166" fontId="6" fillId="0" borderId="0" xfId="8" applyNumberFormat="1" applyFont="1"/>
    <xf numFmtId="0" fontId="37" fillId="0" borderId="0" xfId="0" applyFont="1"/>
    <xf numFmtId="2" fontId="6" fillId="0" borderId="0" xfId="8" applyNumberFormat="1" applyFont="1"/>
    <xf numFmtId="4" fontId="5" fillId="0" borderId="0" xfId="8" applyNumberFormat="1" applyFont="1"/>
    <xf numFmtId="4" fontId="5" fillId="0" borderId="0" xfId="8" applyNumberFormat="1" applyFont="1" applyAlignment="1">
      <alignment horizontal="center"/>
    </xf>
    <xf numFmtId="4" fontId="35" fillId="0" borderId="0" xfId="8" applyNumberFormat="1" applyFont="1"/>
    <xf numFmtId="0" fontId="38" fillId="0" borderId="0" xfId="8" applyFont="1"/>
    <xf numFmtId="0" fontId="39" fillId="0" borderId="0" xfId="8" applyFont="1"/>
    <xf numFmtId="4" fontId="39" fillId="0" borderId="0" xfId="8" applyNumberFormat="1" applyFont="1"/>
    <xf numFmtId="0" fontId="38" fillId="0" borderId="0" xfId="0" applyFont="1"/>
    <xf numFmtId="0" fontId="40" fillId="0" borderId="0" xfId="0" applyFont="1"/>
    <xf numFmtId="0" fontId="41" fillId="0" borderId="0" xfId="8" applyFont="1"/>
    <xf numFmtId="4" fontId="41" fillId="0" borderId="0" xfId="8" applyNumberFormat="1" applyFont="1"/>
    <xf numFmtId="4" fontId="5" fillId="4" borderId="0" xfId="8" applyNumberFormat="1" applyFont="1" applyFill="1"/>
    <xf numFmtId="4" fontId="39" fillId="4" borderId="0" xfId="8" applyNumberFormat="1" applyFont="1" applyFill="1"/>
    <xf numFmtId="2" fontId="5" fillId="4" borderId="0" xfId="8" applyNumberFormat="1" applyFont="1" applyFill="1"/>
    <xf numFmtId="167" fontId="6" fillId="0" borderId="0" xfId="8" applyNumberFormat="1" applyFont="1"/>
    <xf numFmtId="0" fontId="42" fillId="0" borderId="0" xfId="8" applyFont="1"/>
    <xf numFmtId="0" fontId="5" fillId="5" borderId="0" xfId="8" applyFont="1" applyFill="1"/>
    <xf numFmtId="1" fontId="0" fillId="0" borderId="0" xfId="0" applyNumberFormat="1"/>
    <xf numFmtId="0" fontId="6" fillId="0" borderId="2" xfId="0" applyFont="1" applyBorder="1"/>
    <xf numFmtId="0" fontId="1" fillId="0" borderId="1" xfId="13" applyFont="1" applyBorder="1" applyAlignment="1">
      <alignment horizontal="right" wrapText="1"/>
    </xf>
    <xf numFmtId="0" fontId="1" fillId="0" borderId="0" xfId="13" applyFont="1" applyAlignment="1">
      <alignment horizontal="right" wrapText="1"/>
    </xf>
    <xf numFmtId="1" fontId="1" fillId="0" borderId="1" xfId="13" applyNumberFormat="1" applyFont="1" applyBorder="1" applyAlignment="1">
      <alignment horizontal="right" wrapText="1"/>
    </xf>
    <xf numFmtId="1" fontId="1" fillId="0" borderId="0" xfId="13" applyNumberFormat="1" applyFont="1" applyAlignment="1">
      <alignment horizontal="right" wrapText="1"/>
    </xf>
    <xf numFmtId="0" fontId="0" fillId="6" borderId="0" xfId="0" applyFill="1"/>
    <xf numFmtId="2" fontId="0" fillId="0" borderId="0" xfId="0" applyNumberFormat="1"/>
    <xf numFmtId="2" fontId="1" fillId="0" borderId="1" xfId="13" applyNumberFormat="1" applyFont="1" applyBorder="1" applyAlignment="1">
      <alignment horizontal="right" wrapText="1"/>
    </xf>
    <xf numFmtId="0" fontId="32" fillId="5" borderId="0" xfId="0" applyFont="1" applyFill="1"/>
    <xf numFmtId="4" fontId="5" fillId="0" borderId="0" xfId="8" applyNumberFormat="1" applyFont="1" applyAlignment="1">
      <alignment horizontal="right"/>
    </xf>
    <xf numFmtId="0" fontId="43" fillId="7" borderId="3" xfId="0" applyFont="1" applyFill="1" applyBorder="1"/>
    <xf numFmtId="3" fontId="43" fillId="8" borderId="4" xfId="0" applyNumberFormat="1" applyFont="1" applyFill="1" applyBorder="1" applyAlignment="1">
      <alignment horizontal="right"/>
    </xf>
    <xf numFmtId="0" fontId="43" fillId="7" borderId="0" xfId="0" applyFont="1" applyFill="1"/>
    <xf numFmtId="0" fontId="44" fillId="7" borderId="0" xfId="0" applyFont="1" applyFill="1"/>
    <xf numFmtId="3" fontId="43" fillId="9" borderId="5" xfId="0" applyNumberFormat="1" applyFont="1" applyFill="1" applyBorder="1" applyAlignment="1">
      <alignment horizontal="right"/>
    </xf>
    <xf numFmtId="0" fontId="45" fillId="7" borderId="6" xfId="0" applyFont="1" applyFill="1" applyBorder="1" applyAlignment="1">
      <alignment horizontal="left" indent="2"/>
    </xf>
    <xf numFmtId="0" fontId="46" fillId="7" borderId="6" xfId="0" applyFont="1" applyFill="1" applyBorder="1"/>
    <xf numFmtId="3" fontId="44" fillId="7" borderId="0" xfId="0" applyNumberFormat="1" applyFont="1" applyFill="1" applyAlignment="1">
      <alignment horizontal="right"/>
    </xf>
    <xf numFmtId="0" fontId="45" fillId="7" borderId="0" xfId="0" applyFont="1" applyFill="1" applyAlignment="1">
      <alignment horizontal="left" indent="2"/>
    </xf>
    <xf numFmtId="0" fontId="46" fillId="7" borderId="0" xfId="0" applyFont="1" applyFill="1"/>
    <xf numFmtId="0" fontId="43" fillId="7" borderId="5" xfId="0" applyFont="1" applyFill="1" applyBorder="1"/>
    <xf numFmtId="0" fontId="44" fillId="7" borderId="5" xfId="0" applyFont="1" applyFill="1" applyBorder="1"/>
    <xf numFmtId="3" fontId="44" fillId="7" borderId="0" xfId="16" applyNumberFormat="1" applyFont="1" applyFill="1" applyBorder="1" applyAlignment="1">
      <alignment horizontal="right"/>
    </xf>
    <xf numFmtId="0" fontId="45" fillId="7" borderId="7" xfId="0" applyFont="1" applyFill="1" applyBorder="1" applyAlignment="1">
      <alignment horizontal="left" indent="2"/>
    </xf>
    <xf numFmtId="0" fontId="46" fillId="7" borderId="7" xfId="0" applyFont="1" applyFill="1" applyBorder="1"/>
    <xf numFmtId="3" fontId="44" fillId="7" borderId="7" xfId="16" applyNumberFormat="1" applyFont="1" applyFill="1" applyBorder="1" applyAlignment="1">
      <alignment horizontal="right"/>
    </xf>
    <xf numFmtId="0" fontId="32" fillId="0" borderId="0" xfId="0" applyFont="1"/>
    <xf numFmtId="0" fontId="43" fillId="7" borderId="4" xfId="0" applyFont="1" applyFill="1" applyBorder="1"/>
    <xf numFmtId="3" fontId="43" fillId="8" borderId="3" xfId="0" applyNumberFormat="1" applyFont="1" applyFill="1" applyBorder="1" applyAlignment="1">
      <alignment horizontal="right"/>
    </xf>
    <xf numFmtId="3" fontId="5" fillId="0" borderId="0" xfId="8" applyNumberFormat="1" applyFont="1"/>
    <xf numFmtId="0" fontId="30" fillId="0" borderId="0" xfId="10"/>
    <xf numFmtId="0" fontId="47" fillId="0" borderId="0" xfId="10" applyFont="1"/>
    <xf numFmtId="0" fontId="48" fillId="0" borderId="0" xfId="10" applyFont="1"/>
    <xf numFmtId="3" fontId="30" fillId="0" borderId="0" xfId="10" applyNumberFormat="1"/>
    <xf numFmtId="9" fontId="29" fillId="0" borderId="0" xfId="18" applyFont="1"/>
    <xf numFmtId="0" fontId="30" fillId="0" borderId="0" xfId="10" applyAlignment="1">
      <alignment horizontal="center"/>
    </xf>
    <xf numFmtId="0" fontId="0" fillId="0" borderId="0" xfId="0" applyAlignment="1">
      <alignment wrapText="1"/>
    </xf>
    <xf numFmtId="0" fontId="31" fillId="2" borderId="22" xfId="15" applyAlignment="1">
      <alignment vertical="top" wrapText="1"/>
    </xf>
    <xf numFmtId="0" fontId="31" fillId="2" borderId="22" xfId="15" applyAlignment="1">
      <alignment wrapText="1"/>
    </xf>
    <xf numFmtId="0" fontId="31" fillId="2" borderId="22" xfId="15"/>
    <xf numFmtId="0" fontId="30" fillId="0" borderId="0" xfId="10" applyAlignment="1">
      <alignment horizontal="center" vertical="center"/>
    </xf>
    <xf numFmtId="9" fontId="31" fillId="5" borderId="22" xfId="15" applyNumberFormat="1" applyFill="1"/>
    <xf numFmtId="0" fontId="49" fillId="0" borderId="0" xfId="8" applyFont="1" applyAlignment="1">
      <alignment wrapText="1"/>
    </xf>
    <xf numFmtId="9" fontId="29" fillId="0" borderId="0" xfId="16" applyFont="1"/>
    <xf numFmtId="9" fontId="43" fillId="9" borderId="5" xfId="16" applyFont="1" applyFill="1" applyBorder="1" applyAlignment="1">
      <alignment horizontal="right"/>
    </xf>
    <xf numFmtId="0" fontId="50" fillId="10" borderId="8" xfId="6" applyFont="1" applyFill="1" applyBorder="1" applyAlignment="1">
      <alignment horizontal="left" vertical="center"/>
    </xf>
    <xf numFmtId="1" fontId="51" fillId="10" borderId="8" xfId="6" applyNumberFormat="1" applyFont="1" applyFill="1" applyBorder="1" applyAlignment="1">
      <alignment horizontal="center" vertical="center"/>
    </xf>
    <xf numFmtId="0" fontId="52" fillId="11" borderId="0" xfId="6" applyFont="1" applyFill="1" applyAlignment="1">
      <alignment vertical="center"/>
    </xf>
    <xf numFmtId="0" fontId="52" fillId="0" borderId="4" xfId="6" applyFont="1" applyBorder="1" applyAlignment="1">
      <alignment vertical="center"/>
    </xf>
    <xf numFmtId="0" fontId="52" fillId="11" borderId="4" xfId="6" applyFont="1" applyFill="1" applyBorder="1" applyAlignment="1">
      <alignment vertical="center"/>
    </xf>
    <xf numFmtId="0" fontId="53" fillId="12" borderId="8" xfId="6" applyFont="1" applyFill="1" applyBorder="1" applyAlignment="1">
      <alignment horizontal="left" vertical="center"/>
    </xf>
    <xf numFmtId="168" fontId="54" fillId="12" borderId="8" xfId="6" applyNumberFormat="1" applyFont="1" applyFill="1" applyBorder="1" applyAlignment="1">
      <alignment vertical="center"/>
    </xf>
    <xf numFmtId="0" fontId="55" fillId="13" borderId="8" xfId="6" applyFont="1" applyFill="1" applyBorder="1" applyAlignment="1">
      <alignment horizontal="left" vertical="center" indent="1"/>
    </xf>
    <xf numFmtId="168" fontId="55" fillId="13" borderId="8" xfId="6" applyNumberFormat="1" applyFont="1" applyFill="1" applyBorder="1" applyAlignment="1">
      <alignment vertical="center"/>
    </xf>
    <xf numFmtId="0" fontId="52" fillId="11" borderId="9" xfId="6" applyFont="1" applyFill="1" applyBorder="1" applyAlignment="1">
      <alignment horizontal="left" vertical="center" indent="2"/>
    </xf>
    <xf numFmtId="168" fontId="52" fillId="0" borderId="9" xfId="6" applyNumberFormat="1" applyFont="1" applyBorder="1" applyAlignment="1">
      <alignment vertical="center"/>
    </xf>
    <xf numFmtId="0" fontId="52" fillId="11" borderId="10" xfId="6" applyFont="1" applyFill="1" applyBorder="1" applyAlignment="1">
      <alignment horizontal="left" vertical="center" indent="2"/>
    </xf>
    <xf numFmtId="168" fontId="52" fillId="0" borderId="10" xfId="6" applyNumberFormat="1" applyFont="1" applyBorder="1" applyAlignment="1">
      <alignment vertical="center"/>
    </xf>
    <xf numFmtId="0" fontId="52" fillId="11" borderId="0" xfId="6" applyFont="1" applyFill="1" applyAlignment="1">
      <alignment horizontal="left" vertical="center" indent="3"/>
    </xf>
    <xf numFmtId="168" fontId="52" fillId="0" borderId="0" xfId="6" applyNumberFormat="1" applyFont="1" applyAlignment="1">
      <alignment vertical="center"/>
    </xf>
    <xf numFmtId="0" fontId="52" fillId="11" borderId="7" xfId="6" applyFont="1" applyFill="1" applyBorder="1" applyAlignment="1">
      <alignment horizontal="left" vertical="center" indent="3"/>
    </xf>
    <xf numFmtId="168" fontId="52" fillId="0" borderId="7" xfId="6" applyNumberFormat="1" applyFont="1" applyBorder="1" applyAlignment="1">
      <alignment vertical="center"/>
    </xf>
    <xf numFmtId="0" fontId="52" fillId="0" borderId="0" xfId="6" applyFont="1" applyAlignment="1">
      <alignment vertical="center"/>
    </xf>
    <xf numFmtId="169" fontId="54" fillId="12" borderId="8" xfId="6" applyNumberFormat="1" applyFont="1" applyFill="1" applyBorder="1" applyAlignment="1">
      <alignment vertical="center"/>
    </xf>
    <xf numFmtId="169" fontId="55" fillId="13" borderId="8" xfId="6" applyNumberFormat="1" applyFont="1" applyFill="1" applyBorder="1" applyAlignment="1">
      <alignment vertical="center"/>
    </xf>
    <xf numFmtId="169" fontId="52" fillId="0" borderId="9" xfId="6" applyNumberFormat="1" applyFont="1" applyBorder="1" applyAlignment="1">
      <alignment vertical="center"/>
    </xf>
    <xf numFmtId="169" fontId="52" fillId="0" borderId="10" xfId="6" applyNumberFormat="1" applyFont="1" applyBorder="1" applyAlignment="1">
      <alignment vertical="center"/>
    </xf>
    <xf numFmtId="169" fontId="52" fillId="0" borderId="0" xfId="6" applyNumberFormat="1" applyFont="1" applyAlignment="1">
      <alignment vertical="center"/>
    </xf>
    <xf numFmtId="169" fontId="52" fillId="0" borderId="7" xfId="6" applyNumberFormat="1" applyFont="1" applyBorder="1" applyAlignment="1">
      <alignment vertical="center"/>
    </xf>
    <xf numFmtId="0" fontId="56" fillId="14" borderId="8" xfId="6" applyFont="1" applyFill="1" applyBorder="1" applyAlignment="1">
      <alignment horizontal="left" vertical="center"/>
    </xf>
    <xf numFmtId="0" fontId="57" fillId="14" borderId="8" xfId="6" applyFont="1" applyFill="1" applyBorder="1" applyAlignment="1">
      <alignment vertical="center"/>
    </xf>
    <xf numFmtId="170" fontId="54" fillId="12" borderId="8" xfId="6" applyNumberFormat="1" applyFont="1" applyFill="1" applyBorder="1" applyAlignment="1">
      <alignment vertical="center"/>
    </xf>
    <xf numFmtId="170" fontId="55" fillId="13" borderId="8" xfId="6" applyNumberFormat="1" applyFont="1" applyFill="1" applyBorder="1" applyAlignment="1">
      <alignment vertical="center"/>
    </xf>
    <xf numFmtId="170" fontId="52" fillId="0" borderId="9" xfId="6" applyNumberFormat="1" applyFont="1" applyBorder="1" applyAlignment="1">
      <alignment vertical="center"/>
    </xf>
    <xf numFmtId="170" fontId="52" fillId="0" borderId="10" xfId="6" applyNumberFormat="1" applyFont="1" applyBorder="1" applyAlignment="1">
      <alignment vertical="center"/>
    </xf>
    <xf numFmtId="170" fontId="52" fillId="0" borderId="0" xfId="6" applyNumberFormat="1" applyFont="1" applyAlignment="1">
      <alignment vertical="center"/>
    </xf>
    <xf numFmtId="170" fontId="52" fillId="0" borderId="7" xfId="6" applyNumberFormat="1" applyFont="1" applyBorder="1" applyAlignment="1">
      <alignment vertical="center"/>
    </xf>
    <xf numFmtId="171" fontId="55" fillId="13" borderId="8" xfId="6" applyNumberFormat="1" applyFont="1" applyFill="1" applyBorder="1" applyAlignment="1">
      <alignment vertical="center"/>
    </xf>
    <xf numFmtId="171" fontId="52" fillId="0" borderId="9" xfId="6" applyNumberFormat="1" applyFont="1" applyBorder="1" applyAlignment="1">
      <alignment vertical="center"/>
    </xf>
    <xf numFmtId="171" fontId="52" fillId="0" borderId="10" xfId="6" applyNumberFormat="1" applyFont="1" applyBorder="1" applyAlignment="1">
      <alignment vertical="center"/>
    </xf>
    <xf numFmtId="171" fontId="52" fillId="0" borderId="0" xfId="6" applyNumberFormat="1" applyFont="1" applyAlignment="1">
      <alignment vertical="center"/>
    </xf>
    <xf numFmtId="171" fontId="52" fillId="0" borderId="7" xfId="6" applyNumberFormat="1" applyFont="1" applyBorder="1" applyAlignment="1">
      <alignment vertical="center"/>
    </xf>
    <xf numFmtId="171" fontId="52" fillId="0" borderId="11" xfId="6" applyNumberFormat="1" applyFont="1" applyBorder="1" applyAlignment="1">
      <alignment vertical="center"/>
    </xf>
    <xf numFmtId="172" fontId="54" fillId="12" borderId="8" xfId="16" applyNumberFormat="1" applyFont="1" applyFill="1" applyBorder="1" applyAlignment="1">
      <alignment vertical="center"/>
    </xf>
    <xf numFmtId="172" fontId="55" fillId="13" borderId="8" xfId="16" applyNumberFormat="1" applyFont="1" applyFill="1" applyBorder="1" applyAlignment="1">
      <alignment vertical="center"/>
    </xf>
    <xf numFmtId="173" fontId="52" fillId="11" borderId="9" xfId="16" applyNumberFormat="1" applyFont="1" applyFill="1" applyBorder="1" applyAlignment="1">
      <alignment horizontal="left" vertical="center" indent="2"/>
    </xf>
    <xf numFmtId="172" fontId="52" fillId="0" borderId="9" xfId="16" applyNumberFormat="1" applyFont="1" applyBorder="1" applyAlignment="1">
      <alignment vertical="center"/>
    </xf>
    <xf numFmtId="173" fontId="52" fillId="11" borderId="10" xfId="16" applyNumberFormat="1" applyFont="1" applyFill="1" applyBorder="1" applyAlignment="1">
      <alignment horizontal="left" vertical="center" indent="2"/>
    </xf>
    <xf numFmtId="172" fontId="52" fillId="0" borderId="10" xfId="16" applyNumberFormat="1" applyFont="1" applyBorder="1" applyAlignment="1">
      <alignment vertical="center"/>
    </xf>
    <xf numFmtId="173" fontId="52" fillId="11" borderId="0" xfId="16" applyNumberFormat="1" applyFont="1" applyFill="1" applyAlignment="1">
      <alignment horizontal="left" vertical="center" indent="3"/>
    </xf>
    <xf numFmtId="172" fontId="52" fillId="0" borderId="0" xfId="16" applyNumberFormat="1" applyFont="1" applyAlignment="1">
      <alignment vertical="center"/>
    </xf>
    <xf numFmtId="173" fontId="52" fillId="11" borderId="7" xfId="16" applyNumberFormat="1" applyFont="1" applyFill="1" applyBorder="1" applyAlignment="1">
      <alignment horizontal="left" vertical="center" indent="3"/>
    </xf>
    <xf numFmtId="172" fontId="52" fillId="0" borderId="7" xfId="16" applyNumberFormat="1" applyFont="1" applyBorder="1" applyAlignment="1">
      <alignment vertical="center"/>
    </xf>
    <xf numFmtId="173" fontId="52" fillId="11" borderId="0" xfId="16" applyNumberFormat="1" applyFont="1" applyFill="1" applyBorder="1" applyAlignment="1">
      <alignment horizontal="left" vertical="center" indent="3"/>
    </xf>
    <xf numFmtId="172" fontId="52" fillId="0" borderId="0" xfId="16" applyNumberFormat="1" applyFont="1" applyBorder="1" applyAlignment="1">
      <alignment vertical="center"/>
    </xf>
    <xf numFmtId="171" fontId="5" fillId="0" borderId="0" xfId="8" applyNumberFormat="1" applyFont="1" applyAlignment="1">
      <alignment horizontal="right"/>
    </xf>
    <xf numFmtId="171" fontId="5" fillId="0" borderId="0" xfId="8" applyNumberFormat="1" applyFont="1"/>
    <xf numFmtId="171" fontId="43" fillId="9" borderId="5" xfId="0" applyNumberFormat="1" applyFont="1" applyFill="1" applyBorder="1" applyAlignment="1">
      <alignment horizontal="right"/>
    </xf>
    <xf numFmtId="9" fontId="29" fillId="15" borderId="0" xfId="16" applyFont="1" applyFill="1"/>
    <xf numFmtId="171" fontId="52" fillId="5" borderId="10" xfId="6" applyNumberFormat="1" applyFont="1" applyFill="1" applyBorder="1" applyAlignment="1">
      <alignment vertical="center"/>
    </xf>
    <xf numFmtId="9" fontId="43" fillId="9" borderId="0" xfId="16" applyFont="1" applyFill="1" applyBorder="1" applyAlignment="1">
      <alignment horizontal="right"/>
    </xf>
    <xf numFmtId="174" fontId="52" fillId="0" borderId="4" xfId="6" applyNumberFormat="1" applyFont="1" applyBorder="1" applyAlignment="1">
      <alignment vertical="center"/>
    </xf>
    <xf numFmtId="1" fontId="52" fillId="11" borderId="4" xfId="6" applyNumberFormat="1" applyFont="1" applyFill="1" applyBorder="1" applyAlignment="1">
      <alignment vertical="center"/>
    </xf>
    <xf numFmtId="3" fontId="54" fillId="12" borderId="8" xfId="6" applyNumberFormat="1" applyFont="1" applyFill="1" applyBorder="1" applyAlignment="1">
      <alignment vertical="center"/>
    </xf>
    <xf numFmtId="0" fontId="58" fillId="13" borderId="8" xfId="6" applyFont="1" applyFill="1" applyBorder="1" applyAlignment="1">
      <alignment horizontal="left" vertical="center" indent="1"/>
    </xf>
    <xf numFmtId="4" fontId="54" fillId="13" borderId="8" xfId="6" applyNumberFormat="1" applyFont="1" applyFill="1" applyBorder="1" applyAlignment="1">
      <alignment vertical="center"/>
    </xf>
    <xf numFmtId="0" fontId="52" fillId="11" borderId="0" xfId="6" applyFont="1" applyFill="1" applyAlignment="1">
      <alignment horizontal="left" vertical="center" indent="2"/>
    </xf>
    <xf numFmtId="4" fontId="52" fillId="0" borderId="0" xfId="6" applyNumberFormat="1" applyFont="1" applyAlignment="1">
      <alignment vertical="center"/>
    </xf>
    <xf numFmtId="0" fontId="52" fillId="11" borderId="7" xfId="6" applyFont="1" applyFill="1" applyBorder="1" applyAlignment="1">
      <alignment horizontal="left" vertical="center" indent="2"/>
    </xf>
    <xf numFmtId="4" fontId="52" fillId="0" borderId="7" xfId="6" applyNumberFormat="1" applyFont="1" applyBorder="1" applyAlignment="1">
      <alignment vertical="center"/>
    </xf>
    <xf numFmtId="0" fontId="52" fillId="11" borderId="4" xfId="6" applyFont="1" applyFill="1" applyBorder="1" applyAlignment="1">
      <alignment horizontal="left" vertical="center" indent="2"/>
    </xf>
    <xf numFmtId="170" fontId="52" fillId="0" borderId="4" xfId="6" applyNumberFormat="1" applyFont="1" applyBorder="1" applyAlignment="1">
      <alignment vertical="center"/>
    </xf>
    <xf numFmtId="0" fontId="59" fillId="11" borderId="12" xfId="6" applyFont="1" applyFill="1" applyBorder="1" applyAlignment="1">
      <alignment horizontal="left" vertical="center" indent="3"/>
    </xf>
    <xf numFmtId="170" fontId="52" fillId="0" borderId="12" xfId="6" applyNumberFormat="1" applyFont="1" applyBorder="1" applyAlignment="1">
      <alignment vertical="center"/>
    </xf>
    <xf numFmtId="0" fontId="59" fillId="11" borderId="0" xfId="6" applyFont="1" applyFill="1" applyAlignment="1">
      <alignment horizontal="left" vertical="center" indent="4"/>
    </xf>
    <xf numFmtId="0" fontId="59" fillId="11" borderId="7" xfId="6" applyFont="1" applyFill="1" applyBorder="1" applyAlignment="1">
      <alignment horizontal="left" vertical="center" indent="4"/>
    </xf>
    <xf numFmtId="175" fontId="57" fillId="14" borderId="8" xfId="6" applyNumberFormat="1" applyFont="1" applyFill="1" applyBorder="1" applyAlignment="1">
      <alignment vertical="center"/>
    </xf>
    <xf numFmtId="175" fontId="60" fillId="14" borderId="8" xfId="6" applyNumberFormat="1" applyFont="1" applyFill="1" applyBorder="1" applyAlignment="1">
      <alignment vertical="center"/>
    </xf>
    <xf numFmtId="9" fontId="52" fillId="11" borderId="0" xfId="16" applyFont="1" applyFill="1" applyAlignment="1">
      <alignment vertical="center"/>
    </xf>
    <xf numFmtId="4" fontId="36" fillId="0" borderId="0" xfId="8" applyNumberFormat="1" applyFont="1"/>
    <xf numFmtId="0" fontId="11" fillId="0" borderId="0" xfId="4" applyFont="1"/>
    <xf numFmtId="176" fontId="13" fillId="0" borderId="0" xfId="14" applyNumberFormat="1" applyFont="1"/>
    <xf numFmtId="0" fontId="13" fillId="0" borderId="0" xfId="14" applyFont="1"/>
    <xf numFmtId="177" fontId="13" fillId="0" borderId="0" xfId="14" applyNumberFormat="1" applyFont="1"/>
    <xf numFmtId="176" fontId="11" fillId="0" borderId="0" xfId="14" applyNumberFormat="1" applyFont="1"/>
    <xf numFmtId="0" fontId="11" fillId="0" borderId="0" xfId="14" applyFont="1"/>
    <xf numFmtId="3" fontId="13" fillId="0" borderId="0" xfId="14" applyNumberFormat="1" applyFont="1"/>
    <xf numFmtId="0" fontId="11" fillId="0" borderId="0" xfId="14" applyFont="1" applyAlignment="1">
      <alignment horizontal="left"/>
    </xf>
    <xf numFmtId="3" fontId="11" fillId="0" borderId="13" xfId="14" applyNumberFormat="1" applyFont="1" applyBorder="1"/>
    <xf numFmtId="0" fontId="14" fillId="0" borderId="13" xfId="14" applyFont="1" applyBorder="1"/>
    <xf numFmtId="3" fontId="11" fillId="0" borderId="14" xfId="14" applyNumberFormat="1" applyFont="1" applyBorder="1"/>
    <xf numFmtId="0" fontId="14" fillId="0" borderId="14" xfId="14" applyFont="1" applyBorder="1"/>
    <xf numFmtId="3" fontId="11" fillId="0" borderId="14" xfId="12" applyNumberFormat="1" applyFont="1" applyBorder="1"/>
    <xf numFmtId="3" fontId="11" fillId="0" borderId="14" xfId="14" applyNumberFormat="1" applyFont="1" applyBorder="1" applyAlignment="1">
      <alignment horizontal="right"/>
    </xf>
    <xf numFmtId="0" fontId="14" fillId="0" borderId="14" xfId="14" applyFont="1" applyBorder="1" applyAlignment="1">
      <alignment horizontal="left"/>
    </xf>
    <xf numFmtId="3" fontId="11" fillId="0" borderId="0" xfId="12" applyNumberFormat="1" applyFont="1"/>
    <xf numFmtId="174" fontId="11" fillId="0" borderId="0" xfId="4" applyNumberFormat="1" applyFont="1"/>
    <xf numFmtId="3" fontId="14" fillId="0" borderId="14" xfId="12" applyNumberFormat="1" applyFont="1" applyBorder="1"/>
    <xf numFmtId="3" fontId="15" fillId="0" borderId="15" xfId="14" applyNumberFormat="1" applyFont="1" applyBorder="1"/>
    <xf numFmtId="3" fontId="14" fillId="0" borderId="16" xfId="12" applyNumberFormat="1" applyFont="1" applyBorder="1"/>
    <xf numFmtId="3" fontId="13" fillId="0" borderId="15" xfId="14" applyNumberFormat="1" applyFont="1" applyBorder="1"/>
    <xf numFmtId="0" fontId="11" fillId="0" borderId="14" xfId="14" applyFont="1" applyBorder="1"/>
    <xf numFmtId="3" fontId="14" fillId="0" borderId="13" xfId="12" applyNumberFormat="1" applyFont="1" applyBorder="1"/>
    <xf numFmtId="3" fontId="14" fillId="0" borderId="17" xfId="12" applyNumberFormat="1" applyFont="1" applyBorder="1"/>
    <xf numFmtId="3" fontId="14" fillId="0" borderId="18" xfId="14" applyNumberFormat="1" applyFont="1" applyBorder="1"/>
    <xf numFmtId="1" fontId="11" fillId="0" borderId="0" xfId="4" applyNumberFormat="1" applyFont="1"/>
    <xf numFmtId="3" fontId="11" fillId="0" borderId="15" xfId="14" applyNumberFormat="1" applyFont="1" applyBorder="1"/>
    <xf numFmtId="0" fontId="15" fillId="0" borderId="16" xfId="14" applyFont="1" applyBorder="1"/>
    <xf numFmtId="0" fontId="15" fillId="0" borderId="19" xfId="14" applyFont="1" applyBorder="1"/>
    <xf numFmtId="0" fontId="15" fillId="0" borderId="15" xfId="14" applyFont="1" applyBorder="1"/>
    <xf numFmtId="0" fontId="15" fillId="0" borderId="13" xfId="14" applyFont="1" applyBorder="1"/>
    <xf numFmtId="0" fontId="14" fillId="0" borderId="13" xfId="14" applyFont="1" applyBorder="1" applyAlignment="1">
      <alignment horizontal="center"/>
    </xf>
    <xf numFmtId="0" fontId="14" fillId="0" borderId="14" xfId="14" applyFont="1" applyBorder="1" applyAlignment="1">
      <alignment horizontal="center"/>
    </xf>
    <xf numFmtId="0" fontId="14" fillId="0" borderId="16" xfId="14" applyFont="1" applyBorder="1" applyAlignment="1">
      <alignment horizontal="center"/>
    </xf>
    <xf numFmtId="0" fontId="11" fillId="0" borderId="0" xfId="14" applyFont="1" applyAlignment="1">
      <alignment horizontal="center"/>
    </xf>
    <xf numFmtId="0" fontId="14" fillId="0" borderId="0" xfId="14" applyFont="1" applyAlignment="1">
      <alignment horizontal="left"/>
    </xf>
    <xf numFmtId="0" fontId="11" fillId="0" borderId="0" xfId="4" applyFont="1" applyAlignment="1">
      <alignment horizontal="left"/>
    </xf>
    <xf numFmtId="0" fontId="11" fillId="0" borderId="0" xfId="4" applyFont="1" applyAlignment="1">
      <alignment horizontal="centerContinuous"/>
    </xf>
    <xf numFmtId="3" fontId="11" fillId="0" borderId="0" xfId="4" applyNumberFormat="1" applyFont="1"/>
    <xf numFmtId="173" fontId="0" fillId="0" borderId="0" xfId="0" applyNumberFormat="1"/>
    <xf numFmtId="173" fontId="29" fillId="0" borderId="0" xfId="16" applyNumberFormat="1" applyFont="1"/>
    <xf numFmtId="178" fontId="29" fillId="0" borderId="0" xfId="16" applyNumberFormat="1" applyFont="1"/>
    <xf numFmtId="0" fontId="11" fillId="0" borderId="0" xfId="11" applyFont="1"/>
    <xf numFmtId="0" fontId="14" fillId="0" borderId="0" xfId="11" applyFont="1"/>
    <xf numFmtId="0" fontId="14" fillId="0" borderId="20" xfId="11" applyFont="1" applyBorder="1" applyAlignment="1">
      <alignment horizontal="center" vertical="center" wrapText="1"/>
    </xf>
    <xf numFmtId="0" fontId="14" fillId="0" borderId="14" xfId="11" applyFont="1" applyBorder="1" applyAlignment="1">
      <alignment horizontal="center"/>
    </xf>
    <xf numFmtId="0" fontId="11" fillId="0" borderId="14" xfId="11" applyFont="1" applyBorder="1"/>
    <xf numFmtId="0" fontId="14" fillId="0" borderId="14" xfId="11" applyFont="1" applyBorder="1"/>
    <xf numFmtId="176" fontId="11" fillId="0" borderId="15" xfId="11" applyNumberFormat="1" applyFont="1" applyBorder="1"/>
    <xf numFmtId="0" fontId="14" fillId="0" borderId="13" xfId="11" applyFont="1" applyBorder="1" applyAlignment="1">
      <alignment vertical="center"/>
    </xf>
    <xf numFmtId="176" fontId="14" fillId="0" borderId="13" xfId="11" applyNumberFormat="1" applyFont="1" applyBorder="1" applyAlignment="1">
      <alignment vertical="center"/>
    </xf>
    <xf numFmtId="0" fontId="11" fillId="0" borderId="0" xfId="11" applyFont="1" applyAlignment="1">
      <alignment vertical="center"/>
    </xf>
    <xf numFmtId="176" fontId="11" fillId="0" borderId="14" xfId="11" applyNumberFormat="1" applyFont="1" applyBorder="1"/>
    <xf numFmtId="0" fontId="14" fillId="0" borderId="13" xfId="11" applyFont="1" applyBorder="1" applyAlignment="1">
      <alignment horizontal="center" vertical="center"/>
    </xf>
    <xf numFmtId="0" fontId="14" fillId="0" borderId="0" xfId="11" applyFont="1" applyAlignment="1">
      <alignment horizontal="center" vertical="center"/>
    </xf>
    <xf numFmtId="176" fontId="14" fillId="0" borderId="0" xfId="11" applyNumberFormat="1" applyFont="1" applyAlignment="1">
      <alignment vertical="center"/>
    </xf>
    <xf numFmtId="174" fontId="11" fillId="0" borderId="0" xfId="11" applyNumberFormat="1" applyFont="1"/>
    <xf numFmtId="0" fontId="18" fillId="0" borderId="0" xfId="14" applyFont="1"/>
    <xf numFmtId="176" fontId="14" fillId="0" borderId="0" xfId="14" applyNumberFormat="1" applyFont="1"/>
    <xf numFmtId="0" fontId="15" fillId="0" borderId="0" xfId="11" applyFont="1"/>
    <xf numFmtId="0" fontId="11" fillId="0" borderId="0" xfId="11" applyFont="1" applyAlignment="1">
      <alignment horizontal="right"/>
    </xf>
    <xf numFmtId="171" fontId="11" fillId="0" borderId="0" xfId="11" applyNumberFormat="1" applyFont="1"/>
    <xf numFmtId="0" fontId="13" fillId="0" borderId="0" xfId="11" applyFont="1"/>
    <xf numFmtId="0" fontId="19" fillId="0" borderId="0" xfId="11" applyFont="1" applyAlignment="1">
      <alignment horizontal="right"/>
    </xf>
    <xf numFmtId="3" fontId="19" fillId="0" borderId="0" xfId="11" applyNumberFormat="1" applyFont="1"/>
    <xf numFmtId="3" fontId="11" fillId="0" borderId="0" xfId="11" applyNumberFormat="1" applyFont="1"/>
    <xf numFmtId="173" fontId="11" fillId="0" borderId="0" xfId="19" applyNumberFormat="1" applyFont="1"/>
    <xf numFmtId="14" fontId="11" fillId="0" borderId="0" xfId="11" applyNumberFormat="1" applyFont="1"/>
    <xf numFmtId="176" fontId="20" fillId="0" borderId="0" xfId="11" applyNumberFormat="1" applyFont="1"/>
    <xf numFmtId="9" fontId="11" fillId="0" borderId="0" xfId="19" applyFont="1"/>
    <xf numFmtId="9" fontId="14" fillId="0" borderId="0" xfId="19" applyFont="1"/>
    <xf numFmtId="176" fontId="11" fillId="0" borderId="0" xfId="11" applyNumberFormat="1" applyFont="1"/>
    <xf numFmtId="9" fontId="19" fillId="0" borderId="0" xfId="19" applyFont="1"/>
    <xf numFmtId="9" fontId="21" fillId="0" borderId="0" xfId="19" applyFont="1"/>
    <xf numFmtId="0" fontId="14" fillId="0" borderId="20" xfId="11" applyFont="1" applyBorder="1"/>
    <xf numFmtId="0" fontId="14" fillId="0" borderId="20" xfId="11" applyFont="1" applyBorder="1" applyAlignment="1">
      <alignment horizontal="center"/>
    </xf>
    <xf numFmtId="9" fontId="0" fillId="0" borderId="20" xfId="0" applyNumberFormat="1" applyBorder="1" applyAlignment="1">
      <alignment horizontal="center"/>
    </xf>
    <xf numFmtId="0" fontId="15" fillId="0" borderId="0" xfId="14" applyFont="1"/>
    <xf numFmtId="0" fontId="14" fillId="0" borderId="0" xfId="14" applyFont="1" applyAlignment="1">
      <alignment horizontal="center"/>
    </xf>
    <xf numFmtId="3" fontId="14" fillId="0" borderId="0" xfId="12" applyNumberFormat="1" applyFont="1"/>
    <xf numFmtId="3" fontId="11" fillId="0" borderId="0" xfId="14" applyNumberFormat="1" applyFont="1"/>
    <xf numFmtId="173" fontId="0" fillId="0" borderId="20" xfId="0" applyNumberFormat="1" applyBorder="1"/>
    <xf numFmtId="173" fontId="29" fillId="0" borderId="20" xfId="16" applyNumberFormat="1" applyFont="1" applyBorder="1" applyAlignment="1"/>
    <xf numFmtId="3" fontId="52" fillId="11" borderId="0" xfId="6" applyNumberFormat="1" applyFont="1" applyFill="1" applyAlignment="1">
      <alignment vertical="center"/>
    </xf>
    <xf numFmtId="170" fontId="52" fillId="11" borderId="0" xfId="6" applyNumberFormat="1" applyFont="1" applyFill="1" applyAlignment="1">
      <alignment vertical="center"/>
    </xf>
    <xf numFmtId="0" fontId="52" fillId="11" borderId="20" xfId="6" applyFont="1" applyFill="1" applyBorder="1" applyAlignment="1">
      <alignment vertical="center"/>
    </xf>
    <xf numFmtId="0" fontId="52" fillId="11" borderId="16" xfId="6" applyFont="1" applyFill="1" applyBorder="1" applyAlignment="1">
      <alignment vertical="center"/>
    </xf>
    <xf numFmtId="0" fontId="52" fillId="11" borderId="13" xfId="6" applyFont="1" applyFill="1" applyBorder="1" applyAlignment="1">
      <alignment vertical="center"/>
    </xf>
    <xf numFmtId="0" fontId="51" fillId="11" borderId="20" xfId="6" applyFont="1" applyFill="1" applyBorder="1" applyAlignment="1">
      <alignment vertical="center"/>
    </xf>
    <xf numFmtId="3" fontId="51" fillId="11" borderId="20" xfId="6" applyNumberFormat="1" applyFont="1" applyFill="1" applyBorder="1" applyAlignment="1">
      <alignment vertical="center"/>
    </xf>
    <xf numFmtId="166" fontId="51" fillId="11" borderId="20" xfId="6" applyNumberFormat="1" applyFont="1" applyFill="1" applyBorder="1" applyAlignment="1">
      <alignment vertical="center"/>
    </xf>
    <xf numFmtId="170" fontId="51" fillId="11" borderId="20" xfId="6" applyNumberFormat="1" applyFont="1" applyFill="1" applyBorder="1" applyAlignment="1">
      <alignment vertical="center"/>
    </xf>
    <xf numFmtId="0" fontId="53" fillId="12" borderId="21" xfId="6" applyFont="1" applyFill="1" applyBorder="1" applyAlignment="1">
      <alignment horizontal="left" vertical="center"/>
    </xf>
    <xf numFmtId="166" fontId="52" fillId="11" borderId="15" xfId="6" applyNumberFormat="1" applyFont="1" applyFill="1" applyBorder="1" applyAlignment="1">
      <alignment vertical="center"/>
    </xf>
    <xf numFmtId="0" fontId="52" fillId="11" borderId="15" xfId="6" applyFont="1" applyFill="1" applyBorder="1" applyAlignment="1">
      <alignment vertical="center"/>
    </xf>
    <xf numFmtId="4" fontId="36" fillId="4" borderId="0" xfId="8" applyNumberFormat="1" applyFont="1" applyFill="1"/>
    <xf numFmtId="176" fontId="11" fillId="0" borderId="20" xfId="11" applyNumberFormat="1" applyFont="1" applyBorder="1" applyAlignment="1">
      <alignment horizontal="center"/>
    </xf>
    <xf numFmtId="9" fontId="11" fillId="0" borderId="20" xfId="16" applyFont="1" applyBorder="1" applyAlignment="1">
      <alignment horizontal="center"/>
    </xf>
    <xf numFmtId="0" fontId="11" fillId="0" borderId="20" xfId="11" applyFont="1" applyBorder="1" applyAlignment="1">
      <alignment horizontal="center"/>
    </xf>
    <xf numFmtId="0" fontId="11" fillId="0" borderId="20" xfId="4" applyFont="1" applyBorder="1"/>
    <xf numFmtId="0" fontId="14" fillId="0" borderId="20" xfId="4" applyFont="1" applyBorder="1" applyAlignment="1">
      <alignment horizontal="center"/>
    </xf>
    <xf numFmtId="1" fontId="11" fillId="0" borderId="20" xfId="4" applyNumberFormat="1" applyFont="1" applyBorder="1"/>
    <xf numFmtId="3" fontId="11" fillId="0" borderId="20" xfId="4" applyNumberFormat="1" applyFont="1" applyBorder="1"/>
    <xf numFmtId="9" fontId="11" fillId="0" borderId="20" xfId="16" applyFont="1" applyBorder="1"/>
    <xf numFmtId="0" fontId="11" fillId="0" borderId="13" xfId="4" applyFont="1" applyBorder="1"/>
    <xf numFmtId="0" fontId="11" fillId="0" borderId="7" xfId="4" applyFont="1" applyBorder="1"/>
    <xf numFmtId="0" fontId="14" fillId="0" borderId="13" xfId="4" applyFont="1" applyBorder="1"/>
    <xf numFmtId="0" fontId="14" fillId="0" borderId="20" xfId="4" applyFont="1" applyBorder="1"/>
    <xf numFmtId="3" fontId="11" fillId="0" borderId="13" xfId="4" applyNumberFormat="1" applyFont="1" applyBorder="1"/>
    <xf numFmtId="1" fontId="11" fillId="0" borderId="8" xfId="4" applyNumberFormat="1" applyFont="1" applyBorder="1"/>
    <xf numFmtId="0" fontId="11" fillId="0" borderId="8" xfId="4" applyFont="1" applyBorder="1"/>
    <xf numFmtId="1" fontId="14" fillId="0" borderId="13" xfId="4" applyNumberFormat="1" applyFont="1" applyBorder="1"/>
    <xf numFmtId="1" fontId="14" fillId="0" borderId="20" xfId="4" applyNumberFormat="1" applyFont="1" applyBorder="1"/>
    <xf numFmtId="0" fontId="32" fillId="0" borderId="20" xfId="0" applyFont="1" applyBorder="1" applyAlignment="1">
      <alignment horizontal="center"/>
    </xf>
    <xf numFmtId="4" fontId="5" fillId="0" borderId="0" xfId="9" applyNumberFormat="1" applyFont="1"/>
    <xf numFmtId="4" fontId="5" fillId="16" borderId="0" xfId="8" applyNumberFormat="1" applyFont="1" applyFill="1"/>
    <xf numFmtId="4" fontId="36" fillId="16" borderId="0" xfId="8" applyNumberFormat="1" applyFont="1" applyFill="1"/>
    <xf numFmtId="2" fontId="5" fillId="16" borderId="0" xfId="8" applyNumberFormat="1" applyFont="1" applyFill="1"/>
    <xf numFmtId="2" fontId="39" fillId="0" borderId="0" xfId="8" applyNumberFormat="1" applyFont="1"/>
    <xf numFmtId="2" fontId="39" fillId="4" borderId="0" xfId="8" applyNumberFormat="1" applyFont="1" applyFill="1"/>
    <xf numFmtId="2" fontId="36" fillId="4" borderId="0" xfId="8" applyNumberFormat="1" applyFont="1" applyFill="1"/>
    <xf numFmtId="2" fontId="36" fillId="0" borderId="0" xfId="8" applyNumberFormat="1" applyFont="1"/>
    <xf numFmtId="2" fontId="5" fillId="0" borderId="0" xfId="8" applyNumberFormat="1" applyFont="1" applyAlignment="1">
      <alignment horizontal="right"/>
    </xf>
    <xf numFmtId="2" fontId="5" fillId="0" borderId="0" xfId="9" applyNumberFormat="1" applyFont="1"/>
    <xf numFmtId="0" fontId="49" fillId="0" borderId="0" xfId="8" applyFont="1" applyAlignment="1">
      <alignment horizontal="left" vertical="top" wrapText="1"/>
    </xf>
    <xf numFmtId="0" fontId="16" fillId="0" borderId="0" xfId="11" applyFont="1" applyAlignment="1">
      <alignment horizontal="center"/>
    </xf>
    <xf numFmtId="0" fontId="16" fillId="0" borderId="0" xfId="14" applyFont="1" applyAlignment="1">
      <alignment horizontal="center"/>
    </xf>
    <xf numFmtId="0" fontId="47" fillId="0" borderId="0" xfId="10" applyFont="1" applyAlignment="1">
      <alignment horizontal="center"/>
    </xf>
    <xf numFmtId="0" fontId="0" fillId="0" borderId="0" xfId="0" applyAlignment="1">
      <alignment horizontal="center"/>
    </xf>
    <xf numFmtId="0" fontId="31" fillId="2" borderId="22" xfId="15" applyAlignment="1">
      <alignment horizontal="center"/>
    </xf>
    <xf numFmtId="0" fontId="31" fillId="2" borderId="22" xfId="15" applyAlignment="1">
      <alignment horizontal="center" vertical="center"/>
    </xf>
    <xf numFmtId="0" fontId="6" fillId="17" borderId="0" xfId="8" applyFont="1" applyFill="1"/>
  </cellXfs>
  <cellStyles count="20">
    <cellStyle name="Comma 2" xfId="1" xr:uid="{00000000-0005-0000-0000-000000000000}"/>
    <cellStyle name="Comma 2 2" xfId="2" xr:uid="{00000000-0005-0000-0000-000001000000}"/>
    <cellStyle name="Motif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3" xfId="7" xr:uid="{00000000-0005-0000-0000-000007000000}"/>
    <cellStyle name="Normal 4" xfId="8" xr:uid="{00000000-0005-0000-0000-000008000000}"/>
    <cellStyle name="Normal 4 2" xfId="9" xr:uid="{00000000-0005-0000-0000-000009000000}"/>
    <cellStyle name="Normal 5" xfId="10" xr:uid="{00000000-0005-0000-0000-00000A000000}"/>
    <cellStyle name="Normal 6" xfId="11" xr:uid="{00000000-0005-0000-0000-00000B000000}"/>
    <cellStyle name="Normal_2IF1" xfId="12" xr:uid="{00000000-0005-0000-0000-00000C000000}"/>
    <cellStyle name="Normal_Feuil1" xfId="13" xr:uid="{00000000-0005-0000-0000-00000D000000}"/>
    <cellStyle name="Normal_Feuil1 2" xfId="14" xr:uid="{00000000-0005-0000-0000-00000E000000}"/>
    <cellStyle name="Percent 2" xfId="17" xr:uid="{00000000-0005-0000-0000-000011000000}"/>
    <cellStyle name="Pourcentage" xfId="16" builtinId="5"/>
    <cellStyle name="Pourcentage 2" xfId="18" xr:uid="{00000000-0005-0000-0000-000012000000}"/>
    <cellStyle name="Pourcentage 3" xfId="19" xr:uid="{00000000-0005-0000-0000-000013000000}"/>
    <cellStyle name="Sortie" xfId="15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BUIL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ING"/>
      <sheetName val="BUILDING_AJT"/>
      <sheetName val="BUILDING_OLD"/>
      <sheetName val="exo_realistic_BUILDING"/>
      <sheetName val="Conso par classe et par vecteur"/>
      <sheetName val="Parc par classe"/>
      <sheetName val="Parc et conso par vecteur_CEREN"/>
      <sheetName val="Conso 1982-2018_CEREN"/>
      <sheetName val="Parc et conso par vecteur bis_C"/>
      <sheetName val="Conso par statut d'occup_CEREN"/>
      <sheetName val="Conso par usage_CEREN"/>
    </sheetNames>
    <sheetDataSet>
      <sheetData sheetId="0">
        <row r="33">
          <cell r="C33">
            <v>8.0773833481984883E-4</v>
          </cell>
          <cell r="D33">
            <v>0.13638863485197683</v>
          </cell>
          <cell r="E33">
            <v>0.6621196610189819</v>
          </cell>
          <cell r="F33">
            <v>3.4290509379990568</v>
          </cell>
          <cell r="G33">
            <v>4.5170993943343527</v>
          </cell>
          <cell r="H33">
            <v>3.443097395541705</v>
          </cell>
          <cell r="I33">
            <v>0.12684803482837897</v>
          </cell>
        </row>
        <row r="34">
          <cell r="C34">
            <v>8.2057041250508597E-3</v>
          </cell>
          <cell r="D34">
            <v>0.13948072124967975</v>
          </cell>
          <cell r="E34">
            <v>1.3007746657781549</v>
          </cell>
          <cell r="F34">
            <v>5.8237649300313219</v>
          </cell>
          <cell r="G34">
            <v>4.0383072681522663</v>
          </cell>
          <cell r="H34">
            <v>4.3505009867067373E-2</v>
          </cell>
          <cell r="I34">
            <v>1.3207823298100265E-4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290"/>
  <sheetViews>
    <sheetView tabSelected="1" zoomScale="115" zoomScaleNormal="115" workbookViewId="0">
      <pane xSplit="2" ySplit="2" topLeftCell="C7" activePane="bottomRight" state="frozen"/>
      <selection pane="topRight" activeCell="D1" sqref="D1"/>
      <selection pane="bottomLeft" activeCell="A4" sqref="A4"/>
      <selection pane="bottomRight" activeCell="B29" sqref="B29"/>
    </sheetView>
  </sheetViews>
  <sheetFormatPr baseColWidth="10" defaultColWidth="11.5" defaultRowHeight="11"/>
  <cols>
    <col min="1" max="1" width="67.33203125" style="1" bestFit="1" customWidth="1"/>
    <col min="2" max="2" width="15.6640625" style="1" bestFit="1" customWidth="1"/>
    <col min="3" max="3" width="14" style="1" customWidth="1"/>
    <col min="4" max="6" width="11.5" style="1" customWidth="1"/>
    <col min="7" max="7" width="12.5" style="1" bestFit="1" customWidth="1"/>
    <col min="8" max="10" width="11.5" style="1" customWidth="1"/>
    <col min="11" max="11" width="8.5" style="1" customWidth="1"/>
    <col min="12" max="12" width="11.6640625" style="1" customWidth="1"/>
    <col min="13" max="13" width="118.5" style="4" bestFit="1" customWidth="1"/>
    <col min="14" max="15" width="11.5" style="1" customWidth="1"/>
    <col min="16" max="16" width="16.5" style="1" customWidth="1"/>
    <col min="17" max="17" width="13.5" style="1" customWidth="1"/>
    <col min="18" max="18" width="15.5" style="1" customWidth="1"/>
    <col min="19" max="19" width="13.83203125" style="1" customWidth="1"/>
    <col min="20" max="20" width="15.1640625" style="1" customWidth="1"/>
    <col min="21" max="21" width="15.5" style="1" bestFit="1" customWidth="1"/>
    <col min="22" max="22" width="14.5" style="1" customWidth="1"/>
    <col min="23" max="23" width="13.1640625" style="1" customWidth="1"/>
    <col min="24" max="24" width="21.83203125" style="1" customWidth="1"/>
    <col min="25" max="26" width="11.5" style="1" customWidth="1"/>
    <col min="27" max="27" width="13.5" style="1" customWidth="1"/>
    <col min="28" max="28" width="11.5" style="1" customWidth="1"/>
    <col min="29" max="29" width="23.5" style="1" customWidth="1"/>
    <col min="30" max="32" width="21.5" style="1" customWidth="1"/>
    <col min="33" max="33" width="22.5" style="1" customWidth="1"/>
    <col min="34" max="38" width="16" style="1" customWidth="1"/>
    <col min="39" max="39" width="23.1640625" style="1" customWidth="1"/>
    <col min="40" max="40" width="16.5" style="1" customWidth="1"/>
    <col min="41" max="41" width="11.5" style="1" customWidth="1"/>
    <col min="42" max="42" width="23.1640625" style="1" bestFit="1" customWidth="1"/>
    <col min="43" max="43" width="8.83203125" style="1" customWidth="1"/>
    <col min="44" max="44" width="12.5" style="1" customWidth="1"/>
    <col min="45" max="16384" width="11.5" style="1"/>
  </cols>
  <sheetData>
    <row r="1" spans="1:46" ht="16">
      <c r="C1" s="2" t="s">
        <v>8</v>
      </c>
      <c r="D1" s="3"/>
      <c r="E1" s="3"/>
      <c r="F1" s="3"/>
      <c r="G1" s="3"/>
      <c r="H1" s="3"/>
      <c r="I1" s="3"/>
      <c r="J1" s="3"/>
      <c r="N1" s="43" t="s">
        <v>66</v>
      </c>
      <c r="Q1" s="4"/>
      <c r="R1" s="5"/>
      <c r="U1" s="4"/>
      <c r="AG1" s="5"/>
      <c r="AT1" s="4"/>
    </row>
    <row r="2" spans="1:46">
      <c r="A2" s="4" t="s">
        <v>362</v>
      </c>
      <c r="B2" s="4" t="s">
        <v>354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0</v>
      </c>
      <c r="K2" s="4"/>
      <c r="L2" s="4"/>
      <c r="M2" s="4" t="s">
        <v>355</v>
      </c>
      <c r="N2" s="5" t="s">
        <v>77</v>
      </c>
      <c r="O2" s="4"/>
      <c r="R2" s="6"/>
      <c r="U2" s="4"/>
      <c r="V2" s="4"/>
      <c r="W2" s="4"/>
      <c r="X2" s="4"/>
      <c r="Y2" s="4"/>
      <c r="Z2" s="4"/>
      <c r="AA2" s="4"/>
      <c r="AB2" s="4"/>
      <c r="AG2" s="5"/>
      <c r="AT2" s="4"/>
    </row>
    <row r="3" spans="1:46">
      <c r="A3" s="1" t="s">
        <v>22</v>
      </c>
      <c r="B3" s="4" t="s">
        <v>350</v>
      </c>
      <c r="C3" s="41">
        <f>$L3*'Parc VP par PF'!V$5</f>
        <v>9.8427898651574193</v>
      </c>
      <c r="D3" s="41">
        <f>$L3*'Parc VP par PF'!W$5</f>
        <v>11.445717414908088</v>
      </c>
      <c r="E3" s="41">
        <f>$L3*'Parc VP par PF'!X$5</f>
        <v>9.4015406208139911</v>
      </c>
      <c r="F3" s="41">
        <f>$L3*'Parc VP par PF'!Y$5</f>
        <v>5.7700712715111573</v>
      </c>
      <c r="G3" s="41">
        <f>$L3*'Parc VP par PF'!Z$5</f>
        <v>3.4730440960963973</v>
      </c>
      <c r="H3" s="41">
        <f>$L3*'Parc VP par PF'!AA$5</f>
        <v>1.7251505173818842</v>
      </c>
      <c r="I3" s="41">
        <f>$L3*'Parc VP par PF'!AB$5</f>
        <v>3.1066862141310607</v>
      </c>
      <c r="J3" s="13">
        <f>SUM(C3:I3)</f>
        <v>44.764999999999993</v>
      </c>
      <c r="K3" s="29"/>
      <c r="L3" s="288">
        <f>JRC_TrRoad_act!Q66/1000</f>
        <v>44.765000000000001</v>
      </c>
      <c r="M3" s="4" t="s">
        <v>313</v>
      </c>
      <c r="N3" s="5" t="s">
        <v>62</v>
      </c>
      <c r="O3" s="4"/>
      <c r="P3" s="4"/>
      <c r="Q3" s="4"/>
      <c r="R3" s="4"/>
      <c r="S3" s="4"/>
      <c r="T3" s="4"/>
      <c r="U3" s="15"/>
      <c r="V3" s="15"/>
      <c r="W3" s="15"/>
      <c r="X3" s="15"/>
      <c r="Y3" s="15"/>
      <c r="Z3" s="15"/>
      <c r="AA3" s="15"/>
      <c r="AB3" s="15"/>
      <c r="AC3" s="4"/>
      <c r="AD3" s="4"/>
      <c r="AE3" s="4"/>
      <c r="AF3" s="4"/>
      <c r="AG3" s="4"/>
      <c r="AH3" s="4"/>
      <c r="AI3" s="4"/>
      <c r="AJ3" s="4"/>
      <c r="AK3" s="4"/>
      <c r="AL3" s="4"/>
      <c r="AN3" s="9"/>
      <c r="AO3" s="4"/>
      <c r="AP3" s="4"/>
      <c r="AQ3" s="4"/>
    </row>
    <row r="4" spans="1:46">
      <c r="A4" s="1" t="s">
        <v>23</v>
      </c>
      <c r="B4" s="4" t="s">
        <v>332</v>
      </c>
      <c r="C4" s="41">
        <f>$L4*'Parc VP par PF'!V$5</f>
        <v>7095.7005251438113</v>
      </c>
      <c r="D4" s="41">
        <f>$L4*'Parc VP par PF'!W$5</f>
        <v>8251.2564206116058</v>
      </c>
      <c r="E4" s="41">
        <f>$L4*'Parc VP par PF'!X$5</f>
        <v>6777.6024515589706</v>
      </c>
      <c r="F4" s="41">
        <f>$L4*'Parc VP par PF'!Y$5</f>
        <v>4159.6639075179655</v>
      </c>
      <c r="G4" s="41">
        <f>$L4*'Parc VP par PF'!Z$5</f>
        <v>2503.7292428394931</v>
      </c>
      <c r="H4" s="41">
        <f>$L4*'Parc VP par PF'!AA$5</f>
        <v>1243.6668464772692</v>
      </c>
      <c r="I4" s="41">
        <f>$L4*'Parc VP par PF'!AB$5</f>
        <v>2239.6206058508847</v>
      </c>
      <c r="J4" s="13">
        <f>SUM(C4:I4)</f>
        <v>32271.24</v>
      </c>
      <c r="K4" s="29"/>
      <c r="L4" s="288">
        <f>SUM(JRC_TrRoad_act!Q61:Q63)/1000</f>
        <v>32271.24</v>
      </c>
      <c r="N4" s="5" t="s">
        <v>63</v>
      </c>
      <c r="O4" s="4"/>
      <c r="P4" s="4"/>
      <c r="Q4" s="4"/>
      <c r="R4" s="4"/>
      <c r="S4" s="4"/>
      <c r="T4" s="4"/>
      <c r="U4" s="15"/>
      <c r="V4" s="15"/>
      <c r="W4" s="15"/>
      <c r="X4" s="15"/>
      <c r="Y4" s="15"/>
      <c r="Z4" s="15"/>
      <c r="AA4" s="15"/>
      <c r="AB4" s="15"/>
      <c r="AC4" s="4"/>
      <c r="AD4" s="4"/>
      <c r="AE4" s="4"/>
      <c r="AF4" s="4"/>
      <c r="AG4" s="4"/>
      <c r="AH4" s="4"/>
      <c r="AI4" s="4"/>
      <c r="AJ4" s="4"/>
      <c r="AK4" s="4"/>
      <c r="AL4" s="4"/>
      <c r="AN4" s="9"/>
      <c r="AO4" s="4"/>
      <c r="AP4" s="4"/>
      <c r="AQ4" s="4"/>
    </row>
    <row r="5" spans="1:46">
      <c r="A5" s="1" t="s">
        <v>24</v>
      </c>
      <c r="B5" s="4" t="s">
        <v>348</v>
      </c>
      <c r="C5" s="41">
        <f>$L5*'Parc VP par PF'!V$5</f>
        <v>0.42568169728459204</v>
      </c>
      <c r="D5" s="41">
        <f>$L5*'Parc VP par PF'!W$5</f>
        <v>0.49500522540516162</v>
      </c>
      <c r="E5" s="41">
        <f>$L5*'Parc VP par PF'!X$5</f>
        <v>0.40659851763422067</v>
      </c>
      <c r="F5" s="41">
        <f>$L5*'Parc VP par PF'!Y$5</f>
        <v>0.24954446513225959</v>
      </c>
      <c r="G5" s="41">
        <f>$L5*'Parc VP par PF'!Z$5</f>
        <v>0.15020246554322852</v>
      </c>
      <c r="H5" s="41">
        <f>$L5*'Parc VP par PF'!AA$5</f>
        <v>7.4609435980148048E-2</v>
      </c>
      <c r="I5" s="41">
        <f>$L5*'Parc VP par PF'!AB$5</f>
        <v>0.13435819302038945</v>
      </c>
      <c r="J5" s="13">
        <f>SUM(C5:I5)</f>
        <v>1.9359999999999999</v>
      </c>
      <c r="K5" s="29"/>
      <c r="L5" s="288">
        <f>JRC_TrRoad_act!Q64/1000</f>
        <v>1.9359999999999999</v>
      </c>
      <c r="N5" s="5" t="s">
        <v>64</v>
      </c>
      <c r="O5" s="4"/>
      <c r="P5" s="4"/>
      <c r="Q5" s="4"/>
      <c r="R5" s="4"/>
      <c r="S5" s="4"/>
      <c r="T5" s="4"/>
      <c r="U5" s="15"/>
      <c r="V5" s="15"/>
      <c r="W5" s="15"/>
      <c r="X5" s="15"/>
      <c r="Y5" s="15"/>
      <c r="Z5" s="15"/>
      <c r="AA5" s="15"/>
      <c r="AB5" s="15"/>
      <c r="AC5" s="4"/>
      <c r="AD5" s="4"/>
      <c r="AE5" s="4"/>
      <c r="AF5" s="4"/>
      <c r="AG5" s="4"/>
      <c r="AH5" s="4"/>
      <c r="AI5" s="4"/>
      <c r="AJ5" s="4"/>
      <c r="AK5" s="4"/>
      <c r="AL5" s="4"/>
      <c r="AN5" s="9"/>
      <c r="AO5" s="4"/>
      <c r="AP5" s="4"/>
      <c r="AQ5" s="4"/>
    </row>
    <row r="6" spans="1:46">
      <c r="A6" s="1" t="s">
        <v>25</v>
      </c>
      <c r="B6" s="4" t="s">
        <v>36</v>
      </c>
      <c r="C6" s="284"/>
      <c r="D6" s="284"/>
      <c r="E6" s="284"/>
      <c r="F6" s="284"/>
      <c r="G6" s="284"/>
      <c r="H6" s="284"/>
      <c r="I6" s="284"/>
      <c r="J6" s="285">
        <f>JRC_TrRoad_act!Q170</f>
        <v>13388.258223615963</v>
      </c>
      <c r="K6" s="34"/>
      <c r="L6" s="13"/>
      <c r="M6" s="26" t="s">
        <v>197</v>
      </c>
      <c r="O6" s="4"/>
      <c r="P6" s="4"/>
      <c r="Q6" s="4"/>
      <c r="R6" s="4"/>
      <c r="S6" s="4"/>
      <c r="T6" s="4"/>
      <c r="U6" s="15"/>
      <c r="V6" s="15"/>
      <c r="W6" s="15"/>
      <c r="X6" s="15"/>
      <c r="Y6" s="15"/>
      <c r="Z6" s="15"/>
      <c r="AA6" s="15"/>
      <c r="AB6" s="15"/>
      <c r="AC6" s="4"/>
      <c r="AD6" s="4"/>
      <c r="AE6" s="4"/>
      <c r="AF6" s="4"/>
      <c r="AG6" s="4"/>
      <c r="AH6" s="4"/>
      <c r="AI6" s="4"/>
      <c r="AJ6" s="4"/>
      <c r="AK6" s="4"/>
      <c r="AL6" s="4"/>
      <c r="AN6" s="9"/>
      <c r="AO6" s="4"/>
      <c r="AP6" s="4"/>
      <c r="AQ6" s="4"/>
    </row>
    <row r="7" spans="1:46">
      <c r="A7" s="1" t="s">
        <v>13</v>
      </c>
      <c r="B7" s="4" t="s">
        <v>12</v>
      </c>
      <c r="C7" s="284">
        <f>SUM(C10:C12)</f>
        <v>95136547.856912568</v>
      </c>
      <c r="D7" s="284">
        <f t="shared" ref="D7:I7" si="0">SUM(D10:D12)</f>
        <v>110629817.10650243</v>
      </c>
      <c r="E7" s="284">
        <f t="shared" si="0"/>
        <v>90871605.657962799</v>
      </c>
      <c r="F7" s="284">
        <f t="shared" si="0"/>
        <v>55771246.687195033</v>
      </c>
      <c r="G7" s="284">
        <f t="shared" si="0"/>
        <v>33569082.585728675</v>
      </c>
      <c r="H7" s="284">
        <f t="shared" si="0"/>
        <v>16674628.535783965</v>
      </c>
      <c r="I7" s="284">
        <f t="shared" si="0"/>
        <v>30028010.933500018</v>
      </c>
      <c r="J7" s="284">
        <f>SUM(C7:I7)</f>
        <v>432680939.36358547</v>
      </c>
      <c r="K7" s="34"/>
      <c r="L7" s="13"/>
      <c r="M7" s="26"/>
      <c r="O7" s="4"/>
      <c r="P7" s="4"/>
      <c r="Q7" s="4"/>
      <c r="R7" s="4"/>
      <c r="S7" s="4"/>
      <c r="T7" s="4"/>
      <c r="U7" s="15"/>
      <c r="V7" s="15"/>
      <c r="W7" s="15"/>
      <c r="X7" s="15"/>
      <c r="Y7" s="15"/>
      <c r="Z7" s="15"/>
      <c r="AA7" s="15"/>
      <c r="AB7" s="15"/>
      <c r="AC7" s="4"/>
      <c r="AD7" s="4"/>
      <c r="AE7" s="4"/>
      <c r="AF7" s="4"/>
      <c r="AG7" s="4"/>
      <c r="AH7" s="4"/>
      <c r="AI7" s="4"/>
      <c r="AJ7" s="4"/>
      <c r="AK7" s="4"/>
      <c r="AL7" s="4"/>
      <c r="AN7" s="9"/>
      <c r="AO7" s="4"/>
      <c r="AP7" s="4"/>
      <c r="AQ7" s="4"/>
    </row>
    <row r="8" spans="1:46">
      <c r="A8" s="1" t="s">
        <v>34</v>
      </c>
      <c r="B8" s="4" t="s">
        <v>32</v>
      </c>
      <c r="C8" s="13">
        <f t="shared" ref="C8:I8" si="1">C7*$J$8/$J$7</f>
        <v>23499476.656151418</v>
      </c>
      <c r="D8" s="13">
        <f t="shared" si="1"/>
        <v>27326436.19230986</v>
      </c>
      <c r="E8" s="13">
        <f t="shared" si="1"/>
        <v>22446002.340530947</v>
      </c>
      <c r="F8" s="13">
        <f t="shared" si="1"/>
        <v>13775937.209550269</v>
      </c>
      <c r="G8" s="13">
        <f t="shared" si="1"/>
        <v>8291827.8028986976</v>
      </c>
      <c r="H8" s="13">
        <f t="shared" si="1"/>
        <v>4118764.5847313595</v>
      </c>
      <c r="I8" s="13">
        <f t="shared" si="1"/>
        <v>7417155.2138274452</v>
      </c>
      <c r="J8" s="41">
        <v>106875600</v>
      </c>
      <c r="K8" s="29"/>
      <c r="L8" s="13"/>
      <c r="M8" s="26" t="s">
        <v>356</v>
      </c>
      <c r="O8" s="4"/>
      <c r="P8" s="4"/>
      <c r="Q8" s="4"/>
      <c r="R8" s="4"/>
      <c r="S8" s="4"/>
      <c r="T8" s="4"/>
      <c r="U8" s="15"/>
      <c r="V8" s="15"/>
      <c r="W8" s="15"/>
      <c r="X8" s="15"/>
      <c r="Y8" s="15"/>
      <c r="Z8" s="15"/>
      <c r="AA8" s="15"/>
      <c r="AB8" s="15"/>
      <c r="AC8" s="4"/>
      <c r="AD8" s="4"/>
      <c r="AE8" s="4"/>
      <c r="AF8" s="4"/>
      <c r="AG8" s="4"/>
      <c r="AH8" s="4"/>
      <c r="AI8" s="4"/>
      <c r="AJ8" s="4"/>
      <c r="AK8" s="4"/>
      <c r="AL8" s="4"/>
      <c r="AN8" s="9"/>
      <c r="AO8" s="4"/>
      <c r="AP8" s="4"/>
      <c r="AQ8" s="4"/>
    </row>
    <row r="9" spans="1:46">
      <c r="A9" s="1" t="s">
        <v>35</v>
      </c>
      <c r="B9" s="4" t="s">
        <v>33</v>
      </c>
      <c r="C9" s="13">
        <f>C7-C8</f>
        <v>71637071.200761154</v>
      </c>
      <c r="D9" s="13">
        <f t="shared" ref="D9:I9" si="2">D7-D8</f>
        <v>83303380.914192572</v>
      </c>
      <c r="E9" s="13">
        <f t="shared" si="2"/>
        <v>68425603.317431852</v>
      </c>
      <c r="F9" s="13">
        <f t="shared" si="2"/>
        <v>41995309.477644764</v>
      </c>
      <c r="G9" s="13">
        <f t="shared" si="2"/>
        <v>25277254.782829978</v>
      </c>
      <c r="H9" s="13">
        <f t="shared" si="2"/>
        <v>12555863.951052606</v>
      </c>
      <c r="I9" s="13">
        <f t="shared" si="2"/>
        <v>22610855.719672572</v>
      </c>
      <c r="J9" s="13">
        <f>J7-J8</f>
        <v>325805339.36358547</v>
      </c>
      <c r="K9" s="29"/>
      <c r="L9" s="13"/>
      <c r="M9" s="26"/>
      <c r="O9" s="4"/>
      <c r="P9" s="4"/>
      <c r="Q9" s="4"/>
      <c r="R9" s="4"/>
      <c r="S9" s="4"/>
      <c r="T9" s="4"/>
      <c r="U9" s="15"/>
      <c r="V9" s="15"/>
      <c r="W9" s="15"/>
      <c r="X9" s="15"/>
      <c r="Y9" s="15"/>
      <c r="Z9" s="15"/>
      <c r="AA9" s="15"/>
      <c r="AB9" s="15"/>
      <c r="AC9" s="4"/>
      <c r="AD9" s="4"/>
      <c r="AE9" s="4"/>
      <c r="AF9" s="4"/>
      <c r="AG9" s="4"/>
      <c r="AH9" s="4"/>
      <c r="AI9" s="4"/>
      <c r="AJ9" s="4"/>
      <c r="AK9" s="4"/>
      <c r="AL9" s="4"/>
      <c r="AN9" s="9"/>
      <c r="AO9" s="4"/>
      <c r="AP9" s="4"/>
      <c r="AQ9" s="4"/>
    </row>
    <row r="10" spans="1:46">
      <c r="A10" s="1" t="s">
        <v>16</v>
      </c>
      <c r="B10" s="4" t="s">
        <v>349</v>
      </c>
      <c r="C10" s="13">
        <f t="shared" ref="C10:I12" si="3">$J$6*C3</f>
        <v>131777.81235551767</v>
      </c>
      <c r="D10" s="13">
        <f t="shared" si="3"/>
        <v>153238.22030532765</v>
      </c>
      <c r="E10" s="13">
        <f t="shared" si="3"/>
        <v>125870.25353127245</v>
      </c>
      <c r="F10" s="13">
        <f t="shared" si="3"/>
        <v>77251.204151659476</v>
      </c>
      <c r="G10" s="13">
        <f t="shared" si="3"/>
        <v>46498.011180543464</v>
      </c>
      <c r="H10" s="13">
        <f t="shared" si="3"/>
        <v>23096.760601313345</v>
      </c>
      <c r="I10" s="13">
        <f t="shared" si="3"/>
        <v>41593.117254534518</v>
      </c>
      <c r="J10" s="13">
        <f>SUM(C10:I10)</f>
        <v>599325.37938016851</v>
      </c>
      <c r="K10" s="29"/>
      <c r="L10" s="13"/>
      <c r="M10" s="26"/>
      <c r="O10" s="4"/>
      <c r="P10" s="4"/>
      <c r="Q10" s="4"/>
      <c r="R10" s="4"/>
      <c r="S10" s="4"/>
      <c r="T10" s="4"/>
      <c r="U10" s="15"/>
      <c r="V10" s="15"/>
      <c r="W10" s="15"/>
      <c r="X10" s="15"/>
      <c r="Y10" s="15"/>
      <c r="Z10" s="15"/>
      <c r="AA10" s="15"/>
      <c r="AB10" s="15"/>
      <c r="AC10" s="4"/>
      <c r="AD10" s="4"/>
      <c r="AE10" s="4"/>
      <c r="AF10" s="4"/>
      <c r="AG10" s="4"/>
      <c r="AH10" s="4"/>
      <c r="AI10" s="4"/>
      <c r="AJ10" s="4"/>
      <c r="AK10" s="4"/>
      <c r="AL10" s="4"/>
      <c r="AN10" s="9"/>
      <c r="AO10" s="4"/>
      <c r="AP10" s="4"/>
      <c r="AQ10" s="4"/>
    </row>
    <row r="11" spans="1:46">
      <c r="A11" s="1" t="s">
        <v>19</v>
      </c>
      <c r="B11" s="4" t="s">
        <v>351</v>
      </c>
      <c r="C11" s="13">
        <f t="shared" si="3"/>
        <v>94999070.90807274</v>
      </c>
      <c r="D11" s="13">
        <f t="shared" si="3"/>
        <v>110469951.62841734</v>
      </c>
      <c r="E11" s="13">
        <f t="shared" si="3"/>
        <v>90740291.758484095</v>
      </c>
      <c r="F11" s="13">
        <f t="shared" si="3"/>
        <v>55690654.517305911</v>
      </c>
      <c r="G11" s="13">
        <f t="shared" si="3"/>
        <v>33520573.625153612</v>
      </c>
      <c r="H11" s="13">
        <f t="shared" si="3"/>
        <v>16650532.884787831</v>
      </c>
      <c r="I11" s="13">
        <f t="shared" si="3"/>
        <v>29984618.994062871</v>
      </c>
      <c r="J11" s="13">
        <f>SUM(C11:I11)</f>
        <v>432055694.31628442</v>
      </c>
      <c r="K11" s="29"/>
      <c r="L11" s="13"/>
      <c r="M11" s="26"/>
      <c r="O11" s="4"/>
      <c r="P11" s="4"/>
      <c r="Q11" s="4"/>
      <c r="R11" s="4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4"/>
      <c r="AG11" s="4"/>
      <c r="AH11" s="4"/>
      <c r="AI11" s="4"/>
      <c r="AJ11" s="4"/>
      <c r="AK11" s="4"/>
      <c r="AL11" s="4"/>
      <c r="AN11" s="9"/>
      <c r="AO11" s="4"/>
      <c r="AP11" s="4"/>
      <c r="AQ11" s="4"/>
    </row>
    <row r="12" spans="1:46">
      <c r="A12" s="1" t="s">
        <v>17</v>
      </c>
      <c r="B12" s="4" t="s">
        <v>352</v>
      </c>
      <c r="C12" s="13">
        <f t="shared" si="3"/>
        <v>5699.1364843132405</v>
      </c>
      <c r="D12" s="13">
        <f t="shared" si="3"/>
        <v>6627.2577797635286</v>
      </c>
      <c r="E12" s="13">
        <f t="shared" si="3"/>
        <v>5443.6459474264148</v>
      </c>
      <c r="F12" s="13">
        <f t="shared" si="3"/>
        <v>3340.9657374648214</v>
      </c>
      <c r="G12" s="13">
        <f t="shared" si="3"/>
        <v>2010.9493945165227</v>
      </c>
      <c r="H12" s="13">
        <f t="shared" si="3"/>
        <v>998.8903948205658</v>
      </c>
      <c r="I12" s="13">
        <f t="shared" si="3"/>
        <v>1798.8221826154099</v>
      </c>
      <c r="J12" s="13">
        <f>SUM(C12:I12)</f>
        <v>25919.667920920507</v>
      </c>
      <c r="K12" s="29"/>
      <c r="L12" s="28" t="s">
        <v>358</v>
      </c>
      <c r="M12" s="1"/>
      <c r="O12" s="4"/>
      <c r="P12" s="4"/>
      <c r="Q12" s="4"/>
      <c r="R12" s="4"/>
      <c r="S12" s="4"/>
      <c r="T12" s="4"/>
      <c r="U12" s="15"/>
      <c r="V12" s="15"/>
      <c r="W12" s="15"/>
      <c r="X12" s="15"/>
      <c r="Y12" s="15"/>
      <c r="Z12" s="15"/>
      <c r="AA12" s="15"/>
      <c r="AB12" s="15"/>
      <c r="AC12" s="4"/>
      <c r="AD12" s="4"/>
      <c r="AE12" s="4"/>
      <c r="AF12" s="4"/>
      <c r="AG12" s="4"/>
      <c r="AH12" s="4"/>
      <c r="AI12" s="4"/>
      <c r="AJ12" s="4"/>
      <c r="AK12" s="4"/>
      <c r="AL12" s="4"/>
      <c r="AN12" s="9"/>
      <c r="AO12" s="4"/>
      <c r="AP12" s="4"/>
      <c r="AQ12" s="4"/>
    </row>
    <row r="13" spans="1:46">
      <c r="A13" s="1" t="s">
        <v>224</v>
      </c>
      <c r="B13" s="25" t="s">
        <v>28</v>
      </c>
      <c r="C13" s="13"/>
      <c r="D13" s="13"/>
      <c r="E13" s="13"/>
      <c r="F13" s="13"/>
      <c r="G13" s="13"/>
      <c r="H13" s="13"/>
      <c r="I13" s="13"/>
      <c r="J13" s="41">
        <f>JRC_TrRoad_act!$Q$6*L13/($L$13+$L$14)</f>
        <v>169831.2999480553</v>
      </c>
      <c r="K13" s="29"/>
      <c r="L13" s="289">
        <v>163461.30421369229</v>
      </c>
      <c r="M13" s="4" t="s">
        <v>227</v>
      </c>
      <c r="O13" s="4"/>
      <c r="P13" s="4"/>
      <c r="Q13" s="4"/>
      <c r="R13" s="4"/>
      <c r="S13" s="4"/>
      <c r="T13" s="4"/>
      <c r="U13" s="15"/>
      <c r="V13" s="15"/>
      <c r="W13" s="15"/>
      <c r="X13" s="15"/>
      <c r="Y13" s="15"/>
      <c r="Z13" s="15"/>
      <c r="AA13" s="15"/>
      <c r="AB13" s="15"/>
      <c r="AC13" s="4"/>
      <c r="AD13" s="4"/>
      <c r="AE13" s="4"/>
      <c r="AF13" s="4"/>
      <c r="AG13" s="4"/>
      <c r="AH13" s="4"/>
      <c r="AI13" s="4"/>
      <c r="AJ13" s="4"/>
      <c r="AK13" s="4"/>
      <c r="AL13" s="4"/>
      <c r="AN13" s="9"/>
      <c r="AO13" s="4"/>
      <c r="AP13" s="4"/>
      <c r="AQ13" s="4"/>
    </row>
    <row r="14" spans="1:46">
      <c r="A14" s="1" t="s">
        <v>225</v>
      </c>
      <c r="B14" s="25" t="s">
        <v>29</v>
      </c>
      <c r="C14" s="13"/>
      <c r="D14" s="13"/>
      <c r="E14" s="13"/>
      <c r="F14" s="13"/>
      <c r="G14" s="13"/>
      <c r="H14" s="13"/>
      <c r="I14" s="13"/>
      <c r="J14" s="41">
        <f>JRC_TrRoad_act!$Q$6*L14/($L$13+$L$14)</f>
        <v>554271.6422081081</v>
      </c>
      <c r="K14" s="29"/>
      <c r="L14" s="289">
        <v>533482.14111129066</v>
      </c>
      <c r="M14" s="4" t="s">
        <v>197</v>
      </c>
      <c r="O14" s="4"/>
      <c r="P14" s="4"/>
      <c r="Q14" s="4"/>
      <c r="R14" s="4"/>
      <c r="S14" s="4"/>
      <c r="T14" s="4"/>
      <c r="U14" s="15"/>
      <c r="V14" s="15"/>
      <c r="W14" s="15"/>
      <c r="X14" s="15"/>
      <c r="Y14" s="15"/>
      <c r="Z14" s="15"/>
      <c r="AA14" s="15"/>
      <c r="AB14" s="15"/>
      <c r="AC14" s="4"/>
      <c r="AD14" s="4"/>
      <c r="AE14" s="4"/>
      <c r="AF14" s="4"/>
      <c r="AG14" s="4"/>
      <c r="AH14" s="4"/>
      <c r="AI14" s="4"/>
      <c r="AJ14" s="4"/>
      <c r="AK14" s="4"/>
      <c r="AL14" s="4"/>
      <c r="AN14" s="9"/>
      <c r="AO14" s="4"/>
      <c r="AP14" s="4"/>
      <c r="AQ14" s="4"/>
    </row>
    <row r="15" spans="1:46">
      <c r="A15" s="1" t="s">
        <v>226</v>
      </c>
      <c r="B15" s="4" t="s">
        <v>359</v>
      </c>
      <c r="C15" s="13"/>
      <c r="D15" s="13"/>
      <c r="E15" s="13"/>
      <c r="F15" s="13"/>
      <c r="G15" s="13"/>
      <c r="H15" s="13"/>
      <c r="I15" s="13"/>
      <c r="J15" s="41">
        <v>105328.5061990293</v>
      </c>
      <c r="K15" s="29"/>
      <c r="L15" s="13"/>
      <c r="M15" s="4" t="s">
        <v>197</v>
      </c>
      <c r="O15" s="4"/>
      <c r="P15" s="4"/>
      <c r="Q15" s="4"/>
      <c r="R15" s="4"/>
      <c r="S15" s="4"/>
      <c r="T15" s="4"/>
      <c r="U15" s="15"/>
      <c r="V15" s="15"/>
      <c r="W15" s="15"/>
      <c r="X15" s="15"/>
      <c r="Y15" s="15"/>
      <c r="Z15" s="15"/>
      <c r="AA15" s="15"/>
      <c r="AB15" s="15"/>
      <c r="AC15" s="4"/>
      <c r="AD15" s="4"/>
      <c r="AE15" s="4"/>
      <c r="AF15" s="4"/>
      <c r="AG15" s="4"/>
      <c r="AH15" s="4"/>
      <c r="AI15" s="4"/>
      <c r="AJ15" s="4"/>
      <c r="AK15" s="4"/>
      <c r="AL15" s="4"/>
      <c r="AN15" s="9"/>
      <c r="AO15" s="4"/>
      <c r="AP15" s="4"/>
      <c r="AQ15" s="4"/>
    </row>
    <row r="16" spans="1:46">
      <c r="A16" s="1" t="s">
        <v>20</v>
      </c>
      <c r="B16" s="4" t="s">
        <v>360</v>
      </c>
      <c r="C16" s="13"/>
      <c r="D16" s="13"/>
      <c r="E16" s="13"/>
      <c r="F16" s="13"/>
      <c r="G16" s="13"/>
      <c r="H16" s="13"/>
      <c r="I16" s="13"/>
      <c r="J16" s="41">
        <f>JRC_TrRoad_act!Q13</f>
        <v>70328.699654180513</v>
      </c>
      <c r="K16" s="29"/>
      <c r="L16" s="13"/>
      <c r="M16" s="4" t="s">
        <v>197</v>
      </c>
      <c r="O16" s="4"/>
      <c r="P16" s="4"/>
      <c r="Q16" s="4"/>
      <c r="R16" s="4"/>
      <c r="S16" s="4"/>
      <c r="T16" s="4"/>
      <c r="U16" s="15"/>
      <c r="V16" s="15"/>
      <c r="W16" s="15"/>
      <c r="X16" s="15"/>
      <c r="Y16" s="15"/>
      <c r="Z16" s="15"/>
      <c r="AA16" s="15"/>
      <c r="AB16" s="15"/>
      <c r="AC16" s="4"/>
      <c r="AD16" s="4"/>
      <c r="AE16" s="4"/>
      <c r="AF16" s="4"/>
      <c r="AG16" s="4"/>
      <c r="AH16" s="4"/>
      <c r="AI16" s="4"/>
      <c r="AJ16" s="4"/>
      <c r="AK16" s="4"/>
      <c r="AL16" s="4"/>
      <c r="AN16" s="9"/>
      <c r="AO16" s="4"/>
      <c r="AP16" s="4"/>
      <c r="AQ16" s="4"/>
    </row>
    <row r="17" spans="1:43">
      <c r="A17" s="1" t="s">
        <v>21</v>
      </c>
      <c r="B17" s="4" t="s">
        <v>361</v>
      </c>
      <c r="C17" s="13"/>
      <c r="D17" s="13"/>
      <c r="E17" s="13"/>
      <c r="F17" s="13"/>
      <c r="G17" s="13"/>
      <c r="H17" s="13"/>
      <c r="I17" s="13"/>
      <c r="J17" s="41">
        <v>291099.78359959094</v>
      </c>
      <c r="K17" s="29"/>
      <c r="L17" s="28"/>
      <c r="M17" s="4" t="s">
        <v>357</v>
      </c>
      <c r="O17" s="4"/>
      <c r="P17" s="4"/>
      <c r="Q17" s="4"/>
      <c r="R17" s="4"/>
      <c r="S17" s="4"/>
      <c r="T17" s="4"/>
      <c r="U17" s="4"/>
      <c r="V17" s="4"/>
      <c r="W17" s="4"/>
      <c r="X17" s="10"/>
      <c r="Z17" s="4"/>
      <c r="AA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N17" s="9"/>
      <c r="AO17" s="4"/>
      <c r="AP17" s="4"/>
      <c r="AQ17" s="4"/>
    </row>
    <row r="18" spans="1:43">
      <c r="A18" s="1" t="s">
        <v>26</v>
      </c>
      <c r="B18" s="4" t="s">
        <v>333</v>
      </c>
      <c r="C18" s="41">
        <f>'vente PF car labelling Ademe'!C$15*$J18</f>
        <v>4.8854000999999991</v>
      </c>
      <c r="D18" s="41">
        <f>'vente PF car labelling Ademe'!D$15*$J18</f>
        <v>4.6902603999999997</v>
      </c>
      <c r="E18" s="41">
        <f>'vente PF car labelling Ademe'!E$15*$J18</f>
        <v>3.2465719999999996</v>
      </c>
      <c r="F18" s="41">
        <f>'vente PF car labelling Ademe'!F$15*$J18</f>
        <v>1.7994297999999997</v>
      </c>
      <c r="G18" s="41">
        <f>'vente PF car labelling Ademe'!G$15*$J18</f>
        <v>1.1069429</v>
      </c>
      <c r="H18" s="41">
        <f>'vente PF car labelling Ademe'!H$15*$J18</f>
        <v>0.5353389999999999</v>
      </c>
      <c r="I18" s="41">
        <f>'vente PF car labelling Ademe'!I$15*$J18</f>
        <v>1.0050558000000012</v>
      </c>
      <c r="J18" s="13">
        <f>'immat. de VP par PF'!Q24/1000</f>
        <v>17.268999999999998</v>
      </c>
      <c r="K18" s="29"/>
      <c r="L18" s="13"/>
      <c r="M18" s="4" t="s">
        <v>312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N18" s="9"/>
      <c r="AO18" s="4"/>
      <c r="AP18" s="4"/>
      <c r="AQ18" s="4"/>
    </row>
    <row r="19" spans="1:43">
      <c r="A19" s="1" t="s">
        <v>39</v>
      </c>
      <c r="B19" s="4" t="s">
        <v>334</v>
      </c>
      <c r="C19" s="286">
        <f>'vente PF car labelling Ademe'!C$15*$J19</f>
        <v>528.68436870000005</v>
      </c>
      <c r="D19" s="286">
        <f>'vente PF car labelling Ademe'!D$15*$J19</f>
        <v>507.56689480000006</v>
      </c>
      <c r="E19" s="286">
        <f>'vente PF car labelling Ademe'!E$15*$J19</f>
        <v>351.33496400000001</v>
      </c>
      <c r="F19" s="286">
        <f>'vente PF car labelling Ademe'!F$15*$J19</f>
        <v>194.7292726</v>
      </c>
      <c r="G19" s="286">
        <f>'vente PF car labelling Ademe'!G$15*$J19</f>
        <v>119.79027230000001</v>
      </c>
      <c r="H19" s="286">
        <f>'vente PF car labelling Ademe'!H$15*$J19</f>
        <v>57.932893</v>
      </c>
      <c r="I19" s="286">
        <f>'vente PF car labelling Ademe'!I$15*$J19</f>
        <v>108.76433460000015</v>
      </c>
      <c r="J19" s="13">
        <f>SUM('immat. de VP par PF'!Q21:Q23,'immat. de VP par PF'!Q25)/1000</f>
        <v>1868.8030000000001</v>
      </c>
      <c r="K19" s="29"/>
      <c r="L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N19" s="9"/>
      <c r="AO19" s="4"/>
      <c r="AP19" s="4"/>
      <c r="AQ19" s="4"/>
    </row>
    <row r="20" spans="1:43">
      <c r="A20" s="1" t="s">
        <v>40</v>
      </c>
      <c r="B20" s="4" t="s">
        <v>335</v>
      </c>
      <c r="C20" s="286">
        <f>'vente PF car labelling Ademe'!C$15*$J20</f>
        <v>4.4415299999999998E-2</v>
      </c>
      <c r="D20" s="286">
        <f>'vente PF car labelling Ademe'!D$15*$J20</f>
        <v>4.2641200000000004E-2</v>
      </c>
      <c r="E20" s="286">
        <f>'vente PF car labelling Ademe'!E$15*$J20</f>
        <v>2.9516000000000001E-2</v>
      </c>
      <c r="F20" s="286">
        <f>'vente PF car labelling Ademe'!F$15*$J20</f>
        <v>1.63594E-2</v>
      </c>
      <c r="G20" s="286">
        <f>'vente PF car labelling Ademe'!G$15*$J20</f>
        <v>1.00637E-2</v>
      </c>
      <c r="H20" s="286">
        <f>'vente PF car labelling Ademe'!H$15*$J20</f>
        <v>4.8669999999999998E-3</v>
      </c>
      <c r="I20" s="286">
        <f>'vente PF car labelling Ademe'!I$15*$J20</f>
        <v>9.1374000000000125E-3</v>
      </c>
      <c r="J20" s="13">
        <f>'immat. de VP par PF'!Q31/1000</f>
        <v>0.157</v>
      </c>
      <c r="K20" s="29"/>
      <c r="L20" s="13"/>
      <c r="P20" s="4"/>
      <c r="Q20" s="4"/>
      <c r="R20" s="4"/>
      <c r="S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N20" s="9"/>
      <c r="AO20" s="4"/>
      <c r="AP20" s="4"/>
      <c r="AQ20" s="4"/>
    </row>
    <row r="21" spans="1:43">
      <c r="A21" s="1" t="s">
        <v>363</v>
      </c>
      <c r="B21" s="4" t="s">
        <v>353</v>
      </c>
      <c r="C21" s="41">
        <f t="shared" ref="C21:I21" si="4">1/25</f>
        <v>0.04</v>
      </c>
      <c r="D21" s="41">
        <f t="shared" si="4"/>
        <v>0.04</v>
      </c>
      <c r="E21" s="41">
        <f t="shared" si="4"/>
        <v>0.04</v>
      </c>
      <c r="F21" s="41">
        <f t="shared" si="4"/>
        <v>0.04</v>
      </c>
      <c r="G21" s="41">
        <f t="shared" si="4"/>
        <v>0.04</v>
      </c>
      <c r="H21" s="41">
        <f t="shared" si="4"/>
        <v>0.04</v>
      </c>
      <c r="I21" s="41">
        <f t="shared" si="4"/>
        <v>0.04</v>
      </c>
      <c r="J21" s="13"/>
      <c r="K21" s="29"/>
      <c r="L21" s="13"/>
      <c r="P21" s="4"/>
      <c r="Q21" s="4"/>
      <c r="R21" s="4"/>
      <c r="S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N21" s="9"/>
      <c r="AO21" s="4"/>
      <c r="AP21" s="4"/>
      <c r="AQ21" s="4"/>
    </row>
    <row r="22" spans="1:43">
      <c r="A22" s="1" t="s">
        <v>364</v>
      </c>
      <c r="B22" s="4" t="s">
        <v>336</v>
      </c>
      <c r="C22" s="41">
        <f>1/12.85</f>
        <v>7.7821011673151752E-2</v>
      </c>
      <c r="D22" s="41">
        <f t="shared" ref="D22:I22" si="5">1/12.85</f>
        <v>7.7821011673151752E-2</v>
      </c>
      <c r="E22" s="41">
        <f t="shared" si="5"/>
        <v>7.7821011673151752E-2</v>
      </c>
      <c r="F22" s="41">
        <f t="shared" si="5"/>
        <v>7.7821011673151752E-2</v>
      </c>
      <c r="G22" s="41">
        <f t="shared" si="5"/>
        <v>7.7821011673151752E-2</v>
      </c>
      <c r="H22" s="41">
        <f t="shared" si="5"/>
        <v>7.7821011673151752E-2</v>
      </c>
      <c r="I22" s="41">
        <f t="shared" si="5"/>
        <v>7.7821011673151752E-2</v>
      </c>
      <c r="J22" s="13"/>
      <c r="K22" s="29"/>
      <c r="L22" s="13"/>
      <c r="M22" s="42"/>
      <c r="N22" s="14"/>
      <c r="O22" s="14"/>
      <c r="T22" s="4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N22" s="18"/>
    </row>
    <row r="23" spans="1:43">
      <c r="A23" s="1" t="s">
        <v>365</v>
      </c>
      <c r="B23" s="4" t="s">
        <v>337</v>
      </c>
      <c r="C23" s="41">
        <f t="shared" ref="C23:I23" si="6">1/16</f>
        <v>6.25E-2</v>
      </c>
      <c r="D23" s="41">
        <f t="shared" si="6"/>
        <v>6.25E-2</v>
      </c>
      <c r="E23" s="41">
        <f t="shared" si="6"/>
        <v>6.25E-2</v>
      </c>
      <c r="F23" s="41">
        <f t="shared" si="6"/>
        <v>6.25E-2</v>
      </c>
      <c r="G23" s="41">
        <f t="shared" si="6"/>
        <v>6.25E-2</v>
      </c>
      <c r="H23" s="41">
        <f t="shared" si="6"/>
        <v>6.25E-2</v>
      </c>
      <c r="I23" s="41">
        <f t="shared" si="6"/>
        <v>6.25E-2</v>
      </c>
      <c r="J23" s="13"/>
      <c r="K23" s="29"/>
      <c r="L23" s="13"/>
      <c r="M23" s="42"/>
      <c r="N23" s="14"/>
      <c r="O23" s="14"/>
      <c r="T23" s="4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N23" s="18"/>
    </row>
    <row r="24" spans="1:43">
      <c r="A24" s="1" t="s">
        <v>377</v>
      </c>
      <c r="B24" s="4" t="s">
        <v>338</v>
      </c>
      <c r="C24" s="41">
        <f t="shared" ref="C24:I26" si="7">$J24*C39/$J39</f>
        <v>3399.0917629536498</v>
      </c>
      <c r="D24" s="41">
        <f t="shared" si="7"/>
        <v>4150.2761447769008</v>
      </c>
      <c r="E24" s="41">
        <f t="shared" si="7"/>
        <v>3571.3826763738471</v>
      </c>
      <c r="F24" s="41">
        <f t="shared" si="7"/>
        <v>2291.5202192915758</v>
      </c>
      <c r="G24" s="41">
        <f t="shared" si="7"/>
        <v>1439.2499371998649</v>
      </c>
      <c r="H24" s="41">
        <f t="shared" si="7"/>
        <v>744.70056175914885</v>
      </c>
      <c r="I24" s="41">
        <f t="shared" si="7"/>
        <v>1394.7148282917606</v>
      </c>
      <c r="J24" s="287">
        <f>SUM(JRC_TrRoad_ene!Q32)*1000</f>
        <v>16990.936130646744</v>
      </c>
      <c r="K24" s="165"/>
      <c r="L24" s="13"/>
      <c r="M24" s="4" t="s">
        <v>197</v>
      </c>
      <c r="N24" s="14"/>
      <c r="O24" s="14"/>
      <c r="T24" s="4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N24" s="18"/>
    </row>
    <row r="25" spans="1:43">
      <c r="A25" s="1" t="s">
        <v>376</v>
      </c>
      <c r="B25" s="4" t="s">
        <v>339</v>
      </c>
      <c r="C25" s="41">
        <f t="shared" si="7"/>
        <v>4502141.8806991475</v>
      </c>
      <c r="D25" s="41">
        <f t="shared" si="7"/>
        <v>5497095.5040149279</v>
      </c>
      <c r="E25" s="41">
        <f t="shared" si="7"/>
        <v>4730343.4683782486</v>
      </c>
      <c r="F25" s="41">
        <f t="shared" si="7"/>
        <v>3035148.7600842905</v>
      </c>
      <c r="G25" s="41">
        <f t="shared" si="7"/>
        <v>1906305.5283422444</v>
      </c>
      <c r="H25" s="41">
        <f t="shared" si="7"/>
        <v>986365.71810661175</v>
      </c>
      <c r="I25" s="41">
        <f t="shared" si="7"/>
        <v>1847318.1890882887</v>
      </c>
      <c r="J25" s="287">
        <f>SUM(JRC_TrRoad_ene!Q22,JRC_TrRoad_ene!Q24,JRC_TrRoad_ene!Q26,JRC_TrRoad_ene!Q29)*1000</f>
        <v>22504719.048713759</v>
      </c>
      <c r="K25" s="165"/>
      <c r="L25" s="13"/>
      <c r="M25" s="4" t="s">
        <v>197</v>
      </c>
      <c r="N25" s="14"/>
      <c r="O25" s="14"/>
      <c r="T25" s="4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N25" s="18"/>
    </row>
    <row r="26" spans="1:43">
      <c r="A26" s="1" t="s">
        <v>378</v>
      </c>
      <c r="B26" s="4" t="s">
        <v>340</v>
      </c>
      <c r="C26" s="41">
        <f t="shared" si="7"/>
        <v>480.84195948806928</v>
      </c>
      <c r="D26" s="41">
        <f t="shared" si="7"/>
        <v>587.10592506540922</v>
      </c>
      <c r="E26" s="41">
        <f t="shared" si="7"/>
        <v>505.21455846108688</v>
      </c>
      <c r="F26" s="41">
        <f t="shared" si="7"/>
        <v>324.16279091366096</v>
      </c>
      <c r="G26" s="41">
        <f t="shared" si="7"/>
        <v>203.59902240323848</v>
      </c>
      <c r="H26" s="41">
        <f t="shared" si="7"/>
        <v>105.34675210915093</v>
      </c>
      <c r="I26" s="41">
        <f t="shared" si="7"/>
        <v>197.29900153684707</v>
      </c>
      <c r="J26" s="287">
        <f>JRC_TrRoad_ene!Q27*1000</f>
        <v>2403.5700099774631</v>
      </c>
      <c r="K26" s="165"/>
      <c r="L26" s="13"/>
      <c r="M26" s="4" t="s">
        <v>197</v>
      </c>
      <c r="N26" s="14"/>
      <c r="O26" s="14"/>
      <c r="T26" s="4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N26" s="18"/>
    </row>
    <row r="27" spans="1:43">
      <c r="A27" s="1" t="s">
        <v>371</v>
      </c>
      <c r="B27" s="297" t="s">
        <v>369</v>
      </c>
      <c r="C27" s="41">
        <f>[1]BUILDING!C33</f>
        <v>8.0773833481984883E-4</v>
      </c>
      <c r="D27" s="41">
        <f>[1]BUILDING!D33</f>
        <v>0.13638863485197683</v>
      </c>
      <c r="E27" s="41">
        <f>[1]BUILDING!E33</f>
        <v>0.6621196610189819</v>
      </c>
      <c r="F27" s="41">
        <f>[1]BUILDING!F33</f>
        <v>3.4290509379990568</v>
      </c>
      <c r="G27" s="41">
        <f>[1]BUILDING!G33</f>
        <v>4.5170993943343527</v>
      </c>
      <c r="H27" s="41">
        <f>[1]BUILDING!H33</f>
        <v>3.443097395541705</v>
      </c>
      <c r="I27" s="41">
        <f>[1]BUILDING!I33</f>
        <v>0.12684803482837897</v>
      </c>
      <c r="J27" s="287">
        <f>SUM(C27:I27)</f>
        <v>12.315411796909272</v>
      </c>
      <c r="K27" s="165"/>
      <c r="L27" s="13"/>
      <c r="M27" s="4" t="s">
        <v>368</v>
      </c>
      <c r="N27" s="14"/>
      <c r="O27" s="14"/>
      <c r="T27" s="4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N27" s="18"/>
    </row>
    <row r="28" spans="1:43">
      <c r="A28" s="1" t="s">
        <v>372</v>
      </c>
      <c r="B28" s="297" t="s">
        <v>370</v>
      </c>
      <c r="C28" s="41">
        <f>[1]BUILDING!C34</f>
        <v>8.2057041250508597E-3</v>
      </c>
      <c r="D28" s="41">
        <f>[1]BUILDING!D34</f>
        <v>0.13948072124967975</v>
      </c>
      <c r="E28" s="41">
        <f>[1]BUILDING!E34</f>
        <v>1.3007746657781549</v>
      </c>
      <c r="F28" s="41">
        <f>[1]BUILDING!F34</f>
        <v>5.8237649300313219</v>
      </c>
      <c r="G28" s="41">
        <f>[1]BUILDING!G34</f>
        <v>4.0383072681522663</v>
      </c>
      <c r="H28" s="41">
        <f>[1]BUILDING!H34</f>
        <v>4.3505009867067373E-2</v>
      </c>
      <c r="I28" s="41">
        <f>[1]BUILDING!I34</f>
        <v>1.3207823298100265E-4</v>
      </c>
      <c r="J28" s="287">
        <f>SUM(C28:I28)</f>
        <v>11.354170377436521</v>
      </c>
      <c r="K28" s="165"/>
      <c r="L28" s="13"/>
      <c r="M28" s="4" t="s">
        <v>368</v>
      </c>
      <c r="N28" s="14"/>
      <c r="O28" s="14"/>
      <c r="T28" s="4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N28" s="18"/>
    </row>
    <row r="29" spans="1:43">
      <c r="A29" s="1" t="s">
        <v>54</v>
      </c>
      <c r="B29" s="4" t="s">
        <v>366</v>
      </c>
      <c r="C29" s="41">
        <f>'ventes et prix VP'!$H$36*C46</f>
        <v>3871.9394809365258</v>
      </c>
      <c r="D29" s="41">
        <f>'ventes et prix VP'!$H$36*D46</f>
        <v>3871.9394809365258</v>
      </c>
      <c r="E29" s="41">
        <f>'ventes et prix VP'!$H$36*E46</f>
        <v>3871.9394809365258</v>
      </c>
      <c r="F29" s="41">
        <f>'ventes et prix VP'!$H$36*F46</f>
        <v>3871.9394809365258</v>
      </c>
      <c r="G29" s="41">
        <f>'ventes et prix VP'!$H$36*G46</f>
        <v>3871.9394809365258</v>
      </c>
      <c r="H29" s="41">
        <f>'ventes et prix VP'!$H$36*H46</f>
        <v>3871.9394809365258</v>
      </c>
      <c r="I29" s="41">
        <f>'ventes et prix VP'!$H$36*I46</f>
        <v>3871.9394809365258</v>
      </c>
      <c r="J29" s="13"/>
      <c r="K29" s="29"/>
      <c r="L29" s="13"/>
      <c r="M29" s="4" t="s">
        <v>75</v>
      </c>
      <c r="N29" s="14"/>
      <c r="O29" s="14"/>
      <c r="T29" s="4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N29" s="18"/>
    </row>
    <row r="30" spans="1:43">
      <c r="A30" s="1" t="s">
        <v>53</v>
      </c>
      <c r="B30" s="4" t="s">
        <v>367</v>
      </c>
      <c r="C30" s="41">
        <f>'coût  batterie'!$E$5*C47</f>
        <v>5450.0512812162478</v>
      </c>
      <c r="D30" s="41">
        <f>'coût  batterie'!$E$5*D47</f>
        <v>5450.0512812162478</v>
      </c>
      <c r="E30" s="41">
        <f>'coût  batterie'!$E$5*E47</f>
        <v>5450.0512812162478</v>
      </c>
      <c r="F30" s="41">
        <f>'coût  batterie'!$E$6*F47</f>
        <v>10900.102562432496</v>
      </c>
      <c r="G30" s="41">
        <f>'coût  batterie'!$E$6*G47</f>
        <v>10900.102562432496</v>
      </c>
      <c r="H30" s="41">
        <f>'coût  batterie'!$E$8*H47</f>
        <v>17440.164099891994</v>
      </c>
      <c r="I30" s="41">
        <f>'coût  batterie'!$E$8*I47</f>
        <v>17440.164099891994</v>
      </c>
      <c r="J30" s="13"/>
      <c r="K30" s="29"/>
      <c r="L30" s="13"/>
      <c r="M30" s="42" t="s">
        <v>320</v>
      </c>
      <c r="N30" s="14"/>
      <c r="O30" s="14"/>
      <c r="T30" s="4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N30" s="18"/>
    </row>
    <row r="31" spans="1:43">
      <c r="A31" s="1" t="s">
        <v>46</v>
      </c>
      <c r="B31" s="4" t="s">
        <v>343</v>
      </c>
      <c r="C31" s="41">
        <f>'ventes et prix VP'!H34*C44</f>
        <v>14661.641157249476</v>
      </c>
      <c r="D31" s="41">
        <f>'ventes et prix VP'!I34*D44</f>
        <v>16482.142675041647</v>
      </c>
      <c r="E31" s="41">
        <f>'ventes et prix VP'!J34*E44</f>
        <v>18284.734881708515</v>
      </c>
      <c r="F31" s="41">
        <f>'ventes et prix VP'!K34*F44</f>
        <v>26831.533295265959</v>
      </c>
      <c r="G31" s="41">
        <f>'ventes et prix VP'!L34*G44</f>
        <v>34665.280857646067</v>
      </c>
      <c r="H31" s="41">
        <f>'ventes et prix VP'!M34*H44</f>
        <v>62969.502689392917</v>
      </c>
      <c r="I31" s="41">
        <f>'ventes et prix VP'!N34*I44</f>
        <v>88265.433455083941</v>
      </c>
      <c r="J31" s="13"/>
      <c r="K31" s="29"/>
      <c r="L31" s="13"/>
      <c r="M31" s="4" t="s">
        <v>75</v>
      </c>
      <c r="N31" s="14"/>
      <c r="O31" s="14"/>
      <c r="T31" s="4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N31" s="18"/>
    </row>
    <row r="32" spans="1:43">
      <c r="A32" s="1" t="s">
        <v>47</v>
      </c>
      <c r="B32" s="4" t="s">
        <v>344</v>
      </c>
      <c r="C32" s="41">
        <f>'ventes et prix VP'!H35*C44</f>
        <v>8832.4893576210816</v>
      </c>
      <c r="D32" s="41">
        <f>'ventes et prix VP'!I35*D44</f>
        <v>23283.981586176116</v>
      </c>
      <c r="E32" s="41">
        <f>D32</f>
        <v>23283.981586176116</v>
      </c>
      <c r="F32" s="41">
        <f>'ventes et prix VP'!K35*F44</f>
        <v>17524.866980220893</v>
      </c>
      <c r="G32" s="41">
        <f>F32</f>
        <v>17524.866980220893</v>
      </c>
      <c r="H32" s="41">
        <f>G32</f>
        <v>17524.866980220893</v>
      </c>
      <c r="I32" s="41">
        <f>H32</f>
        <v>17524.866980220893</v>
      </c>
      <c r="J32" s="13"/>
      <c r="K32" s="29"/>
      <c r="L32" s="13"/>
      <c r="M32" s="4" t="s">
        <v>75</v>
      </c>
      <c r="N32" s="14"/>
      <c r="O32" s="14"/>
      <c r="T32" s="4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N32" s="18"/>
    </row>
    <row r="33" spans="1:40">
      <c r="A33" s="1" t="s">
        <v>57</v>
      </c>
      <c r="B33" s="4" t="s">
        <v>345</v>
      </c>
      <c r="C33" s="41">
        <f>'coût entretien'!$C$14*C45</f>
        <v>2.1459576919788974</v>
      </c>
      <c r="D33" s="41">
        <f>'coût entretien'!$C$14*D45</f>
        <v>2.1459576919788974</v>
      </c>
      <c r="E33" s="41">
        <f>'coût entretien'!$C$14*E45</f>
        <v>2.1459576919788974</v>
      </c>
      <c r="F33" s="41">
        <f>'coût entretien'!$C$14*F45</f>
        <v>2.1459576919788974</v>
      </c>
      <c r="G33" s="41">
        <f>'coût entretien'!$C$14*G45</f>
        <v>2.1459576919788974</v>
      </c>
      <c r="H33" s="41">
        <f>'coût entretien'!$C$14*H45</f>
        <v>2.1459576919788974</v>
      </c>
      <c r="I33" s="41">
        <f>'coût entretien'!$C$14*I45</f>
        <v>2.1459576919788974</v>
      </c>
      <c r="J33" s="13"/>
      <c r="K33" s="29"/>
      <c r="L33" s="13"/>
      <c r="M33" s="42"/>
      <c r="N33" s="14"/>
      <c r="O33" s="14"/>
      <c r="T33" s="4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N33" s="18"/>
    </row>
    <row r="34" spans="1:40">
      <c r="A34" s="1" t="s">
        <v>58</v>
      </c>
      <c r="B34" s="4" t="s">
        <v>346</v>
      </c>
      <c r="C34" s="41">
        <f>'coût entretien'!$C13*C45</f>
        <v>3.5765961532981625</v>
      </c>
      <c r="D34" s="41">
        <f>'coût entretien'!$C13*D45</f>
        <v>3.5765961532981625</v>
      </c>
      <c r="E34" s="41">
        <f>'coût entretien'!$C13*E45</f>
        <v>3.5765961532981625</v>
      </c>
      <c r="F34" s="41">
        <f>'coût entretien'!$C13*F45</f>
        <v>3.5765961532981625</v>
      </c>
      <c r="G34" s="41">
        <f>'coût entretien'!$C13*G45</f>
        <v>3.5765961532981625</v>
      </c>
      <c r="H34" s="41">
        <f>'coût entretien'!$C13*H45</f>
        <v>3.5765961532981625</v>
      </c>
      <c r="I34" s="41">
        <f>'coût entretien'!$C13*I45</f>
        <v>3.5765961532981625</v>
      </c>
      <c r="J34" s="13"/>
      <c r="K34" s="29"/>
      <c r="L34" s="13"/>
      <c r="M34" s="42" t="s">
        <v>158</v>
      </c>
      <c r="N34" s="14"/>
      <c r="O34" s="14"/>
      <c r="T34" s="4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N34" s="18"/>
    </row>
    <row r="35" spans="1:40">
      <c r="A35" s="1" t="s">
        <v>59</v>
      </c>
      <c r="B35" s="4" t="s">
        <v>347</v>
      </c>
      <c r="C35" s="41">
        <f>C34</f>
        <v>3.5765961532981625</v>
      </c>
      <c r="D35" s="41">
        <f t="shared" ref="D35:I35" si="8">D34</f>
        <v>3.5765961532981625</v>
      </c>
      <c r="E35" s="41">
        <f t="shared" si="8"/>
        <v>3.5765961532981625</v>
      </c>
      <c r="F35" s="41">
        <f t="shared" si="8"/>
        <v>3.5765961532981625</v>
      </c>
      <c r="G35" s="41">
        <f t="shared" si="8"/>
        <v>3.5765961532981625</v>
      </c>
      <c r="H35" s="41">
        <f t="shared" si="8"/>
        <v>3.5765961532981625</v>
      </c>
      <c r="I35" s="41">
        <f t="shared" si="8"/>
        <v>3.5765961532981625</v>
      </c>
      <c r="J35" s="13"/>
      <c r="K35" s="29"/>
      <c r="L35" s="13"/>
      <c r="M35" s="42" t="s">
        <v>158</v>
      </c>
      <c r="N35" s="14"/>
      <c r="O35" s="14"/>
      <c r="T35" s="4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N35" s="18"/>
    </row>
    <row r="36" spans="1:40">
      <c r="C36" s="13"/>
      <c r="D36" s="13"/>
      <c r="E36" s="13"/>
      <c r="F36" s="13"/>
      <c r="G36" s="13"/>
      <c r="H36" s="13"/>
      <c r="I36" s="13"/>
      <c r="J36" s="13"/>
      <c r="K36" s="29"/>
      <c r="L36" s="13"/>
      <c r="M36" s="42"/>
      <c r="N36" s="14"/>
      <c r="O36" s="14"/>
      <c r="T36" s="4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N36" s="18"/>
    </row>
    <row r="37" spans="1:40">
      <c r="C37" s="13"/>
      <c r="D37" s="13"/>
      <c r="E37" s="13"/>
      <c r="F37" s="13"/>
      <c r="G37" s="13"/>
      <c r="H37" s="13"/>
      <c r="I37" s="13"/>
      <c r="J37" s="13"/>
      <c r="K37" s="29"/>
      <c r="L37" s="13"/>
      <c r="M37" s="42"/>
      <c r="N37" s="14"/>
      <c r="O37" s="14"/>
      <c r="T37" s="4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N37" s="18"/>
    </row>
    <row r="38" spans="1:40">
      <c r="C38" s="13"/>
      <c r="D38" s="13"/>
      <c r="E38" s="13"/>
      <c r="F38" s="13"/>
      <c r="G38" s="13"/>
      <c r="H38" s="13"/>
      <c r="I38" s="13"/>
      <c r="J38" s="13"/>
      <c r="K38" s="29"/>
      <c r="L38" s="13" t="s">
        <v>314</v>
      </c>
      <c r="M38" s="1"/>
      <c r="N38" s="14"/>
      <c r="O38" s="14"/>
      <c r="T38" s="4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N38" s="18"/>
    </row>
    <row r="39" spans="1:40">
      <c r="A39" s="1" t="s">
        <v>373</v>
      </c>
      <c r="C39" s="13">
        <f t="shared" ref="C39:I41" si="9">C10*$L39*C$42</f>
        <v>3670.5993503994728</v>
      </c>
      <c r="D39" s="13">
        <f t="shared" si="9"/>
        <v>4481.7857190648174</v>
      </c>
      <c r="E39" s="13">
        <f t="shared" si="9"/>
        <v>3856.6522607011275</v>
      </c>
      <c r="F39" s="13">
        <f t="shared" si="9"/>
        <v>2474.5588571724629</v>
      </c>
      <c r="G39" s="13">
        <f t="shared" si="9"/>
        <v>1554.2121993075314</v>
      </c>
      <c r="H39" s="13">
        <f t="shared" si="9"/>
        <v>804.18464368257435</v>
      </c>
      <c r="I39" s="13">
        <f t="shared" si="9"/>
        <v>1506.1197813240847</v>
      </c>
      <c r="J39" s="13">
        <f>SUM(C39:I39)</f>
        <v>18348.112811652067</v>
      </c>
      <c r="K39" s="29"/>
      <c r="L39" s="13">
        <f>JRC_TrRoad_ene!V74</f>
        <v>2.7854456564332098E-2</v>
      </c>
      <c r="M39" s="4" t="s">
        <v>197</v>
      </c>
      <c r="N39" s="14"/>
      <c r="O39" s="14"/>
      <c r="T39" s="4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N39" s="18"/>
    </row>
    <row r="40" spans="1:40">
      <c r="A40" s="1" t="s">
        <v>374</v>
      </c>
      <c r="C40" s="13">
        <f t="shared" si="9"/>
        <v>4947286.0475452365</v>
      </c>
      <c r="D40" s="13">
        <f t="shared" si="9"/>
        <v>6040614.5807233928</v>
      </c>
      <c r="E40" s="13">
        <f t="shared" si="9"/>
        <v>5198050.8081123047</v>
      </c>
      <c r="F40" s="13">
        <f t="shared" si="9"/>
        <v>3335245.6477132188</v>
      </c>
      <c r="G40" s="13">
        <f t="shared" si="9"/>
        <v>2094789.323090229</v>
      </c>
      <c r="H40" s="13">
        <f t="shared" si="9"/>
        <v>1083891.5085919013</v>
      </c>
      <c r="I40" s="13">
        <f t="shared" si="9"/>
        <v>2029969.6776401405</v>
      </c>
      <c r="J40" s="13">
        <f>SUM(C40:I40)</f>
        <v>24729847.593416423</v>
      </c>
      <c r="K40" s="29"/>
      <c r="L40" s="13">
        <f>JRC_TrRoad_ene!V72</f>
        <v>5.2077204547953435E-2</v>
      </c>
      <c r="M40" s="42"/>
      <c r="N40" s="14"/>
      <c r="O40" s="14"/>
      <c r="T40" s="4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N40" s="18"/>
    </row>
    <row r="41" spans="1:40">
      <c r="A41" s="1" t="s">
        <v>375</v>
      </c>
      <c r="C41" s="13">
        <f t="shared" si="9"/>
        <v>366.37669641557272</v>
      </c>
      <c r="D41" s="13">
        <f t="shared" si="9"/>
        <v>447.34434054066895</v>
      </c>
      <c r="E41" s="13">
        <f t="shared" si="9"/>
        <v>384.9473558985818</v>
      </c>
      <c r="F41" s="13">
        <f t="shared" si="9"/>
        <v>246.99527587451729</v>
      </c>
      <c r="G41" s="13">
        <f t="shared" si="9"/>
        <v>155.13192172529099</v>
      </c>
      <c r="H41" s="13">
        <f t="shared" si="9"/>
        <v>80.268774915053257</v>
      </c>
      <c r="I41" s="13">
        <f t="shared" si="9"/>
        <v>150.33163176133883</v>
      </c>
      <c r="J41" s="13">
        <f>SUM(C41:I41)</f>
        <v>1831.3959971310242</v>
      </c>
      <c r="K41" s="29"/>
      <c r="L41" s="13">
        <f>JRC_TrRoad_ene!V73</f>
        <v>6.4286352401634397E-2</v>
      </c>
      <c r="M41" s="42"/>
      <c r="N41" s="14"/>
      <c r="O41" s="14"/>
      <c r="T41" s="4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N41" s="18"/>
    </row>
    <row r="42" spans="1:40">
      <c r="A42" s="1" t="s">
        <v>317</v>
      </c>
      <c r="C42" s="13">
        <v>1</v>
      </c>
      <c r="D42" s="13">
        <v>1.05</v>
      </c>
      <c r="E42" s="13">
        <v>1.1000000000000001</v>
      </c>
      <c r="F42" s="13">
        <v>1.1499999999999999</v>
      </c>
      <c r="G42" s="13">
        <v>1.2</v>
      </c>
      <c r="H42" s="13">
        <v>1.25</v>
      </c>
      <c r="I42" s="13">
        <v>1.3</v>
      </c>
      <c r="J42" s="13">
        <f>SUM(J39:J41)</f>
        <v>24750027.102225203</v>
      </c>
      <c r="K42" s="29"/>
      <c r="L42" s="13"/>
      <c r="M42" s="42"/>
      <c r="N42" s="14"/>
      <c r="O42" s="14"/>
      <c r="T42" s="4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N42" s="18"/>
    </row>
    <row r="43" spans="1:40">
      <c r="C43" s="13"/>
      <c r="D43" s="13"/>
      <c r="E43" s="13"/>
      <c r="F43" s="13"/>
      <c r="G43" s="13"/>
      <c r="H43" s="13"/>
      <c r="I43" s="13"/>
      <c r="J43" s="13"/>
      <c r="K43" s="29"/>
      <c r="L43" s="13"/>
      <c r="M43" s="42"/>
      <c r="N43" s="14"/>
      <c r="O43" s="14"/>
      <c r="T43" s="4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N43" s="18"/>
    </row>
    <row r="44" spans="1:40">
      <c r="A44" s="1" t="s">
        <v>327</v>
      </c>
      <c r="C44" s="13">
        <f>0.691256410152031-0.01</f>
        <v>0.68125641015203098</v>
      </c>
      <c r="D44" s="13">
        <f t="shared" ref="D44:I44" si="10">$C44</f>
        <v>0.68125641015203098</v>
      </c>
      <c r="E44" s="13">
        <f t="shared" si="10"/>
        <v>0.68125641015203098</v>
      </c>
      <c r="F44" s="13">
        <f t="shared" si="10"/>
        <v>0.68125641015203098</v>
      </c>
      <c r="G44" s="13">
        <f t="shared" si="10"/>
        <v>0.68125641015203098</v>
      </c>
      <c r="H44" s="13">
        <f t="shared" si="10"/>
        <v>0.68125641015203098</v>
      </c>
      <c r="I44" s="13">
        <f t="shared" si="10"/>
        <v>0.68125641015203098</v>
      </c>
      <c r="J44" s="13"/>
      <c r="K44" s="29"/>
      <c r="L44" s="13"/>
      <c r="M44" s="42"/>
      <c r="N44" s="14"/>
      <c r="O44" s="14"/>
      <c r="T44" s="4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N44" s="18"/>
    </row>
    <row r="45" spans="1:40">
      <c r="A45" s="1" t="s">
        <v>328</v>
      </c>
      <c r="C45" s="13">
        <f>C$44</f>
        <v>0.68125641015203098</v>
      </c>
      <c r="D45" s="13">
        <f t="shared" ref="D45:I45" si="11">D$44</f>
        <v>0.68125641015203098</v>
      </c>
      <c r="E45" s="13">
        <f t="shared" si="11"/>
        <v>0.68125641015203098</v>
      </c>
      <c r="F45" s="13">
        <f t="shared" si="11"/>
        <v>0.68125641015203098</v>
      </c>
      <c r="G45" s="13">
        <f t="shared" si="11"/>
        <v>0.68125641015203098</v>
      </c>
      <c r="H45" s="13">
        <f t="shared" si="11"/>
        <v>0.68125641015203098</v>
      </c>
      <c r="I45" s="13">
        <f t="shared" si="11"/>
        <v>0.68125641015203098</v>
      </c>
      <c r="J45" s="13"/>
      <c r="K45" s="29"/>
      <c r="L45" s="13"/>
      <c r="M45" s="42"/>
      <c r="N45" s="14"/>
      <c r="O45" s="14"/>
      <c r="T45" s="4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N45" s="18"/>
    </row>
    <row r="46" spans="1:40">
      <c r="A46" s="1" t="s">
        <v>329</v>
      </c>
      <c r="C46" s="13">
        <f t="shared" ref="C46:I47" si="12">C$44</f>
        <v>0.68125641015203098</v>
      </c>
      <c r="D46" s="13">
        <f t="shared" si="12"/>
        <v>0.68125641015203098</v>
      </c>
      <c r="E46" s="13">
        <f t="shared" si="12"/>
        <v>0.68125641015203098</v>
      </c>
      <c r="F46" s="13">
        <f t="shared" si="12"/>
        <v>0.68125641015203098</v>
      </c>
      <c r="G46" s="13">
        <f t="shared" si="12"/>
        <v>0.68125641015203098</v>
      </c>
      <c r="H46" s="13">
        <f t="shared" si="12"/>
        <v>0.68125641015203098</v>
      </c>
      <c r="I46" s="13">
        <f t="shared" si="12"/>
        <v>0.68125641015203098</v>
      </c>
      <c r="J46" s="13"/>
      <c r="K46" s="29"/>
      <c r="L46" s="13"/>
      <c r="M46" s="42"/>
      <c r="N46" s="14"/>
      <c r="O46" s="14"/>
      <c r="T46" s="4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N46" s="18"/>
    </row>
    <row r="47" spans="1:40">
      <c r="A47" s="1" t="s">
        <v>330</v>
      </c>
      <c r="C47" s="13">
        <f t="shared" si="12"/>
        <v>0.68125641015203098</v>
      </c>
      <c r="D47" s="13">
        <f t="shared" si="12"/>
        <v>0.68125641015203098</v>
      </c>
      <c r="E47" s="13">
        <f t="shared" si="12"/>
        <v>0.68125641015203098</v>
      </c>
      <c r="F47" s="13">
        <f t="shared" si="12"/>
        <v>0.68125641015203098</v>
      </c>
      <c r="G47" s="13">
        <f t="shared" si="12"/>
        <v>0.68125641015203098</v>
      </c>
      <c r="H47" s="13">
        <f t="shared" si="12"/>
        <v>0.68125641015203098</v>
      </c>
      <c r="I47" s="13">
        <f t="shared" si="12"/>
        <v>0.68125641015203098</v>
      </c>
      <c r="J47" s="13"/>
      <c r="K47" s="29"/>
      <c r="L47" s="13"/>
      <c r="M47" s="42"/>
      <c r="N47" s="14"/>
      <c r="O47" s="14"/>
      <c r="T47" s="4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N47" s="18"/>
    </row>
    <row r="48" spans="1:40">
      <c r="C48" s="29"/>
      <c r="D48" s="29"/>
      <c r="E48" s="29"/>
      <c r="F48" s="29"/>
      <c r="G48" s="29"/>
      <c r="H48" s="29"/>
      <c r="I48" s="29"/>
      <c r="J48" s="29"/>
      <c r="K48" s="29"/>
      <c r="M48" s="42"/>
      <c r="N48" s="14"/>
      <c r="O48" s="14"/>
      <c r="T48" s="4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N48" s="18"/>
    </row>
    <row r="49" spans="3:40">
      <c r="C49" s="29"/>
      <c r="D49" s="29"/>
      <c r="E49" s="29"/>
      <c r="F49" s="29"/>
      <c r="G49" s="29"/>
      <c r="H49" s="29"/>
      <c r="I49" s="29"/>
      <c r="J49" s="29"/>
      <c r="K49" s="29"/>
      <c r="M49" s="42"/>
      <c r="N49" s="14"/>
      <c r="O49" s="14"/>
      <c r="T49" s="4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N49" s="18"/>
    </row>
    <row r="50" spans="3:40">
      <c r="C50" s="29"/>
      <c r="D50" s="29"/>
      <c r="E50" s="29"/>
      <c r="F50" s="29"/>
      <c r="G50" s="29"/>
      <c r="H50" s="29"/>
      <c r="I50" s="29"/>
      <c r="J50" s="29"/>
      <c r="K50" s="29"/>
      <c r="M50" s="42"/>
      <c r="N50" s="14"/>
      <c r="O50" s="14"/>
      <c r="T50" s="4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N50" s="18"/>
    </row>
    <row r="51" spans="3:40">
      <c r="C51" s="29"/>
      <c r="D51" s="29"/>
      <c r="E51" s="29"/>
      <c r="F51" s="29"/>
      <c r="G51" s="29"/>
      <c r="H51" s="29"/>
      <c r="I51" s="29"/>
      <c r="J51" s="29"/>
      <c r="K51" s="29"/>
      <c r="M51" s="42"/>
      <c r="N51" s="14"/>
      <c r="O51" s="14"/>
      <c r="T51" s="4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N51" s="18"/>
    </row>
    <row r="52" spans="3:40">
      <c r="C52" s="29"/>
      <c r="D52" s="29"/>
      <c r="E52" s="29"/>
      <c r="F52" s="29"/>
      <c r="G52" s="29"/>
      <c r="H52" s="29"/>
      <c r="I52" s="29"/>
      <c r="J52" s="29"/>
      <c r="K52" s="29"/>
      <c r="M52" s="42"/>
      <c r="N52" s="14"/>
      <c r="O52" s="14"/>
      <c r="T52" s="4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N52" s="18"/>
    </row>
    <row r="53" spans="3:40">
      <c r="C53" s="29"/>
      <c r="D53" s="29"/>
      <c r="E53" s="29"/>
      <c r="F53" s="29"/>
      <c r="G53" s="29"/>
      <c r="H53" s="29"/>
      <c r="I53" s="29"/>
      <c r="J53" s="29"/>
      <c r="K53" s="29"/>
      <c r="M53" s="42"/>
      <c r="N53" s="14"/>
      <c r="O53" s="14"/>
      <c r="T53" s="4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N53" s="18"/>
    </row>
    <row r="54" spans="3:40">
      <c r="C54" s="29"/>
      <c r="D54" s="29"/>
      <c r="E54" s="29"/>
      <c r="F54" s="29"/>
      <c r="G54" s="29"/>
      <c r="H54" s="29"/>
      <c r="I54" s="29"/>
      <c r="J54" s="29"/>
      <c r="K54" s="29"/>
      <c r="M54" s="42"/>
      <c r="N54" s="14"/>
      <c r="O54" s="14"/>
      <c r="T54" s="4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N54" s="18"/>
    </row>
    <row r="55" spans="3:40">
      <c r="C55" s="29"/>
      <c r="D55" s="29"/>
      <c r="E55" s="29"/>
      <c r="F55" s="29"/>
      <c r="G55" s="29"/>
      <c r="H55" s="29"/>
      <c r="I55" s="29"/>
      <c r="J55" s="29"/>
      <c r="K55" s="29"/>
      <c r="M55" s="42"/>
      <c r="N55" s="14"/>
      <c r="O55" s="14"/>
      <c r="T55" s="4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N55" s="18"/>
    </row>
    <row r="56" spans="3:40">
      <c r="C56" s="29"/>
      <c r="D56" s="29"/>
      <c r="E56" s="29"/>
      <c r="F56" s="29"/>
      <c r="G56" s="29"/>
      <c r="H56" s="29"/>
      <c r="I56" s="29"/>
      <c r="J56" s="29"/>
      <c r="K56" s="29"/>
      <c r="M56" s="42"/>
      <c r="N56" s="14"/>
      <c r="O56" s="14"/>
      <c r="T56" s="4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N56" s="18"/>
    </row>
    <row r="57" spans="3:40">
      <c r="C57" s="29"/>
      <c r="D57" s="29"/>
      <c r="E57" s="29"/>
      <c r="F57" s="29"/>
      <c r="G57" s="29"/>
      <c r="H57" s="29"/>
      <c r="I57" s="29"/>
      <c r="J57" s="29"/>
      <c r="K57" s="29"/>
      <c r="M57" s="42"/>
      <c r="N57" s="14"/>
      <c r="O57" s="14"/>
      <c r="T57" s="4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N57" s="18"/>
    </row>
    <row r="58" spans="3:40">
      <c r="C58" s="29"/>
      <c r="D58" s="29"/>
      <c r="E58" s="29"/>
      <c r="F58" s="29"/>
      <c r="G58" s="29"/>
      <c r="H58" s="29"/>
      <c r="I58" s="29"/>
      <c r="J58" s="29"/>
      <c r="K58" s="29"/>
      <c r="M58" s="42"/>
      <c r="N58" s="14"/>
      <c r="O58" s="14"/>
      <c r="T58" s="4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N58" s="18"/>
    </row>
    <row r="59" spans="3:40">
      <c r="C59" s="29"/>
      <c r="D59" s="29"/>
      <c r="E59" s="29"/>
      <c r="F59" s="29"/>
      <c r="G59" s="29"/>
      <c r="H59" s="29"/>
      <c r="I59" s="29"/>
      <c r="J59" s="29"/>
      <c r="K59" s="29"/>
      <c r="M59" s="42"/>
      <c r="N59" s="14"/>
      <c r="O59" s="14"/>
      <c r="T59" s="4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N59" s="18"/>
    </row>
    <row r="60" spans="3:40">
      <c r="C60" s="29"/>
      <c r="D60" s="29"/>
      <c r="E60" s="29"/>
      <c r="F60" s="29"/>
      <c r="G60" s="29"/>
      <c r="H60" s="29"/>
      <c r="I60" s="29"/>
      <c r="J60" s="29"/>
      <c r="K60" s="29"/>
      <c r="M60" s="42"/>
      <c r="N60" s="14"/>
      <c r="O60" s="14"/>
      <c r="T60" s="4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N60" s="18"/>
    </row>
    <row r="61" spans="3:40">
      <c r="C61" s="14"/>
      <c r="D61" s="14"/>
      <c r="E61" s="14"/>
      <c r="F61" s="14"/>
      <c r="G61" s="14"/>
      <c r="H61" s="13"/>
      <c r="I61" s="13"/>
      <c r="J61" s="14"/>
      <c r="K61" s="14"/>
      <c r="M61" s="42"/>
      <c r="N61" s="14"/>
      <c r="O61" s="14"/>
      <c r="T61" s="4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N61" s="18"/>
    </row>
    <row r="62" spans="3:40">
      <c r="C62" s="14"/>
      <c r="D62" s="14"/>
      <c r="E62" s="14"/>
      <c r="F62" s="14"/>
      <c r="G62" s="14"/>
      <c r="H62" s="13"/>
      <c r="I62" s="13"/>
      <c r="J62" s="14"/>
      <c r="K62" s="14"/>
      <c r="M62" s="42"/>
      <c r="N62" s="14"/>
      <c r="O62" s="14"/>
      <c r="T62" s="4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N62" s="18"/>
    </row>
    <row r="63" spans="3:40">
      <c r="C63" s="14"/>
      <c r="D63" s="14"/>
      <c r="E63" s="14"/>
      <c r="F63" s="14"/>
      <c r="G63" s="14"/>
      <c r="H63" s="13"/>
      <c r="I63" s="13"/>
      <c r="J63" s="14"/>
      <c r="K63" s="14"/>
      <c r="M63" s="42"/>
      <c r="N63" s="14"/>
      <c r="O63" s="14"/>
      <c r="T63" s="4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N63" s="18"/>
    </row>
    <row r="64" spans="3:40">
      <c r="C64" s="14"/>
      <c r="D64" s="14"/>
      <c r="E64" s="14"/>
      <c r="F64" s="14"/>
      <c r="G64" s="14"/>
      <c r="H64" s="13"/>
      <c r="I64" s="13"/>
      <c r="J64" s="14"/>
      <c r="K64" s="14"/>
      <c r="M64" s="42"/>
      <c r="N64" s="14"/>
      <c r="O64" s="14"/>
      <c r="T64" s="4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N64" s="18"/>
    </row>
    <row r="65" spans="3:40">
      <c r="C65" s="14"/>
      <c r="D65" s="14"/>
      <c r="E65" s="14"/>
      <c r="F65" s="14"/>
      <c r="G65" s="14"/>
      <c r="H65" s="13"/>
      <c r="I65" s="13"/>
      <c r="J65" s="14"/>
      <c r="K65" s="14"/>
      <c r="M65" s="42"/>
      <c r="N65" s="14"/>
      <c r="O65" s="14"/>
      <c r="T65" s="4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N65" s="18"/>
    </row>
    <row r="66" spans="3:40">
      <c r="C66" s="14"/>
      <c r="D66" s="14"/>
      <c r="E66" s="14"/>
      <c r="F66" s="14"/>
      <c r="G66" s="14"/>
      <c r="H66" s="13"/>
      <c r="I66" s="13"/>
      <c r="J66" s="14"/>
      <c r="K66" s="14"/>
      <c r="M66" s="42"/>
      <c r="N66" s="14"/>
      <c r="O66" s="14"/>
      <c r="T66" s="4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N66" s="18"/>
    </row>
    <row r="67" spans="3:40">
      <c r="C67" s="14"/>
      <c r="D67" s="14"/>
      <c r="E67" s="14"/>
      <c r="F67" s="14"/>
      <c r="G67" s="14"/>
      <c r="H67" s="13"/>
      <c r="I67" s="13"/>
      <c r="J67" s="14"/>
      <c r="K67" s="14"/>
      <c r="M67" s="42"/>
      <c r="N67" s="14"/>
      <c r="O67" s="14"/>
      <c r="T67" s="4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N67" s="18"/>
    </row>
    <row r="68" spans="3:40">
      <c r="C68" s="14"/>
      <c r="D68" s="14"/>
      <c r="E68" s="14"/>
      <c r="F68" s="14"/>
      <c r="G68" s="14"/>
      <c r="H68" s="13"/>
      <c r="I68" s="13"/>
      <c r="J68" s="14"/>
      <c r="K68" s="14"/>
      <c r="M68" s="42"/>
      <c r="N68" s="14"/>
      <c r="O68" s="14"/>
      <c r="T68" s="4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N68" s="18"/>
    </row>
    <row r="69" spans="3:40">
      <c r="C69" s="14"/>
      <c r="D69" s="14"/>
      <c r="E69" s="14"/>
      <c r="F69" s="14"/>
      <c r="G69" s="14"/>
      <c r="H69" s="13"/>
      <c r="I69" s="13"/>
      <c r="J69" s="14"/>
      <c r="K69" s="14"/>
      <c r="M69" s="42"/>
      <c r="N69" s="14"/>
      <c r="O69" s="14"/>
      <c r="T69" s="4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N69" s="18"/>
    </row>
    <row r="70" spans="3:40">
      <c r="C70" s="13"/>
      <c r="D70" s="13"/>
      <c r="E70" s="13"/>
      <c r="F70" s="13"/>
      <c r="G70" s="13"/>
      <c r="H70" s="13"/>
      <c r="I70" s="13"/>
      <c r="AA70" s="4"/>
    </row>
    <row r="71" spans="3:40">
      <c r="C71" s="13"/>
      <c r="D71" s="13"/>
      <c r="E71" s="13"/>
      <c r="F71" s="13"/>
      <c r="G71" s="13"/>
      <c r="H71" s="13"/>
      <c r="I71" s="13"/>
      <c r="AA71" s="4"/>
    </row>
    <row r="72" spans="3:40">
      <c r="C72" s="13"/>
      <c r="D72" s="13"/>
      <c r="E72" s="13"/>
      <c r="F72" s="13"/>
      <c r="G72" s="13"/>
      <c r="H72" s="13"/>
      <c r="I72" s="13"/>
      <c r="AA72" s="4"/>
    </row>
    <row r="73" spans="3:40">
      <c r="C73" s="13"/>
      <c r="D73" s="13"/>
      <c r="E73" s="13"/>
      <c r="F73" s="13"/>
      <c r="G73" s="13"/>
      <c r="H73" s="13"/>
      <c r="I73" s="13"/>
      <c r="AA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3:40">
      <c r="C74" s="13"/>
      <c r="D74" s="13"/>
      <c r="E74" s="13"/>
      <c r="F74" s="13"/>
      <c r="G74" s="13"/>
      <c r="H74" s="13"/>
      <c r="I74" s="13"/>
      <c r="AA74" s="4"/>
    </row>
    <row r="75" spans="3:40">
      <c r="C75" s="13"/>
      <c r="D75" s="13"/>
      <c r="E75" s="13"/>
      <c r="F75" s="13"/>
      <c r="G75" s="13"/>
      <c r="H75" s="13"/>
      <c r="I75" s="13"/>
      <c r="AA75" s="4"/>
    </row>
    <row r="76" spans="3:40">
      <c r="C76" s="13"/>
      <c r="D76" s="13"/>
      <c r="E76" s="13"/>
      <c r="F76" s="13"/>
      <c r="G76" s="13"/>
      <c r="H76" s="13"/>
      <c r="I76" s="13"/>
      <c r="AA76" s="4"/>
    </row>
    <row r="77" spans="3:40">
      <c r="AA77" s="4"/>
    </row>
    <row r="78" spans="3:40">
      <c r="AA78" s="4"/>
    </row>
    <row r="79" spans="3:40">
      <c r="AA79" s="4"/>
    </row>
    <row r="80" spans="3:40">
      <c r="AA80" s="4"/>
    </row>
    <row r="81" spans="27:42">
      <c r="AA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27:42">
      <c r="AA82" s="4"/>
      <c r="AP82" s="19"/>
    </row>
    <row r="83" spans="27:42">
      <c r="AA83" s="4"/>
    </row>
    <row r="84" spans="27:42">
      <c r="AA84" s="4"/>
    </row>
    <row r="85" spans="27:42">
      <c r="AA85" s="4"/>
    </row>
    <row r="86" spans="27:42">
      <c r="AA86" s="4"/>
    </row>
    <row r="87" spans="27:42">
      <c r="AA87" s="4"/>
    </row>
    <row r="88" spans="27:42">
      <c r="AA88" s="4"/>
    </row>
    <row r="89" spans="27:42">
      <c r="AA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27:42">
      <c r="AA90" s="4"/>
    </row>
    <row r="91" spans="27:42">
      <c r="AA91" s="4"/>
    </row>
    <row r="92" spans="27:42">
      <c r="AA92" s="4"/>
    </row>
    <row r="93" spans="27:42">
      <c r="AA93" s="4"/>
    </row>
    <row r="94" spans="27:42">
      <c r="AA94" s="4"/>
    </row>
    <row r="95" spans="27:42">
      <c r="AA95" s="4"/>
    </row>
    <row r="96" spans="27:42">
      <c r="AA96" s="4"/>
    </row>
    <row r="97" spans="1:29">
      <c r="AA97" s="4"/>
    </row>
    <row r="98" spans="1:29">
      <c r="AA98" s="4"/>
      <c r="AC98" s="6"/>
    </row>
    <row r="99" spans="1:29">
      <c r="AA99" s="4"/>
    </row>
    <row r="100" spans="1:29">
      <c r="AA100" s="4"/>
    </row>
    <row r="101" spans="1:29">
      <c r="L101" s="4"/>
      <c r="O101" s="4"/>
      <c r="AA101" s="4"/>
    </row>
    <row r="102" spans="1:29">
      <c r="AA102" s="4"/>
    </row>
    <row r="103" spans="1:29">
      <c r="AA103" s="4"/>
    </row>
    <row r="104" spans="1:29">
      <c r="AA104" s="4"/>
    </row>
    <row r="105" spans="1:29">
      <c r="AA105" s="4"/>
    </row>
    <row r="106" spans="1:29">
      <c r="AA106" s="4"/>
    </row>
    <row r="107" spans="1:29">
      <c r="AA107" s="4"/>
    </row>
    <row r="108" spans="1:29">
      <c r="AA108" s="4"/>
    </row>
    <row r="109" spans="1:29">
      <c r="AA109" s="4"/>
    </row>
    <row r="110" spans="1:29">
      <c r="AA110" s="4"/>
    </row>
    <row r="111" spans="1:29">
      <c r="A111" s="13"/>
      <c r="B111" s="13"/>
      <c r="AA111" s="4"/>
    </row>
    <row r="112" spans="1:29">
      <c r="AA112" s="4"/>
    </row>
    <row r="113" spans="27:41">
      <c r="AA113" s="4"/>
    </row>
    <row r="114" spans="27:41">
      <c r="AA114" s="4"/>
    </row>
    <row r="115" spans="27:41">
      <c r="AA115" s="4"/>
    </row>
    <row r="116" spans="27:41" ht="12.75" customHeight="1">
      <c r="AA116" s="4"/>
    </row>
    <row r="117" spans="27:41">
      <c r="AA117" s="4"/>
    </row>
    <row r="118" spans="27:41">
      <c r="AA118" s="4"/>
    </row>
    <row r="119" spans="27:41">
      <c r="AA119" s="4"/>
    </row>
    <row r="120" spans="27:41">
      <c r="AA120" s="4"/>
    </row>
    <row r="121" spans="27:41">
      <c r="AA121" s="4"/>
    </row>
    <row r="122" spans="27:41">
      <c r="AA122" s="4"/>
      <c r="AC122" s="20"/>
      <c r="AD122" s="20"/>
      <c r="AE122" s="20"/>
      <c r="AF122" s="20"/>
      <c r="AG122" s="20"/>
      <c r="AH122" s="21"/>
      <c r="AI122" s="21"/>
      <c r="AJ122" s="21"/>
      <c r="AK122" s="21"/>
      <c r="AL122" s="21"/>
      <c r="AM122" s="21"/>
      <c r="AN122" s="21"/>
      <c r="AO122" s="21"/>
    </row>
    <row r="123" spans="27:41">
      <c r="AA123" s="4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</row>
    <row r="124" spans="27:41">
      <c r="AA124" s="4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</row>
    <row r="125" spans="27:41">
      <c r="AA125" s="4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</row>
    <row r="126" spans="27:41">
      <c r="AA126" s="4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</row>
    <row r="127" spans="27:41">
      <c r="AA127" s="4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</row>
    <row r="128" spans="27:41">
      <c r="AA128" s="4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</row>
    <row r="129" spans="1:27">
      <c r="AA129" s="4"/>
    </row>
    <row r="130" spans="1:27">
      <c r="AA130" s="4"/>
    </row>
    <row r="131" spans="1:27">
      <c r="AA131" s="4"/>
    </row>
    <row r="132" spans="1:27">
      <c r="AA132" s="4"/>
    </row>
    <row r="133" spans="1:27">
      <c r="AA133" s="4"/>
    </row>
    <row r="134" spans="1:27">
      <c r="AA134" s="4"/>
    </row>
    <row r="135" spans="1:27">
      <c r="AA135" s="4"/>
    </row>
    <row r="136" spans="1:27">
      <c r="AA136" s="4"/>
    </row>
    <row r="137" spans="1:27">
      <c r="AA137" s="4"/>
    </row>
    <row r="138" spans="1:27">
      <c r="AA138" s="4"/>
    </row>
    <row r="139" spans="1:27">
      <c r="AA139" s="4"/>
    </row>
    <row r="140" spans="1:27">
      <c r="AA140" s="4"/>
    </row>
    <row r="141" spans="1:27">
      <c r="AA141" s="4"/>
    </row>
    <row r="142" spans="1:27">
      <c r="AA142" s="4"/>
    </row>
    <row r="143" spans="1:27">
      <c r="A143" s="13"/>
      <c r="B143" s="13"/>
      <c r="AA143" s="4"/>
    </row>
    <row r="144" spans="1:27">
      <c r="A144" s="13"/>
      <c r="B144" s="13"/>
      <c r="AA144" s="4"/>
    </row>
    <row r="145" spans="27:40">
      <c r="AA145" s="4"/>
      <c r="AC145" s="6"/>
      <c r="AD145" s="6"/>
      <c r="AE145" s="6"/>
      <c r="AF145" s="6"/>
      <c r="AG145" s="6"/>
    </row>
    <row r="146" spans="27:40">
      <c r="AA146" s="4"/>
      <c r="AC146" s="6"/>
      <c r="AD146" s="6"/>
      <c r="AE146" s="6"/>
      <c r="AF146" s="6"/>
      <c r="AG146" s="6"/>
    </row>
    <row r="147" spans="27:40">
      <c r="AA147" s="4"/>
      <c r="AC147" s="6"/>
      <c r="AD147" s="6"/>
      <c r="AE147" s="6"/>
      <c r="AF147" s="6"/>
      <c r="AG147" s="6"/>
    </row>
    <row r="148" spans="27:40">
      <c r="AA148" s="4"/>
      <c r="AC148" s="6"/>
      <c r="AD148" s="6"/>
      <c r="AE148" s="6"/>
      <c r="AF148" s="6"/>
      <c r="AG148" s="6"/>
    </row>
    <row r="149" spans="27:40">
      <c r="AA149" s="4"/>
      <c r="AC149" s="6"/>
      <c r="AD149" s="6"/>
      <c r="AE149" s="6"/>
      <c r="AF149" s="6"/>
      <c r="AG149" s="6"/>
    </row>
    <row r="150" spans="27:40">
      <c r="AA150" s="4"/>
      <c r="AC150" s="6"/>
      <c r="AD150" s="6"/>
      <c r="AE150" s="6"/>
      <c r="AF150" s="6"/>
      <c r="AG150" s="6"/>
    </row>
    <row r="151" spans="27:40">
      <c r="AA151" s="4"/>
      <c r="AC151" s="6"/>
      <c r="AD151" s="6"/>
      <c r="AE151" s="6"/>
      <c r="AF151" s="6"/>
      <c r="AG151" s="6"/>
    </row>
    <row r="152" spans="27:40">
      <c r="AA152" s="4"/>
      <c r="AC152" s="6"/>
      <c r="AD152" s="6"/>
      <c r="AE152" s="6"/>
      <c r="AF152" s="6"/>
      <c r="AG152" s="6"/>
    </row>
    <row r="153" spans="27:40">
      <c r="AA153" s="4"/>
      <c r="AN153" s="22"/>
    </row>
    <row r="154" spans="27:40">
      <c r="AA154" s="4"/>
    </row>
    <row r="155" spans="27:40">
      <c r="AA155" s="4"/>
    </row>
    <row r="156" spans="27:40">
      <c r="AA156" s="4"/>
    </row>
    <row r="157" spans="27:40">
      <c r="AA157" s="4"/>
    </row>
    <row r="158" spans="27:40">
      <c r="AA158" s="4"/>
    </row>
    <row r="159" spans="27:40">
      <c r="AA159" s="4"/>
    </row>
    <row r="160" spans="27:40">
      <c r="AA160" s="4"/>
    </row>
    <row r="161" spans="27:33">
      <c r="AA161" s="4"/>
    </row>
    <row r="162" spans="27:33">
      <c r="AA162" s="4"/>
      <c r="AC162" s="23"/>
      <c r="AD162" s="23"/>
      <c r="AE162" s="23"/>
      <c r="AF162" s="23"/>
      <c r="AG162" s="23"/>
    </row>
    <row r="163" spans="27:33">
      <c r="AA163" s="4"/>
      <c r="AC163" s="6"/>
      <c r="AD163" s="6"/>
      <c r="AE163" s="6"/>
      <c r="AF163" s="6"/>
      <c r="AG163" s="6"/>
    </row>
    <row r="164" spans="27:33">
      <c r="AA164" s="4"/>
      <c r="AC164" s="6"/>
      <c r="AD164" s="6"/>
      <c r="AE164" s="6"/>
      <c r="AF164" s="6"/>
      <c r="AG164" s="6"/>
    </row>
    <row r="165" spans="27:33">
      <c r="AA165" s="4"/>
      <c r="AC165" s="6"/>
      <c r="AD165" s="6"/>
      <c r="AE165" s="6"/>
      <c r="AF165" s="6"/>
      <c r="AG165" s="6"/>
    </row>
    <row r="166" spans="27:33">
      <c r="AA166" s="4"/>
      <c r="AC166" s="6"/>
      <c r="AD166" s="6"/>
      <c r="AE166" s="6"/>
      <c r="AF166" s="6"/>
      <c r="AG166" s="6"/>
    </row>
    <row r="167" spans="27:33">
      <c r="AA167" s="4"/>
      <c r="AC167" s="6"/>
      <c r="AD167" s="6"/>
      <c r="AE167" s="6"/>
      <c r="AF167" s="6"/>
      <c r="AG167" s="6"/>
    </row>
    <row r="168" spans="27:33">
      <c r="AA168" s="4"/>
      <c r="AC168" s="6"/>
      <c r="AD168" s="6"/>
      <c r="AE168" s="6"/>
      <c r="AF168" s="6"/>
      <c r="AG168" s="6"/>
    </row>
    <row r="169" spans="27:33">
      <c r="AA169" s="4"/>
    </row>
    <row r="170" spans="27:33">
      <c r="AA170" s="4"/>
      <c r="AC170" s="6"/>
      <c r="AD170" s="6"/>
      <c r="AE170" s="6"/>
      <c r="AF170" s="6"/>
      <c r="AG170" s="6"/>
    </row>
    <row r="171" spans="27:33">
      <c r="AA171" s="4"/>
      <c r="AC171" s="6"/>
      <c r="AD171" s="6"/>
      <c r="AE171" s="6"/>
      <c r="AF171" s="6"/>
      <c r="AG171" s="6"/>
    </row>
    <row r="172" spans="27:33">
      <c r="AA172" s="4"/>
      <c r="AC172" s="6"/>
      <c r="AD172" s="6"/>
      <c r="AE172" s="6"/>
      <c r="AF172" s="6"/>
      <c r="AG172" s="6"/>
    </row>
    <row r="173" spans="27:33">
      <c r="AA173" s="4"/>
      <c r="AC173" s="6"/>
      <c r="AD173" s="6"/>
      <c r="AE173" s="6"/>
      <c r="AF173" s="6"/>
      <c r="AG173" s="6"/>
    </row>
    <row r="174" spans="27:33">
      <c r="AA174" s="4"/>
      <c r="AC174" s="6"/>
      <c r="AD174" s="6"/>
      <c r="AE174" s="6"/>
      <c r="AF174" s="6"/>
      <c r="AG174" s="6"/>
    </row>
    <row r="175" spans="27:33">
      <c r="AA175" s="4"/>
      <c r="AC175" s="6"/>
      <c r="AD175" s="6"/>
      <c r="AE175" s="6"/>
      <c r="AF175" s="6"/>
      <c r="AG175" s="6"/>
    </row>
    <row r="176" spans="27:33" ht="15.5" customHeight="1">
      <c r="AA176" s="4"/>
      <c r="AC176" s="6"/>
      <c r="AD176" s="6"/>
      <c r="AE176" s="6"/>
      <c r="AF176" s="6"/>
      <c r="AG176" s="6"/>
    </row>
    <row r="177" spans="27:39" ht="39" customHeight="1">
      <c r="AA177" s="11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27:39">
      <c r="AA178" s="7"/>
    </row>
    <row r="179" spans="27:39">
      <c r="AA179" s="7"/>
    </row>
    <row r="180" spans="27:39">
      <c r="AA180" s="7"/>
    </row>
    <row r="181" spans="27:39">
      <c r="AA181" s="7"/>
    </row>
    <row r="182" spans="27:39">
      <c r="AA182" s="7"/>
    </row>
    <row r="183" spans="27:39">
      <c r="AA183" s="7"/>
    </row>
    <row r="184" spans="27:39">
      <c r="AA184" s="7"/>
      <c r="AC184" s="6"/>
    </row>
    <row r="185" spans="27:39">
      <c r="AA185" s="7"/>
      <c r="AM185" s="13"/>
    </row>
    <row r="186" spans="27:39">
      <c r="AA186" s="7"/>
    </row>
    <row r="187" spans="27:39">
      <c r="AA187" s="7"/>
    </row>
    <row r="188" spans="27:39">
      <c r="AA188" s="7"/>
    </row>
    <row r="189" spans="27:39">
      <c r="AA189" s="7"/>
    </row>
    <row r="190" spans="27:39">
      <c r="AA190" s="7"/>
    </row>
    <row r="191" spans="27:39">
      <c r="AA191" s="4"/>
      <c r="AC191" s="6"/>
    </row>
    <row r="192" spans="27:39">
      <c r="AA192" s="4"/>
    </row>
    <row r="193" spans="27:29">
      <c r="AA193" s="4"/>
    </row>
    <row r="194" spans="27:29">
      <c r="AA194" s="4"/>
    </row>
    <row r="195" spans="27:29">
      <c r="AA195" s="4"/>
    </row>
    <row r="196" spans="27:29">
      <c r="AA196" s="4"/>
    </row>
    <row r="197" spans="27:29">
      <c r="AA197" s="4"/>
    </row>
    <row r="198" spans="27:29">
      <c r="AA198" s="4"/>
      <c r="AC198" s="6"/>
    </row>
    <row r="199" spans="27:29">
      <c r="AA199" s="4"/>
    </row>
    <row r="200" spans="27:29">
      <c r="AA200" s="4"/>
    </row>
    <row r="201" spans="27:29">
      <c r="AA201" s="4"/>
    </row>
    <row r="202" spans="27:29">
      <c r="AA202" s="4"/>
    </row>
    <row r="203" spans="27:29">
      <c r="AA203" s="4"/>
    </row>
    <row r="204" spans="27:29">
      <c r="AA204" s="4"/>
    </row>
    <row r="212" spans="17:17">
      <c r="Q212" s="24"/>
    </row>
    <row r="230" spans="3:8" ht="17" customHeight="1"/>
    <row r="231" spans="3:8" ht="17" customHeight="1"/>
    <row r="232" spans="3:8" ht="17" customHeight="1"/>
    <row r="233" spans="3:8" ht="17" customHeight="1"/>
    <row r="234" spans="3:8" ht="17" customHeight="1">
      <c r="C234" s="4"/>
      <c r="D234" s="4"/>
      <c r="E234" s="4"/>
      <c r="F234" s="4"/>
      <c r="G234" s="4"/>
      <c r="H234" s="9"/>
    </row>
    <row r="235" spans="3:8" ht="17" customHeight="1"/>
    <row r="236" spans="3:8" ht="17" customHeight="1"/>
    <row r="237" spans="3:8" ht="17" customHeight="1"/>
    <row r="238" spans="3:8" ht="17" customHeight="1"/>
    <row r="239" spans="3:8" ht="17" customHeight="1"/>
    <row r="240" spans="3:8" ht="17" customHeight="1"/>
    <row r="241" spans="3:8" ht="17" customHeight="1"/>
    <row r="242" spans="3:8">
      <c r="C242" s="4"/>
      <c r="D242" s="4"/>
      <c r="E242" s="4"/>
      <c r="F242" s="4"/>
      <c r="G242" s="4"/>
      <c r="H242" s="6"/>
    </row>
    <row r="250" spans="3:8">
      <c r="C250" s="4"/>
      <c r="D250" s="4"/>
      <c r="E250" s="4"/>
      <c r="F250" s="4"/>
      <c r="G250" s="4"/>
      <c r="H250" s="6"/>
    </row>
    <row r="258" spans="3:8">
      <c r="C258" s="4"/>
      <c r="D258" s="4"/>
      <c r="E258" s="4"/>
      <c r="F258" s="4"/>
      <c r="G258" s="4"/>
      <c r="H258" s="6"/>
    </row>
    <row r="266" spans="3:8">
      <c r="C266" s="4"/>
      <c r="D266" s="4"/>
      <c r="E266" s="4"/>
      <c r="F266" s="4"/>
      <c r="G266" s="4"/>
      <c r="H266" s="5"/>
    </row>
    <row r="274" spans="3:11">
      <c r="C274" s="4"/>
      <c r="D274" s="4"/>
      <c r="E274" s="4"/>
      <c r="F274" s="4"/>
      <c r="G274" s="4"/>
      <c r="H274" s="6"/>
    </row>
    <row r="282" spans="3:11">
      <c r="C282" s="4"/>
      <c r="D282" s="4"/>
      <c r="E282" s="4"/>
      <c r="F282" s="4"/>
      <c r="G282" s="4"/>
      <c r="H282" s="6"/>
    </row>
    <row r="285" spans="3:11">
      <c r="J285" s="19"/>
      <c r="K285" s="19"/>
    </row>
    <row r="290" spans="3:8">
      <c r="C290" s="4"/>
      <c r="D290" s="4"/>
      <c r="E290" s="4"/>
      <c r="F290" s="4"/>
      <c r="G290" s="4"/>
      <c r="H290" s="6"/>
    </row>
  </sheetData>
  <pageMargins left="0.7" right="0.7" top="0.75" bottom="0.75" header="0.3" footer="0.3"/>
  <pageSetup paperSize="9" scale="5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274"/>
  <sheetViews>
    <sheetView zoomScale="130" zoomScaleNormal="130" workbookViewId="0">
      <pane xSplit="2" ySplit="2" topLeftCell="C3" activePane="bottomRight" state="frozen"/>
      <selection pane="topRight" activeCell="D1" sqref="D1"/>
      <selection pane="bottomLeft" activeCell="A4" sqref="A4"/>
      <selection pane="bottomRight" activeCell="B19" sqref="B19"/>
    </sheetView>
  </sheetViews>
  <sheetFormatPr baseColWidth="10" defaultColWidth="11.5" defaultRowHeight="11"/>
  <cols>
    <col min="1" max="1" width="65.33203125" style="1" bestFit="1" customWidth="1"/>
    <col min="2" max="2" width="15.83203125" style="1" bestFit="1" customWidth="1"/>
    <col min="3" max="6" width="11.5" style="1" customWidth="1"/>
    <col min="7" max="7" width="12.5" style="1" bestFit="1" customWidth="1"/>
    <col min="8" max="10" width="11.5" style="1" customWidth="1"/>
    <col min="11" max="11" width="13.5" style="1" customWidth="1"/>
    <col min="12" max="12" width="15.5" style="1" customWidth="1"/>
    <col min="13" max="13" width="13.83203125" style="1" customWidth="1"/>
    <col min="14" max="14" width="15.1640625" style="1" customWidth="1"/>
    <col min="15" max="15" width="15.5" style="1" bestFit="1" customWidth="1"/>
    <col min="16" max="16" width="14.5" style="1" customWidth="1"/>
    <col min="17" max="17" width="13.1640625" style="1" customWidth="1"/>
    <col min="18" max="18" width="21.83203125" style="1" customWidth="1"/>
    <col min="19" max="20" width="11.5" style="1" customWidth="1"/>
    <col min="21" max="21" width="13.5" style="1" customWidth="1"/>
    <col min="22" max="22" width="11.5" style="1" customWidth="1"/>
    <col min="23" max="23" width="23.5" style="1" customWidth="1"/>
    <col min="24" max="26" width="21.5" style="1" customWidth="1"/>
    <col min="27" max="27" width="22.5" style="1" customWidth="1"/>
    <col min="28" max="32" width="16" style="1" customWidth="1"/>
    <col min="33" max="33" width="23.1640625" style="1" customWidth="1"/>
    <col min="34" max="34" width="16.5" style="1" customWidth="1"/>
    <col min="35" max="35" width="11.5" style="1" customWidth="1"/>
    <col min="36" max="36" width="23.1640625" style="1" bestFit="1" customWidth="1"/>
    <col min="37" max="37" width="8.83203125" style="1" customWidth="1"/>
    <col min="38" max="38" width="12.5" style="1" customWidth="1"/>
    <col min="39" max="16384" width="11.5" style="1"/>
  </cols>
  <sheetData>
    <row r="1" spans="1:40">
      <c r="C1" s="2" t="s">
        <v>8</v>
      </c>
      <c r="D1" s="3"/>
      <c r="E1" s="3"/>
      <c r="F1" s="3"/>
      <c r="G1" s="3"/>
      <c r="H1" s="3"/>
      <c r="I1" s="3"/>
      <c r="J1" s="3"/>
      <c r="K1" s="4"/>
      <c r="L1" s="5"/>
      <c r="O1" s="4"/>
      <c r="AA1" s="5"/>
      <c r="AN1" s="4"/>
    </row>
    <row r="2" spans="1:40">
      <c r="B2" s="1" t="s">
        <v>331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0</v>
      </c>
      <c r="L2" s="6"/>
      <c r="O2" s="4"/>
      <c r="P2" s="4"/>
      <c r="Q2" s="4"/>
      <c r="R2" s="4"/>
      <c r="S2" s="4"/>
      <c r="T2" s="4"/>
      <c r="U2" s="4"/>
      <c r="V2" s="4"/>
      <c r="AA2" s="5"/>
      <c r="AN2" s="4"/>
    </row>
    <row r="3" spans="1:40">
      <c r="A3" s="1" t="s">
        <v>22</v>
      </c>
      <c r="B3" s="4" t="s">
        <v>350</v>
      </c>
      <c r="C3" s="281">
        <v>9.8427898651574193</v>
      </c>
      <c r="D3" s="281">
        <v>11.445717414908088</v>
      </c>
      <c r="E3" s="281">
        <v>9.4015406208139911</v>
      </c>
      <c r="F3" s="281">
        <v>5.7700712715111573</v>
      </c>
      <c r="G3" s="281">
        <v>3.4730440960963973</v>
      </c>
      <c r="H3" s="281">
        <v>1.7251505173818842</v>
      </c>
      <c r="I3" s="281">
        <v>3.1066862141310607</v>
      </c>
      <c r="J3" s="281">
        <f>SUM(C3:I3)</f>
        <v>44.764999999999993</v>
      </c>
      <c r="K3" s="4"/>
      <c r="L3" s="4"/>
      <c r="M3" s="4"/>
      <c r="N3" s="4"/>
      <c r="O3" s="15"/>
      <c r="P3" s="15"/>
      <c r="Q3" s="15"/>
      <c r="R3" s="15"/>
      <c r="S3" s="15"/>
      <c r="T3" s="15"/>
      <c r="U3" s="15"/>
      <c r="V3" s="15"/>
      <c r="W3" s="4"/>
      <c r="X3" s="4"/>
      <c r="Y3" s="4"/>
      <c r="Z3" s="4"/>
      <c r="AA3" s="4"/>
      <c r="AB3" s="4"/>
      <c r="AC3" s="4"/>
      <c r="AD3" s="4"/>
      <c r="AE3" s="4"/>
      <c r="AF3" s="4"/>
      <c r="AH3" s="9"/>
      <c r="AI3" s="4"/>
      <c r="AJ3" s="4"/>
      <c r="AK3" s="4"/>
    </row>
    <row r="4" spans="1:40">
      <c r="A4" s="1" t="s">
        <v>23</v>
      </c>
      <c r="B4" s="4" t="s">
        <v>332</v>
      </c>
      <c r="C4" s="281">
        <v>7095.7005251438113</v>
      </c>
      <c r="D4" s="281">
        <v>8251.2564206116058</v>
      </c>
      <c r="E4" s="281">
        <v>6777.6024515589706</v>
      </c>
      <c r="F4" s="281">
        <v>4159.6639075179655</v>
      </c>
      <c r="G4" s="281">
        <v>2503.7292428394931</v>
      </c>
      <c r="H4" s="281">
        <v>1243.6668464772692</v>
      </c>
      <c r="I4" s="281">
        <v>2239.6206058508847</v>
      </c>
      <c r="J4" s="281">
        <f>SUM(C4:I4)</f>
        <v>32271.24</v>
      </c>
      <c r="K4" s="4"/>
      <c r="L4" s="4"/>
      <c r="M4" s="4"/>
      <c r="N4" s="4"/>
      <c r="O4" s="15"/>
      <c r="P4" s="15"/>
      <c r="Q4" s="15"/>
      <c r="R4" s="15"/>
      <c r="S4" s="15"/>
      <c r="T4" s="15"/>
      <c r="U4" s="15"/>
      <c r="V4" s="15"/>
      <c r="W4" s="4"/>
      <c r="X4" s="4"/>
      <c r="Y4" s="4"/>
      <c r="Z4" s="4"/>
      <c r="AA4" s="4"/>
      <c r="AB4" s="4"/>
      <c r="AC4" s="4"/>
      <c r="AD4" s="4"/>
      <c r="AE4" s="4"/>
      <c r="AF4" s="4"/>
      <c r="AH4" s="9"/>
      <c r="AI4" s="4"/>
      <c r="AJ4" s="4"/>
      <c r="AK4" s="4"/>
    </row>
    <row r="5" spans="1:40">
      <c r="A5" s="1" t="s">
        <v>24</v>
      </c>
      <c r="B5" s="4" t="s">
        <v>348</v>
      </c>
      <c r="C5" s="281">
        <v>0.42568169728459204</v>
      </c>
      <c r="D5" s="281">
        <v>0.49500522540516162</v>
      </c>
      <c r="E5" s="281">
        <v>0.40659851763422067</v>
      </c>
      <c r="F5" s="281">
        <v>0.24954446513225959</v>
      </c>
      <c r="G5" s="281">
        <v>0.15020246554322852</v>
      </c>
      <c r="H5" s="281">
        <v>7.4609435980148048E-2</v>
      </c>
      <c r="I5" s="281">
        <v>0.13435819302038945</v>
      </c>
      <c r="J5" s="281">
        <f>SUM(C5:I5)</f>
        <v>1.9359999999999999</v>
      </c>
      <c r="K5" s="4"/>
      <c r="L5" s="4"/>
      <c r="M5" s="4"/>
      <c r="N5" s="4"/>
      <c r="O5" s="15"/>
      <c r="P5" s="15"/>
      <c r="Q5" s="15"/>
      <c r="R5" s="15"/>
      <c r="S5" s="15"/>
      <c r="T5" s="15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H5" s="9"/>
      <c r="AI5" s="4"/>
      <c r="AJ5" s="4"/>
      <c r="AK5" s="4"/>
    </row>
    <row r="6" spans="1:40">
      <c r="A6" s="1" t="s">
        <v>34</v>
      </c>
      <c r="B6" s="25" t="s">
        <v>32</v>
      </c>
      <c r="C6" s="281">
        <v>23499476.656151418</v>
      </c>
      <c r="D6" s="281">
        <v>27326436.19230986</v>
      </c>
      <c r="E6" s="281">
        <v>22446002.340530947</v>
      </c>
      <c r="F6" s="281">
        <v>13775937.209550269</v>
      </c>
      <c r="G6" s="281">
        <v>8291827.8028986976</v>
      </c>
      <c r="H6" s="281">
        <v>4118764.5847313595</v>
      </c>
      <c r="I6" s="281">
        <v>7417155.2138274452</v>
      </c>
      <c r="J6" s="281">
        <v>106875600</v>
      </c>
      <c r="K6" s="4"/>
      <c r="L6" s="4"/>
      <c r="M6" s="4"/>
      <c r="N6" s="4"/>
      <c r="O6" s="15"/>
      <c r="P6" s="15"/>
      <c r="Q6" s="15"/>
      <c r="R6" s="15"/>
      <c r="S6" s="15"/>
      <c r="T6" s="15"/>
      <c r="U6" s="15"/>
      <c r="V6" s="15"/>
      <c r="W6" s="4"/>
      <c r="X6" s="4"/>
      <c r="Y6" s="4"/>
      <c r="Z6" s="4"/>
      <c r="AA6" s="4"/>
      <c r="AB6" s="4"/>
      <c r="AC6" s="4"/>
      <c r="AD6" s="4"/>
      <c r="AE6" s="4"/>
      <c r="AF6" s="4"/>
      <c r="AH6" s="9"/>
      <c r="AI6" s="4"/>
      <c r="AJ6" s="4"/>
      <c r="AK6" s="4"/>
    </row>
    <row r="7" spans="1:40">
      <c r="A7" s="1" t="s">
        <v>35</v>
      </c>
      <c r="B7" s="25" t="s">
        <v>33</v>
      </c>
      <c r="C7" s="281">
        <v>71637071.200761154</v>
      </c>
      <c r="D7" s="281">
        <v>83303380.914192572</v>
      </c>
      <c r="E7" s="281">
        <v>68425603.317431852</v>
      </c>
      <c r="F7" s="281">
        <v>41995309.477644764</v>
      </c>
      <c r="G7" s="281">
        <v>25277254.782829978</v>
      </c>
      <c r="H7" s="281">
        <v>12555863.951052606</v>
      </c>
      <c r="I7" s="281">
        <v>22610855.719672572</v>
      </c>
      <c r="J7" s="281">
        <v>325805339.36358547</v>
      </c>
      <c r="K7" s="4"/>
      <c r="L7" s="4"/>
      <c r="M7" s="4"/>
      <c r="N7" s="4"/>
      <c r="O7" s="15"/>
      <c r="P7" s="15"/>
      <c r="Q7" s="15"/>
      <c r="R7" s="15"/>
      <c r="S7" s="15"/>
      <c r="T7" s="15"/>
      <c r="U7" s="15"/>
      <c r="V7" s="15"/>
      <c r="W7" s="4"/>
      <c r="X7" s="4"/>
      <c r="Y7" s="4"/>
      <c r="Z7" s="4"/>
      <c r="AA7" s="4"/>
      <c r="AB7" s="4"/>
      <c r="AC7" s="4"/>
      <c r="AD7" s="4"/>
      <c r="AE7" s="4"/>
      <c r="AF7" s="4"/>
      <c r="AH7" s="9"/>
      <c r="AI7" s="4"/>
      <c r="AJ7" s="4"/>
      <c r="AK7" s="4"/>
    </row>
    <row r="8" spans="1:40">
      <c r="A8" s="1" t="s">
        <v>16</v>
      </c>
      <c r="B8" s="25" t="s">
        <v>349</v>
      </c>
      <c r="C8" s="281">
        <v>131777.81235551767</v>
      </c>
      <c r="D8" s="281">
        <v>153238.22030532765</v>
      </c>
      <c r="E8" s="281">
        <v>125870.25353127245</v>
      </c>
      <c r="F8" s="281">
        <v>77251.204151659476</v>
      </c>
      <c r="G8" s="281">
        <v>46498.011180543464</v>
      </c>
      <c r="H8" s="281">
        <v>23096.760601313345</v>
      </c>
      <c r="I8" s="281">
        <v>41593.117254534518</v>
      </c>
      <c r="J8" s="281">
        <f>SUM(C8:I8)</f>
        <v>599325.37938016851</v>
      </c>
      <c r="K8" s="4"/>
      <c r="L8" s="4"/>
      <c r="M8" s="4"/>
      <c r="N8" s="4"/>
      <c r="O8" s="15"/>
      <c r="P8" s="15"/>
      <c r="Q8" s="15"/>
      <c r="R8" s="15"/>
      <c r="S8" s="15"/>
      <c r="T8" s="15"/>
      <c r="U8" s="15"/>
      <c r="V8" s="15"/>
      <c r="W8" s="4"/>
      <c r="X8" s="4"/>
      <c r="Y8" s="4"/>
      <c r="Z8" s="4"/>
      <c r="AA8" s="4"/>
      <c r="AB8" s="4"/>
      <c r="AC8" s="4"/>
      <c r="AD8" s="4"/>
      <c r="AE8" s="4"/>
      <c r="AF8" s="4"/>
      <c r="AH8" s="9"/>
      <c r="AI8" s="4"/>
      <c r="AJ8" s="4"/>
      <c r="AK8" s="4"/>
    </row>
    <row r="9" spans="1:40">
      <c r="A9" s="1" t="s">
        <v>19</v>
      </c>
      <c r="B9" s="25" t="s">
        <v>351</v>
      </c>
      <c r="C9" s="281">
        <v>94999070.90807274</v>
      </c>
      <c r="D9" s="281">
        <v>110469951.62841734</v>
      </c>
      <c r="E9" s="281">
        <v>90740291.758484095</v>
      </c>
      <c r="F9" s="281">
        <v>55690654.517305911</v>
      </c>
      <c r="G9" s="281">
        <v>33520573.625153612</v>
      </c>
      <c r="H9" s="281">
        <v>16650532.884787831</v>
      </c>
      <c r="I9" s="281">
        <v>29984618.994062871</v>
      </c>
      <c r="J9" s="281">
        <f>SUM(C9:I9)</f>
        <v>432055694.31628442</v>
      </c>
      <c r="K9" s="4"/>
      <c r="L9" s="4"/>
      <c r="M9" s="4"/>
      <c r="N9" s="4"/>
      <c r="O9" s="15"/>
      <c r="P9" s="15"/>
      <c r="Q9" s="15"/>
      <c r="R9" s="15"/>
      <c r="S9" s="15"/>
      <c r="T9" s="15"/>
      <c r="U9" s="15"/>
      <c r="V9" s="15"/>
      <c r="W9" s="4"/>
      <c r="X9" s="4"/>
      <c r="Y9" s="4"/>
      <c r="Z9" s="4"/>
      <c r="AA9" s="4"/>
      <c r="AB9" s="4"/>
      <c r="AC9" s="4"/>
      <c r="AD9" s="4"/>
      <c r="AE9" s="4"/>
      <c r="AF9" s="4"/>
      <c r="AH9" s="9"/>
      <c r="AI9" s="4"/>
      <c r="AJ9" s="4"/>
      <c r="AK9" s="4"/>
    </row>
    <row r="10" spans="1:40">
      <c r="A10" s="1" t="s">
        <v>17</v>
      </c>
      <c r="B10" s="25" t="s">
        <v>352</v>
      </c>
      <c r="C10" s="281">
        <v>5699.1364843132405</v>
      </c>
      <c r="D10" s="281">
        <v>6627.2577797635286</v>
      </c>
      <c r="E10" s="281">
        <v>5443.6459474264148</v>
      </c>
      <c r="F10" s="281">
        <v>3340.9657374648214</v>
      </c>
      <c r="G10" s="281">
        <v>2010.9493945165227</v>
      </c>
      <c r="H10" s="281">
        <v>998.8903948205658</v>
      </c>
      <c r="I10" s="281">
        <v>1798.8221826154099</v>
      </c>
      <c r="J10" s="281">
        <f>SUM(C10:I10)</f>
        <v>25919.667920920507</v>
      </c>
      <c r="K10" s="4"/>
      <c r="L10" s="4"/>
      <c r="M10" s="4"/>
      <c r="N10" s="4"/>
      <c r="O10" s="15"/>
      <c r="P10" s="15"/>
      <c r="Q10" s="15"/>
      <c r="R10" s="15"/>
      <c r="S10" s="15"/>
      <c r="T10" s="15"/>
      <c r="U10" s="15"/>
      <c r="V10" s="15"/>
      <c r="W10" s="4"/>
      <c r="X10" s="4"/>
      <c r="Y10" s="4"/>
      <c r="Z10" s="4"/>
      <c r="AA10" s="4"/>
      <c r="AB10" s="4"/>
      <c r="AC10" s="4"/>
      <c r="AD10" s="4"/>
      <c r="AE10" s="4"/>
      <c r="AF10" s="4"/>
      <c r="AH10" s="9"/>
      <c r="AI10" s="4"/>
      <c r="AJ10" s="4"/>
      <c r="AK10" s="4"/>
    </row>
    <row r="11" spans="1:40">
      <c r="A11" s="1" t="s">
        <v>26</v>
      </c>
      <c r="B11" s="25" t="s">
        <v>333</v>
      </c>
      <c r="C11" s="281">
        <v>4.8854000999999991</v>
      </c>
      <c r="D11" s="281">
        <v>4.6902603999999997</v>
      </c>
      <c r="E11" s="281">
        <v>3.2465719999999996</v>
      </c>
      <c r="F11" s="281">
        <v>1.7994297999999997</v>
      </c>
      <c r="G11" s="281">
        <v>1.1069429</v>
      </c>
      <c r="H11" s="281">
        <v>0.5353389999999999</v>
      </c>
      <c r="I11" s="281">
        <v>1.0050558000000012</v>
      </c>
      <c r="J11" s="281">
        <f>'immat. de VP par PF'!Q24/1000</f>
        <v>17.268999999999998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H11" s="9"/>
      <c r="AI11" s="4"/>
      <c r="AJ11" s="4"/>
      <c r="AK11" s="4"/>
    </row>
    <row r="12" spans="1:40">
      <c r="A12" s="1" t="s">
        <v>39</v>
      </c>
      <c r="B12" s="25" t="s">
        <v>334</v>
      </c>
      <c r="C12" s="282">
        <v>528.68436870000005</v>
      </c>
      <c r="D12" s="282">
        <v>507.56689480000006</v>
      </c>
      <c r="E12" s="282">
        <v>351.33496400000001</v>
      </c>
      <c r="F12" s="282">
        <v>194.7292726</v>
      </c>
      <c r="G12" s="282">
        <v>119.79027230000001</v>
      </c>
      <c r="H12" s="282">
        <v>57.932893</v>
      </c>
      <c r="I12" s="282">
        <v>108.76433460000015</v>
      </c>
      <c r="J12" s="281">
        <f>SUM('immat. de VP par PF'!Q21:Q23,'immat. de VP par PF'!Q25)/1000</f>
        <v>1868.8030000000001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H12" s="9"/>
      <c r="AI12" s="4"/>
      <c r="AJ12" s="4"/>
      <c r="AK12" s="4"/>
    </row>
    <row r="13" spans="1:40">
      <c r="A13" s="1" t="s">
        <v>40</v>
      </c>
      <c r="B13" s="25" t="s">
        <v>335</v>
      </c>
      <c r="C13" s="282">
        <v>4.4415299999999998E-2</v>
      </c>
      <c r="D13" s="282">
        <v>4.2641200000000004E-2</v>
      </c>
      <c r="E13" s="282">
        <v>2.9516000000000001E-2</v>
      </c>
      <c r="F13" s="282">
        <v>1.63594E-2</v>
      </c>
      <c r="G13" s="282">
        <v>1.00637E-2</v>
      </c>
      <c r="H13" s="282">
        <v>4.8669999999999998E-3</v>
      </c>
      <c r="I13" s="282">
        <v>9.1374000000000125E-3</v>
      </c>
      <c r="J13" s="281">
        <f>'immat. de VP par PF'!Q31/1000</f>
        <v>0.157</v>
      </c>
      <c r="K13" s="4"/>
      <c r="L13" s="4"/>
      <c r="M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H13" s="9"/>
      <c r="AI13" s="4"/>
      <c r="AJ13" s="4"/>
      <c r="AK13" s="4"/>
    </row>
    <row r="14" spans="1:40">
      <c r="B14" s="4" t="s">
        <v>353</v>
      </c>
      <c r="C14" s="281">
        <v>0.04</v>
      </c>
      <c r="D14" s="281">
        <v>0.04</v>
      </c>
      <c r="E14" s="281">
        <v>0.04</v>
      </c>
      <c r="F14" s="281">
        <v>0.04</v>
      </c>
      <c r="G14" s="281">
        <v>0.04</v>
      </c>
      <c r="H14" s="281">
        <v>0.04</v>
      </c>
      <c r="I14" s="281">
        <v>0.04</v>
      </c>
      <c r="J14" s="281"/>
      <c r="K14" s="4"/>
      <c r="L14" s="4"/>
      <c r="M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H14" s="9"/>
      <c r="AI14" s="4"/>
      <c r="AJ14" s="4"/>
      <c r="AK14" s="4"/>
    </row>
    <row r="15" spans="1:40">
      <c r="B15" s="4" t="s">
        <v>336</v>
      </c>
      <c r="C15" s="281">
        <v>7.7821011673151752E-2</v>
      </c>
      <c r="D15" s="281">
        <v>7.7821011673151752E-2</v>
      </c>
      <c r="E15" s="281">
        <v>7.7821011673151752E-2</v>
      </c>
      <c r="F15" s="281">
        <v>7.7821011673151752E-2</v>
      </c>
      <c r="G15" s="281">
        <v>7.7821011673151752E-2</v>
      </c>
      <c r="H15" s="281">
        <v>7.7821011673151752E-2</v>
      </c>
      <c r="I15" s="281">
        <v>7.7821011673151752E-2</v>
      </c>
      <c r="J15" s="281"/>
      <c r="N15" s="4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H15" s="18"/>
    </row>
    <row r="16" spans="1:40">
      <c r="B16" s="4" t="s">
        <v>337</v>
      </c>
      <c r="C16" s="281">
        <v>6.25E-2</v>
      </c>
      <c r="D16" s="281">
        <v>6.25E-2</v>
      </c>
      <c r="E16" s="281">
        <v>6.25E-2</v>
      </c>
      <c r="F16" s="281">
        <v>6.25E-2</v>
      </c>
      <c r="G16" s="281">
        <v>6.25E-2</v>
      </c>
      <c r="H16" s="281">
        <v>6.25E-2</v>
      </c>
      <c r="I16" s="281">
        <v>6.25E-2</v>
      </c>
      <c r="J16" s="281"/>
      <c r="N16" s="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H16" s="18"/>
    </row>
    <row r="17" spans="1:34">
      <c r="A17" s="1" t="s">
        <v>50</v>
      </c>
      <c r="B17" s="4" t="s">
        <v>338</v>
      </c>
      <c r="C17" s="281">
        <v>3399.0917629536498</v>
      </c>
      <c r="D17" s="281">
        <v>4150.2761447769008</v>
      </c>
      <c r="E17" s="281">
        <v>3571.3826763738471</v>
      </c>
      <c r="F17" s="281">
        <v>2291.5202192915758</v>
      </c>
      <c r="G17" s="281">
        <v>1439.2499371998649</v>
      </c>
      <c r="H17" s="281">
        <v>744.70056175914885</v>
      </c>
      <c r="I17" s="281">
        <v>1394.7148282917606</v>
      </c>
      <c r="J17" s="282">
        <f>SUM(JRC_TrRoad_ene!Q32)*1000</f>
        <v>16990.936130646744</v>
      </c>
      <c r="N17" s="4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H17" s="18"/>
    </row>
    <row r="18" spans="1:34">
      <c r="A18" s="1" t="s">
        <v>48</v>
      </c>
      <c r="B18" s="4" t="s">
        <v>339</v>
      </c>
      <c r="C18" s="281">
        <v>4502141.8806991475</v>
      </c>
      <c r="D18" s="281">
        <v>5497095.5040149279</v>
      </c>
      <c r="E18" s="281">
        <v>4730343.4683782486</v>
      </c>
      <c r="F18" s="281">
        <v>3035148.7600842905</v>
      </c>
      <c r="G18" s="281">
        <v>1906305.5283422444</v>
      </c>
      <c r="H18" s="281">
        <v>986365.71810661175</v>
      </c>
      <c r="I18" s="281">
        <v>1847318.1890882887</v>
      </c>
      <c r="J18" s="282">
        <f>SUM(JRC_TrRoad_ene!Q22,JRC_TrRoad_ene!Q24,JRC_TrRoad_ene!Q26,JRC_TrRoad_ene!Q29)*1000</f>
        <v>22504719.048713759</v>
      </c>
      <c r="N18" s="4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H18" s="18"/>
    </row>
    <row r="19" spans="1:34">
      <c r="A19" s="1" t="s">
        <v>49</v>
      </c>
      <c r="B19" s="4" t="s">
        <v>340</v>
      </c>
      <c r="C19" s="281">
        <v>480.84195948806928</v>
      </c>
      <c r="D19" s="281">
        <v>587.10592506540922</v>
      </c>
      <c r="E19" s="281">
        <v>505.21455846108688</v>
      </c>
      <c r="F19" s="281">
        <v>324.16279091366096</v>
      </c>
      <c r="G19" s="281">
        <v>203.59902240323848</v>
      </c>
      <c r="H19" s="281">
        <v>105.34675210915093</v>
      </c>
      <c r="I19" s="281">
        <v>197.29900153684707</v>
      </c>
      <c r="J19" s="282">
        <f>JRC_TrRoad_ene!Q27*1000</f>
        <v>2403.5700099774631</v>
      </c>
      <c r="N19" s="4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H19" s="18"/>
    </row>
    <row r="20" spans="1:34">
      <c r="A20" s="1" t="s">
        <v>54</v>
      </c>
      <c r="B20" s="4" t="s">
        <v>341</v>
      </c>
      <c r="C20" s="281">
        <v>3871.9394809365258</v>
      </c>
      <c r="D20" s="281">
        <v>3871.9394809365258</v>
      </c>
      <c r="E20" s="281">
        <v>3871.9394809365258</v>
      </c>
      <c r="F20" s="281">
        <v>3871.9394809365258</v>
      </c>
      <c r="G20" s="281">
        <v>3871.9394809365258</v>
      </c>
      <c r="H20" s="281">
        <v>3871.9394809365258</v>
      </c>
      <c r="I20" s="281">
        <v>3871.9394809365258</v>
      </c>
      <c r="J20" s="281"/>
      <c r="N20" s="4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H20" s="18"/>
    </row>
    <row r="21" spans="1:34">
      <c r="A21" s="1" t="s">
        <v>53</v>
      </c>
      <c r="B21" s="25" t="s">
        <v>342</v>
      </c>
      <c r="C21" s="283">
        <v>5450.0512812162478</v>
      </c>
      <c r="D21" s="283">
        <v>5450.0512812162478</v>
      </c>
      <c r="E21" s="283">
        <v>5450.0512812162478</v>
      </c>
      <c r="F21" s="283">
        <v>10900.102562432496</v>
      </c>
      <c r="G21" s="283">
        <v>10900.102562432496</v>
      </c>
      <c r="H21" s="283">
        <v>17440.164099891994</v>
      </c>
      <c r="I21" s="283">
        <v>17440.164099891994</v>
      </c>
      <c r="J21" s="281"/>
      <c r="N21" s="4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H21" s="18"/>
    </row>
    <row r="22" spans="1:34">
      <c r="A22" s="1" t="s">
        <v>46</v>
      </c>
      <c r="B22" s="25" t="s">
        <v>343</v>
      </c>
      <c r="C22" s="281">
        <v>14661.641157249476</v>
      </c>
      <c r="D22" s="281">
        <v>16482.142675041647</v>
      </c>
      <c r="E22" s="281">
        <v>18284.734881708515</v>
      </c>
      <c r="F22" s="281">
        <v>26831.533295265959</v>
      </c>
      <c r="G22" s="281">
        <v>34665.280857646067</v>
      </c>
      <c r="H22" s="281">
        <v>62969.502689392917</v>
      </c>
      <c r="I22" s="281">
        <v>88265.433455083941</v>
      </c>
      <c r="J22" s="281"/>
      <c r="N22" s="4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H22" s="18"/>
    </row>
    <row r="23" spans="1:34">
      <c r="A23" s="1" t="s">
        <v>47</v>
      </c>
      <c r="B23" s="25" t="s">
        <v>344</v>
      </c>
      <c r="C23" s="281">
        <v>8832.4893576210816</v>
      </c>
      <c r="D23" s="281">
        <v>23283.981586176116</v>
      </c>
      <c r="E23" s="281">
        <v>23283.981586176116</v>
      </c>
      <c r="F23" s="281">
        <v>17524.866980220893</v>
      </c>
      <c r="G23" s="281">
        <v>17524.866980220893</v>
      </c>
      <c r="H23" s="281">
        <v>17524.866980220893</v>
      </c>
      <c r="I23" s="281">
        <v>17524.866980220893</v>
      </c>
      <c r="J23" s="281"/>
      <c r="N23" s="4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H23" s="18"/>
    </row>
    <row r="24" spans="1:34">
      <c r="A24" s="1" t="s">
        <v>57</v>
      </c>
      <c r="B24" s="4" t="s">
        <v>345</v>
      </c>
      <c r="C24" s="281">
        <v>2.1459576919788974</v>
      </c>
      <c r="D24" s="281">
        <v>2.1459576919788974</v>
      </c>
      <c r="E24" s="281">
        <v>2.1459576919788974</v>
      </c>
      <c r="F24" s="281">
        <v>2.1459576919788974</v>
      </c>
      <c r="G24" s="281">
        <v>2.1459576919788974</v>
      </c>
      <c r="H24" s="281">
        <v>2.1459576919788974</v>
      </c>
      <c r="I24" s="281">
        <v>2.1459576919788974</v>
      </c>
      <c r="J24" s="281"/>
      <c r="N24" s="4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H24" s="18"/>
    </row>
    <row r="25" spans="1:34">
      <c r="A25" s="1" t="s">
        <v>58</v>
      </c>
      <c r="B25" s="4" t="s">
        <v>346</v>
      </c>
      <c r="C25" s="281">
        <v>3.5765961532981625</v>
      </c>
      <c r="D25" s="281">
        <v>3.5765961532981625</v>
      </c>
      <c r="E25" s="281">
        <v>3.5765961532981625</v>
      </c>
      <c r="F25" s="281">
        <v>3.5765961532981625</v>
      </c>
      <c r="G25" s="281">
        <v>3.5765961532981625</v>
      </c>
      <c r="H25" s="281">
        <v>3.5765961532981625</v>
      </c>
      <c r="I25" s="281">
        <v>3.5765961532981625</v>
      </c>
      <c r="J25" s="281"/>
      <c r="N25" s="4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H25" s="18"/>
    </row>
    <row r="26" spans="1:34">
      <c r="A26" s="1" t="s">
        <v>59</v>
      </c>
      <c r="B26" s="4" t="s">
        <v>347</v>
      </c>
      <c r="C26" s="281">
        <v>3.5765961532981625</v>
      </c>
      <c r="D26" s="281">
        <v>3.5765961532981625</v>
      </c>
      <c r="E26" s="281">
        <v>3.5765961532981625</v>
      </c>
      <c r="F26" s="281">
        <v>3.5765961532981625</v>
      </c>
      <c r="G26" s="281">
        <v>3.5765961532981625</v>
      </c>
      <c r="H26" s="281">
        <v>3.5765961532981625</v>
      </c>
      <c r="I26" s="281">
        <v>3.5765961532981625</v>
      </c>
      <c r="J26" s="281"/>
      <c r="N26" s="4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H26" s="18"/>
    </row>
    <row r="27" spans="1:34">
      <c r="A27" s="4"/>
      <c r="C27" s="29"/>
      <c r="D27" s="29"/>
      <c r="E27" s="29"/>
      <c r="F27" s="29"/>
      <c r="G27" s="29"/>
      <c r="H27" s="29"/>
      <c r="I27" s="29"/>
      <c r="J27" s="29"/>
      <c r="N27" s="4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H27" s="18"/>
    </row>
    <row r="28" spans="1:34">
      <c r="A28" s="4"/>
      <c r="C28" s="29"/>
      <c r="D28" s="29"/>
      <c r="E28" s="29"/>
      <c r="F28" s="29"/>
      <c r="G28" s="29"/>
      <c r="H28" s="29"/>
      <c r="I28" s="29"/>
      <c r="J28" s="29"/>
      <c r="N28" s="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H28" s="18"/>
    </row>
    <row r="29" spans="1:34">
      <c r="A29" s="4"/>
      <c r="C29" s="29"/>
      <c r="D29" s="29"/>
      <c r="E29" s="29"/>
      <c r="F29" s="29"/>
      <c r="G29" s="29"/>
      <c r="H29" s="29"/>
      <c r="I29" s="29"/>
      <c r="J29" s="29"/>
      <c r="N29" s="4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H29" s="18"/>
    </row>
    <row r="30" spans="1:34">
      <c r="A30" s="4"/>
      <c r="C30" s="29"/>
      <c r="D30" s="29"/>
      <c r="E30" s="29"/>
      <c r="F30" s="29"/>
      <c r="G30" s="29"/>
      <c r="H30" s="29"/>
      <c r="I30" s="29"/>
      <c r="J30" s="29"/>
      <c r="N30" s="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H30" s="18"/>
    </row>
    <row r="31" spans="1:34">
      <c r="A31" s="4"/>
      <c r="C31" s="29"/>
      <c r="D31" s="29"/>
      <c r="E31" s="29"/>
      <c r="F31" s="29"/>
      <c r="G31" s="29"/>
      <c r="H31" s="29"/>
      <c r="I31" s="29"/>
      <c r="J31" s="29"/>
      <c r="N31" s="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H31" s="18"/>
    </row>
    <row r="32" spans="1:34">
      <c r="A32" s="4"/>
      <c r="C32" s="29"/>
      <c r="D32" s="29"/>
      <c r="E32" s="29"/>
      <c r="F32" s="29"/>
      <c r="G32" s="29"/>
      <c r="H32" s="29"/>
      <c r="I32" s="29"/>
      <c r="J32" s="29"/>
      <c r="N32" s="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H32" s="18"/>
    </row>
    <row r="33" spans="1:34">
      <c r="A33" s="4"/>
      <c r="C33" s="29"/>
      <c r="D33" s="29"/>
      <c r="E33" s="29"/>
      <c r="F33" s="29"/>
      <c r="G33" s="29"/>
      <c r="H33" s="29"/>
      <c r="I33" s="29"/>
      <c r="J33" s="29"/>
      <c r="N33" s="4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H33" s="18"/>
    </row>
    <row r="34" spans="1:34">
      <c r="A34" s="4"/>
      <c r="C34" s="29"/>
      <c r="D34" s="29"/>
      <c r="E34" s="29"/>
      <c r="F34" s="29"/>
      <c r="G34" s="29"/>
      <c r="H34" s="29"/>
      <c r="I34" s="29"/>
      <c r="J34" s="29"/>
      <c r="N34" s="4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H34" s="18"/>
    </row>
    <row r="35" spans="1:34">
      <c r="A35" s="4"/>
      <c r="C35" s="29"/>
      <c r="D35" s="29"/>
      <c r="E35" s="29"/>
      <c r="F35" s="29"/>
      <c r="G35" s="29"/>
      <c r="H35" s="29"/>
      <c r="I35" s="29"/>
      <c r="J35" s="29"/>
      <c r="N35" s="4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H35" s="18"/>
    </row>
    <row r="36" spans="1:34">
      <c r="A36" s="4"/>
      <c r="C36" s="29"/>
      <c r="D36" s="29"/>
      <c r="E36" s="29"/>
      <c r="F36" s="29"/>
      <c r="G36" s="29"/>
      <c r="H36" s="29"/>
      <c r="I36" s="29"/>
      <c r="J36" s="29"/>
      <c r="N36" s="4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H36" s="18"/>
    </row>
    <row r="37" spans="1:34">
      <c r="A37" s="4"/>
      <c r="C37" s="29"/>
      <c r="D37" s="29"/>
      <c r="E37" s="29"/>
      <c r="F37" s="29"/>
      <c r="G37" s="29"/>
      <c r="H37" s="29"/>
      <c r="I37" s="29"/>
      <c r="J37" s="29"/>
      <c r="N37" s="4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H37" s="18"/>
    </row>
    <row r="38" spans="1:34">
      <c r="A38" s="4"/>
      <c r="C38" s="14"/>
      <c r="D38" s="14"/>
      <c r="E38" s="14"/>
      <c r="F38" s="14"/>
      <c r="G38" s="14"/>
      <c r="H38" s="13"/>
      <c r="I38" s="13"/>
      <c r="J38" s="14"/>
      <c r="N38" s="4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H38" s="18"/>
    </row>
    <row r="39" spans="1:34">
      <c r="A39" s="4"/>
      <c r="C39" s="14"/>
      <c r="D39" s="14"/>
      <c r="E39" s="14"/>
      <c r="F39" s="14"/>
      <c r="G39" s="14"/>
      <c r="H39" s="13"/>
      <c r="I39" s="13"/>
      <c r="J39" s="14"/>
      <c r="N39" s="4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H39" s="18"/>
    </row>
    <row r="40" spans="1:34">
      <c r="A40" s="4"/>
      <c r="C40" s="14"/>
      <c r="D40" s="14"/>
      <c r="E40" s="14"/>
      <c r="F40" s="14"/>
      <c r="G40" s="14"/>
      <c r="H40" s="13"/>
      <c r="I40" s="13"/>
      <c r="J40" s="14"/>
      <c r="N40" s="4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H40" s="18"/>
    </row>
    <row r="41" spans="1:34">
      <c r="A41" s="4"/>
      <c r="C41" s="14"/>
      <c r="D41" s="14"/>
      <c r="E41" s="14"/>
      <c r="F41" s="14"/>
      <c r="G41" s="14"/>
      <c r="I41" s="13"/>
      <c r="J41" s="14"/>
      <c r="N41" s="4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H41" s="18"/>
    </row>
    <row r="42" spans="1:34">
      <c r="A42" s="4"/>
      <c r="C42" s="14"/>
      <c r="D42" s="14"/>
      <c r="E42" s="14"/>
      <c r="F42" s="14"/>
      <c r="G42" s="14"/>
      <c r="I42" s="13"/>
      <c r="J42" s="14"/>
      <c r="N42" s="4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H42" s="18"/>
    </row>
    <row r="43" spans="1:34">
      <c r="A43" s="4"/>
      <c r="C43" s="14"/>
      <c r="D43" s="14"/>
      <c r="E43" s="14"/>
      <c r="F43" s="14"/>
      <c r="G43" s="14"/>
      <c r="I43" s="13"/>
      <c r="J43" s="14"/>
      <c r="N43" s="4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H43" s="18"/>
    </row>
    <row r="44" spans="1:34">
      <c r="A44" s="4"/>
      <c r="C44" s="14"/>
      <c r="D44" s="14"/>
      <c r="E44" s="14"/>
      <c r="F44" s="14"/>
      <c r="G44" s="14"/>
      <c r="I44" s="13"/>
      <c r="J44" s="14"/>
      <c r="N44" s="4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H44" s="18"/>
    </row>
    <row r="45" spans="1:34">
      <c r="A45" s="4"/>
      <c r="C45" s="14"/>
      <c r="D45" s="14"/>
      <c r="E45" s="14"/>
      <c r="F45" s="14"/>
      <c r="G45" s="14"/>
      <c r="I45" s="13"/>
      <c r="J45" s="14"/>
      <c r="N45" s="4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H45" s="18"/>
    </row>
    <row r="46" spans="1:34">
      <c r="A46" s="4"/>
      <c r="C46" s="14"/>
      <c r="D46" s="14"/>
      <c r="E46" s="14"/>
      <c r="F46" s="14"/>
      <c r="G46" s="14"/>
      <c r="I46" s="13"/>
      <c r="J46" s="14"/>
      <c r="N46" s="4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H46" s="18"/>
    </row>
    <row r="47" spans="1:34">
      <c r="C47" s="13"/>
      <c r="D47" s="13"/>
      <c r="E47" s="13"/>
      <c r="F47" s="14"/>
      <c r="G47" s="13"/>
      <c r="I47" s="13"/>
      <c r="U47" s="4"/>
    </row>
    <row r="48" spans="1:34">
      <c r="C48" s="13"/>
      <c r="D48" s="13"/>
      <c r="E48" s="13"/>
      <c r="F48" s="14"/>
      <c r="G48" s="13"/>
      <c r="I48" s="13"/>
      <c r="U48" s="4"/>
    </row>
    <row r="49" spans="3:36">
      <c r="C49" s="13"/>
      <c r="D49" s="13"/>
      <c r="E49" s="13"/>
      <c r="F49" s="14"/>
      <c r="G49" s="13"/>
      <c r="I49" s="13"/>
      <c r="U49" s="4"/>
    </row>
    <row r="50" spans="3:36">
      <c r="C50" s="13"/>
      <c r="D50" s="13"/>
      <c r="E50" s="13"/>
      <c r="F50" s="14"/>
      <c r="G50" s="13"/>
      <c r="I50" s="13"/>
      <c r="U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3:36">
      <c r="C51" s="13"/>
      <c r="D51" s="13"/>
      <c r="E51" s="13"/>
      <c r="F51" s="14"/>
      <c r="G51" s="13"/>
      <c r="I51" s="13"/>
      <c r="U51" s="4"/>
    </row>
    <row r="52" spans="3:36">
      <c r="C52" s="13"/>
      <c r="D52" s="13"/>
      <c r="E52" s="13"/>
      <c r="F52" s="14"/>
      <c r="G52" s="13"/>
      <c r="I52" s="13"/>
      <c r="U52" s="4"/>
    </row>
    <row r="53" spans="3:36">
      <c r="C53" s="13"/>
      <c r="D53" s="13"/>
      <c r="E53" s="13"/>
      <c r="F53" s="14"/>
      <c r="G53" s="13"/>
      <c r="I53" s="13"/>
      <c r="U53" s="4"/>
    </row>
    <row r="54" spans="3:36">
      <c r="F54" s="14"/>
      <c r="I54" s="13"/>
      <c r="U54" s="4"/>
    </row>
    <row r="55" spans="3:36">
      <c r="F55" s="14"/>
      <c r="I55" s="13"/>
      <c r="U55" s="4"/>
    </row>
    <row r="56" spans="3:36">
      <c r="F56" s="14"/>
      <c r="I56" s="13"/>
      <c r="U56" s="4"/>
    </row>
    <row r="57" spans="3:36">
      <c r="F57" s="14"/>
      <c r="I57" s="13"/>
      <c r="U57" s="4"/>
    </row>
    <row r="58" spans="3:36">
      <c r="F58" s="14"/>
      <c r="I58" s="13"/>
      <c r="U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3:36">
      <c r="F59" s="14"/>
      <c r="I59" s="13"/>
      <c r="U59" s="4"/>
      <c r="AJ59" s="19"/>
    </row>
    <row r="60" spans="3:36">
      <c r="F60" s="14"/>
      <c r="I60" s="13"/>
      <c r="U60" s="4"/>
    </row>
    <row r="61" spans="3:36">
      <c r="F61" s="14"/>
      <c r="I61" s="13"/>
      <c r="U61" s="4"/>
    </row>
    <row r="62" spans="3:36">
      <c r="F62" s="14"/>
      <c r="I62" s="13"/>
      <c r="U62" s="4"/>
    </row>
    <row r="63" spans="3:36">
      <c r="F63" s="14"/>
      <c r="I63" s="13"/>
      <c r="U63" s="4"/>
    </row>
    <row r="64" spans="3:36">
      <c r="U64" s="4"/>
    </row>
    <row r="65" spans="21:33">
      <c r="U65" s="4"/>
    </row>
    <row r="66" spans="21:33">
      <c r="U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21:33">
      <c r="U67" s="4"/>
    </row>
    <row r="68" spans="21:33">
      <c r="U68" s="4"/>
    </row>
    <row r="69" spans="21:33">
      <c r="U69" s="4"/>
    </row>
    <row r="70" spans="21:33">
      <c r="U70" s="4"/>
    </row>
    <row r="71" spans="21:33">
      <c r="U71" s="4"/>
    </row>
    <row r="72" spans="21:33">
      <c r="U72" s="4"/>
    </row>
    <row r="73" spans="21:33">
      <c r="U73" s="4"/>
    </row>
    <row r="74" spans="21:33">
      <c r="U74" s="4"/>
    </row>
    <row r="75" spans="21:33">
      <c r="U75" s="4"/>
      <c r="W75" s="6"/>
    </row>
    <row r="76" spans="21:33">
      <c r="U76" s="4"/>
    </row>
    <row r="77" spans="21:33">
      <c r="U77" s="4"/>
    </row>
    <row r="78" spans="21:33">
      <c r="U78" s="4"/>
    </row>
    <row r="79" spans="21:33">
      <c r="U79" s="4"/>
    </row>
    <row r="80" spans="21:33">
      <c r="U80" s="4"/>
    </row>
    <row r="81" spans="2:21">
      <c r="U81" s="4"/>
    </row>
    <row r="82" spans="2:21">
      <c r="U82" s="4"/>
    </row>
    <row r="83" spans="2:21">
      <c r="U83" s="4"/>
    </row>
    <row r="84" spans="2:21">
      <c r="U84" s="4"/>
    </row>
    <row r="85" spans="2:21">
      <c r="U85" s="4"/>
    </row>
    <row r="86" spans="2:21">
      <c r="U86" s="4"/>
    </row>
    <row r="87" spans="2:21">
      <c r="U87" s="4"/>
    </row>
    <row r="88" spans="2:21">
      <c r="B88" s="13"/>
      <c r="U88" s="4"/>
    </row>
    <row r="89" spans="2:21">
      <c r="U89" s="4"/>
    </row>
    <row r="90" spans="2:21">
      <c r="U90" s="4"/>
    </row>
    <row r="91" spans="2:21">
      <c r="U91" s="4"/>
    </row>
    <row r="92" spans="2:21">
      <c r="U92" s="4"/>
    </row>
    <row r="93" spans="2:21" ht="12.75" customHeight="1">
      <c r="U93" s="4"/>
    </row>
    <row r="94" spans="2:21">
      <c r="U94" s="4"/>
    </row>
    <row r="95" spans="2:21">
      <c r="U95" s="4"/>
    </row>
    <row r="96" spans="2:21">
      <c r="U96" s="4"/>
    </row>
    <row r="97" spans="2:35">
      <c r="U97" s="4"/>
    </row>
    <row r="98" spans="2:35">
      <c r="U98" s="4"/>
    </row>
    <row r="99" spans="2:35">
      <c r="U99" s="4"/>
      <c r="W99" s="20"/>
      <c r="X99" s="20"/>
      <c r="Y99" s="20"/>
      <c r="Z99" s="20"/>
      <c r="AA99" s="20"/>
      <c r="AB99" s="21"/>
      <c r="AC99" s="21"/>
      <c r="AD99" s="21"/>
      <c r="AE99" s="21"/>
      <c r="AF99" s="21"/>
      <c r="AG99" s="21"/>
      <c r="AH99" s="21"/>
      <c r="AI99" s="21"/>
    </row>
    <row r="100" spans="2:35">
      <c r="U100" s="4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</row>
    <row r="101" spans="2:35">
      <c r="U101" s="4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</row>
    <row r="102" spans="2:35">
      <c r="U102" s="4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</row>
    <row r="103" spans="2:35">
      <c r="U103" s="4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</row>
    <row r="104" spans="2:35">
      <c r="B104" s="6"/>
      <c r="U104" s="4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</row>
    <row r="105" spans="2:35">
      <c r="B105" s="6"/>
      <c r="U105" s="4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</row>
    <row r="106" spans="2:35">
      <c r="B106" s="6"/>
      <c r="U106" s="4"/>
    </row>
    <row r="107" spans="2:35">
      <c r="B107" s="6"/>
      <c r="U107" s="4"/>
    </row>
    <row r="108" spans="2:35">
      <c r="B108" s="6"/>
      <c r="U108" s="4"/>
    </row>
    <row r="109" spans="2:35">
      <c r="B109" s="6"/>
      <c r="U109" s="4"/>
    </row>
    <row r="110" spans="2:35">
      <c r="U110" s="4"/>
    </row>
    <row r="111" spans="2:35">
      <c r="U111" s="4"/>
    </row>
    <row r="112" spans="2:35">
      <c r="U112" s="4"/>
    </row>
    <row r="113" spans="2:27">
      <c r="U113" s="4"/>
    </row>
    <row r="114" spans="2:27">
      <c r="U114" s="4"/>
    </row>
    <row r="115" spans="2:27">
      <c r="U115" s="4"/>
    </row>
    <row r="116" spans="2:27">
      <c r="U116" s="4"/>
    </row>
    <row r="117" spans="2:27">
      <c r="U117" s="4"/>
    </row>
    <row r="118" spans="2:27">
      <c r="U118" s="4"/>
    </row>
    <row r="119" spans="2:27">
      <c r="U119" s="4"/>
    </row>
    <row r="120" spans="2:27">
      <c r="B120" s="13"/>
      <c r="U120" s="4"/>
    </row>
    <row r="121" spans="2:27">
      <c r="B121" s="13"/>
      <c r="U121" s="4"/>
    </row>
    <row r="122" spans="2:27">
      <c r="U122" s="4"/>
      <c r="W122" s="6"/>
      <c r="X122" s="6"/>
      <c r="Y122" s="6"/>
      <c r="Z122" s="6"/>
      <c r="AA122" s="6"/>
    </row>
    <row r="123" spans="2:27">
      <c r="U123" s="4"/>
      <c r="W123" s="6"/>
      <c r="X123" s="6"/>
      <c r="Y123" s="6"/>
      <c r="Z123" s="6"/>
      <c r="AA123" s="6"/>
    </row>
    <row r="124" spans="2:27">
      <c r="U124" s="4"/>
      <c r="W124" s="6"/>
      <c r="X124" s="6"/>
      <c r="Y124" s="6"/>
      <c r="Z124" s="6"/>
      <c r="AA124" s="6"/>
    </row>
    <row r="125" spans="2:27">
      <c r="U125" s="4"/>
      <c r="W125" s="6"/>
      <c r="X125" s="6"/>
      <c r="Y125" s="6"/>
      <c r="Z125" s="6"/>
      <c r="AA125" s="6"/>
    </row>
    <row r="126" spans="2:27">
      <c r="U126" s="4"/>
      <c r="W126" s="6"/>
      <c r="X126" s="6"/>
      <c r="Y126" s="6"/>
      <c r="Z126" s="6"/>
      <c r="AA126" s="6"/>
    </row>
    <row r="127" spans="2:27">
      <c r="U127" s="4"/>
      <c r="W127" s="6"/>
      <c r="X127" s="6"/>
      <c r="Y127" s="6"/>
      <c r="Z127" s="6"/>
      <c r="AA127" s="6"/>
    </row>
    <row r="128" spans="2:27">
      <c r="U128" s="4"/>
      <c r="W128" s="6"/>
      <c r="X128" s="6"/>
      <c r="Y128" s="6"/>
      <c r="Z128" s="6"/>
      <c r="AA128" s="6"/>
    </row>
    <row r="129" spans="2:34">
      <c r="B129" s="6"/>
      <c r="U129" s="4"/>
      <c r="W129" s="6"/>
      <c r="X129" s="6"/>
      <c r="Y129" s="6"/>
      <c r="Z129" s="6"/>
      <c r="AA129" s="6"/>
    </row>
    <row r="130" spans="2:34">
      <c r="B130" s="6"/>
      <c r="U130" s="4"/>
      <c r="AH130" s="22"/>
    </row>
    <row r="131" spans="2:34">
      <c r="U131" s="4"/>
    </row>
    <row r="132" spans="2:34">
      <c r="U132" s="4"/>
    </row>
    <row r="133" spans="2:34">
      <c r="U133" s="4"/>
    </row>
    <row r="134" spans="2:34">
      <c r="U134" s="4"/>
    </row>
    <row r="135" spans="2:34">
      <c r="U135" s="4"/>
    </row>
    <row r="136" spans="2:34">
      <c r="U136" s="4"/>
    </row>
    <row r="137" spans="2:34">
      <c r="U137" s="4"/>
    </row>
    <row r="138" spans="2:34">
      <c r="U138" s="4"/>
    </row>
    <row r="139" spans="2:34">
      <c r="U139" s="4"/>
      <c r="W139" s="23"/>
      <c r="X139" s="23"/>
      <c r="Y139" s="23"/>
      <c r="Z139" s="23"/>
      <c r="AA139" s="23"/>
    </row>
    <row r="140" spans="2:34">
      <c r="U140" s="4"/>
      <c r="W140" s="6"/>
      <c r="X140" s="6"/>
      <c r="Y140" s="6"/>
      <c r="Z140" s="6"/>
      <c r="AA140" s="6"/>
    </row>
    <row r="141" spans="2:34">
      <c r="U141" s="4"/>
      <c r="W141" s="6"/>
      <c r="X141" s="6"/>
      <c r="Y141" s="6"/>
      <c r="Z141" s="6"/>
      <c r="AA141" s="6"/>
    </row>
    <row r="142" spans="2:34">
      <c r="U142" s="4"/>
      <c r="W142" s="6"/>
      <c r="X142" s="6"/>
      <c r="Y142" s="6"/>
      <c r="Z142" s="6"/>
      <c r="AA142" s="6"/>
    </row>
    <row r="143" spans="2:34">
      <c r="U143" s="4"/>
      <c r="W143" s="6"/>
      <c r="X143" s="6"/>
      <c r="Y143" s="6"/>
      <c r="Z143" s="6"/>
      <c r="AA143" s="6"/>
    </row>
    <row r="144" spans="2:34">
      <c r="U144" s="4"/>
      <c r="W144" s="6"/>
      <c r="X144" s="6"/>
      <c r="Y144" s="6"/>
      <c r="Z144" s="6"/>
      <c r="AA144" s="6"/>
    </row>
    <row r="145" spans="21:33">
      <c r="U145" s="4"/>
      <c r="W145" s="6"/>
      <c r="X145" s="6"/>
      <c r="Y145" s="6"/>
      <c r="Z145" s="6"/>
      <c r="AA145" s="6"/>
    </row>
    <row r="146" spans="21:33">
      <c r="U146" s="4"/>
    </row>
    <row r="147" spans="21:33">
      <c r="U147" s="4"/>
      <c r="W147" s="6"/>
      <c r="X147" s="6"/>
      <c r="Y147" s="6"/>
      <c r="Z147" s="6"/>
      <c r="AA147" s="6"/>
    </row>
    <row r="148" spans="21:33">
      <c r="U148" s="4"/>
      <c r="W148" s="6"/>
      <c r="X148" s="6"/>
      <c r="Y148" s="6"/>
      <c r="Z148" s="6"/>
      <c r="AA148" s="6"/>
    </row>
    <row r="149" spans="21:33">
      <c r="U149" s="4"/>
      <c r="W149" s="6"/>
      <c r="X149" s="6"/>
      <c r="Y149" s="6"/>
      <c r="Z149" s="6"/>
      <c r="AA149" s="6"/>
    </row>
    <row r="150" spans="21:33">
      <c r="U150" s="4"/>
      <c r="W150" s="6"/>
      <c r="X150" s="6"/>
      <c r="Y150" s="6"/>
      <c r="Z150" s="6"/>
      <c r="AA150" s="6"/>
    </row>
    <row r="151" spans="21:33">
      <c r="U151" s="4"/>
      <c r="W151" s="6"/>
      <c r="X151" s="6"/>
      <c r="Y151" s="6"/>
      <c r="Z151" s="6"/>
      <c r="AA151" s="6"/>
    </row>
    <row r="152" spans="21:33">
      <c r="U152" s="4"/>
      <c r="W152" s="6"/>
      <c r="X152" s="6"/>
      <c r="Y152" s="6"/>
      <c r="Z152" s="6"/>
      <c r="AA152" s="6"/>
    </row>
    <row r="153" spans="21:33" ht="15.5" customHeight="1">
      <c r="U153" s="4"/>
      <c r="W153" s="6"/>
      <c r="X153" s="6"/>
      <c r="Y153" s="6"/>
      <c r="Z153" s="6"/>
      <c r="AA153" s="6"/>
    </row>
    <row r="154" spans="21:33" ht="39" customHeight="1">
      <c r="U154" s="11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21:33">
      <c r="U155" s="7"/>
    </row>
    <row r="156" spans="21:33">
      <c r="U156" s="7"/>
    </row>
    <row r="157" spans="21:33">
      <c r="U157" s="7"/>
    </row>
    <row r="158" spans="21:33">
      <c r="U158" s="7"/>
    </row>
    <row r="159" spans="21:33">
      <c r="U159" s="7"/>
    </row>
    <row r="160" spans="21:33">
      <c r="U160" s="7"/>
    </row>
    <row r="161" spans="21:33">
      <c r="U161" s="7"/>
      <c r="W161" s="6"/>
    </row>
    <row r="162" spans="21:33">
      <c r="U162" s="7"/>
      <c r="AG162" s="13"/>
    </row>
    <row r="163" spans="21:33">
      <c r="U163" s="7"/>
    </row>
    <row r="164" spans="21:33">
      <c r="U164" s="7"/>
    </row>
    <row r="165" spans="21:33">
      <c r="U165" s="7"/>
    </row>
    <row r="166" spans="21:33">
      <c r="U166" s="7"/>
    </row>
    <row r="167" spans="21:33">
      <c r="U167" s="7"/>
    </row>
    <row r="168" spans="21:33">
      <c r="U168" s="4"/>
      <c r="W168" s="6"/>
    </row>
    <row r="169" spans="21:33">
      <c r="U169" s="4"/>
    </row>
    <row r="170" spans="21:33">
      <c r="U170" s="4"/>
    </row>
    <row r="171" spans="21:33">
      <c r="U171" s="4"/>
    </row>
    <row r="172" spans="21:33">
      <c r="U172" s="4"/>
    </row>
    <row r="173" spans="21:33">
      <c r="U173" s="4"/>
    </row>
    <row r="174" spans="21:33">
      <c r="U174" s="4"/>
    </row>
    <row r="175" spans="21:33">
      <c r="U175" s="4"/>
      <c r="W175" s="6"/>
    </row>
    <row r="176" spans="21:33">
      <c r="U176" s="4"/>
    </row>
    <row r="177" spans="11:21">
      <c r="U177" s="4"/>
    </row>
    <row r="178" spans="11:21">
      <c r="U178" s="4"/>
    </row>
    <row r="179" spans="11:21">
      <c r="U179" s="4"/>
    </row>
    <row r="180" spans="11:21">
      <c r="U180" s="4"/>
    </row>
    <row r="181" spans="11:21">
      <c r="U181" s="4"/>
    </row>
    <row r="189" spans="11:21">
      <c r="K189" s="24"/>
    </row>
    <row r="207" ht="17" customHeight="1"/>
    <row r="208" ht="17" customHeight="1"/>
    <row r="209" spans="1:8" ht="17" customHeight="1"/>
    <row r="210" spans="1:8" ht="17" customHeight="1"/>
    <row r="211" spans="1:8" ht="17" customHeight="1">
      <c r="A211" s="4"/>
      <c r="C211" s="4"/>
      <c r="D211" s="4"/>
      <c r="E211" s="4"/>
      <c r="F211" s="4"/>
      <c r="G211" s="4"/>
      <c r="H211" s="9"/>
    </row>
    <row r="212" spans="1:8" ht="17" customHeight="1">
      <c r="A212" s="4"/>
    </row>
    <row r="213" spans="1:8" ht="17" customHeight="1">
      <c r="A213" s="4"/>
    </row>
    <row r="214" spans="1:8" ht="17" customHeight="1">
      <c r="A214" s="4"/>
    </row>
    <row r="215" spans="1:8" ht="17" customHeight="1">
      <c r="A215" s="4"/>
    </row>
    <row r="216" spans="1:8" ht="17" customHeight="1">
      <c r="A216" s="4"/>
    </row>
    <row r="217" spans="1:8" ht="17" customHeight="1">
      <c r="A217" s="4"/>
    </row>
    <row r="218" spans="1:8" ht="17" customHeight="1">
      <c r="A218" s="4"/>
    </row>
    <row r="219" spans="1:8">
      <c r="A219" s="4"/>
      <c r="C219" s="4"/>
      <c r="D219" s="4"/>
      <c r="E219" s="4"/>
      <c r="F219" s="4"/>
      <c r="G219" s="4"/>
      <c r="H219" s="6"/>
    </row>
    <row r="220" spans="1:8">
      <c r="A220" s="4"/>
    </row>
    <row r="221" spans="1:8">
      <c r="A221" s="4"/>
    </row>
    <row r="222" spans="1:8">
      <c r="A222" s="4"/>
    </row>
    <row r="223" spans="1:8">
      <c r="A223" s="4"/>
    </row>
    <row r="224" spans="1:8">
      <c r="A224" s="4"/>
    </row>
    <row r="225" spans="1:8">
      <c r="A225" s="4"/>
    </row>
    <row r="226" spans="1:8">
      <c r="A226" s="4"/>
    </row>
    <row r="227" spans="1:8">
      <c r="A227" s="4"/>
      <c r="C227" s="4"/>
      <c r="D227" s="4"/>
      <c r="E227" s="4"/>
      <c r="F227" s="4"/>
      <c r="G227" s="4"/>
      <c r="H227" s="6"/>
    </row>
    <row r="228" spans="1:8">
      <c r="A228" s="4"/>
    </row>
    <row r="229" spans="1:8">
      <c r="A229" s="4"/>
    </row>
    <row r="230" spans="1:8">
      <c r="A230" s="4"/>
    </row>
    <row r="231" spans="1:8">
      <c r="A231" s="4"/>
    </row>
    <row r="232" spans="1:8">
      <c r="A232" s="4"/>
    </row>
    <row r="233" spans="1:8">
      <c r="A233" s="4"/>
    </row>
    <row r="234" spans="1:8">
      <c r="A234" s="4"/>
    </row>
    <row r="235" spans="1:8">
      <c r="A235" s="4"/>
      <c r="C235" s="4"/>
      <c r="D235" s="4"/>
      <c r="E235" s="4"/>
      <c r="F235" s="4"/>
      <c r="G235" s="4"/>
      <c r="H235" s="6"/>
    </row>
    <row r="236" spans="1:8">
      <c r="A236" s="4"/>
    </row>
    <row r="237" spans="1:8">
      <c r="A237" s="4"/>
    </row>
    <row r="238" spans="1:8">
      <c r="A238" s="4"/>
    </row>
    <row r="239" spans="1:8">
      <c r="A239" s="4"/>
    </row>
    <row r="240" spans="1:8">
      <c r="A240" s="4"/>
    </row>
    <row r="241" spans="1:8">
      <c r="A241" s="4"/>
    </row>
    <row r="242" spans="1:8">
      <c r="A242" s="4"/>
    </row>
    <row r="243" spans="1:8">
      <c r="A243" s="4"/>
      <c r="C243" s="4"/>
      <c r="D243" s="4"/>
      <c r="E243" s="4"/>
      <c r="F243" s="4"/>
      <c r="G243" s="4"/>
      <c r="H243" s="5"/>
    </row>
    <row r="244" spans="1:8">
      <c r="A244" s="4"/>
    </row>
    <row r="245" spans="1:8">
      <c r="A245" s="4"/>
    </row>
    <row r="246" spans="1:8">
      <c r="A246" s="4"/>
    </row>
    <row r="247" spans="1:8">
      <c r="A247" s="4"/>
    </row>
    <row r="248" spans="1:8">
      <c r="A248" s="4"/>
    </row>
    <row r="249" spans="1:8">
      <c r="A249" s="4"/>
    </row>
    <row r="250" spans="1:8">
      <c r="A250" s="4"/>
    </row>
    <row r="251" spans="1:8">
      <c r="A251" s="4"/>
      <c r="C251" s="4"/>
      <c r="D251" s="4"/>
      <c r="E251" s="4"/>
      <c r="F251" s="4"/>
      <c r="G251" s="4"/>
      <c r="H251" s="6"/>
    </row>
    <row r="252" spans="1:8">
      <c r="A252" s="4"/>
    </row>
    <row r="253" spans="1:8">
      <c r="A253" s="4"/>
    </row>
    <row r="254" spans="1:8">
      <c r="A254" s="4"/>
    </row>
    <row r="255" spans="1:8">
      <c r="A255" s="4"/>
    </row>
    <row r="256" spans="1:8">
      <c r="A256" s="4"/>
    </row>
    <row r="257" spans="1:10">
      <c r="A257" s="4"/>
    </row>
    <row r="258" spans="1:10">
      <c r="A258" s="4"/>
    </row>
    <row r="259" spans="1:10">
      <c r="A259" s="4"/>
      <c r="C259" s="4"/>
      <c r="D259" s="4"/>
      <c r="E259" s="4"/>
      <c r="F259" s="4"/>
      <c r="G259" s="4"/>
      <c r="H259" s="6"/>
    </row>
    <row r="260" spans="1:10">
      <c r="A260" s="4"/>
    </row>
    <row r="261" spans="1:10">
      <c r="A261" s="4"/>
    </row>
    <row r="262" spans="1:10">
      <c r="A262" s="4"/>
      <c r="J262" s="19"/>
    </row>
    <row r="263" spans="1:10">
      <c r="A263" s="4"/>
    </row>
    <row r="264" spans="1:10">
      <c r="A264" s="4"/>
    </row>
    <row r="265" spans="1:10">
      <c r="A265" s="4"/>
    </row>
    <row r="266" spans="1:10">
      <c r="A266" s="4"/>
    </row>
    <row r="267" spans="1:10">
      <c r="A267" s="4"/>
      <c r="C267" s="4"/>
      <c r="D267" s="4"/>
      <c r="E267" s="4"/>
      <c r="F267" s="4"/>
      <c r="G267" s="4"/>
      <c r="H267" s="6"/>
    </row>
    <row r="268" spans="1:10">
      <c r="A268" s="4"/>
    </row>
    <row r="269" spans="1:10">
      <c r="A269" s="4"/>
    </row>
    <row r="270" spans="1:10">
      <c r="A270" s="4"/>
    </row>
    <row r="271" spans="1:10">
      <c r="A271" s="4"/>
    </row>
    <row r="272" spans="1:10">
      <c r="A272" s="4"/>
    </row>
    <row r="273" spans="1:1">
      <c r="A273" s="4"/>
    </row>
    <row r="274" spans="1:1">
      <c r="A274" s="4"/>
    </row>
  </sheetData>
  <pageMargins left="0.7" right="0.7" top="0.75" bottom="0.75" header="0.3" footer="0.3"/>
  <pageSetup paperSize="9" scale="51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S551"/>
  <sheetViews>
    <sheetView zoomScale="130" zoomScaleNormal="130" workbookViewId="0">
      <pane xSplit="3" ySplit="3" topLeftCell="D40" activePane="bottomRight" state="frozen"/>
      <selection pane="topRight" activeCell="D1" sqref="D1"/>
      <selection pane="bottomLeft" activeCell="A4" sqref="A4"/>
      <selection pane="bottomRight" activeCell="C54" sqref="C54"/>
    </sheetView>
  </sheetViews>
  <sheetFormatPr baseColWidth="10" defaultColWidth="11.5" defaultRowHeight="11"/>
  <cols>
    <col min="1" max="1" width="21.1640625" style="1" bestFit="1" customWidth="1"/>
    <col min="2" max="2" width="66.6640625" style="1" customWidth="1"/>
    <col min="3" max="3" width="7.83203125" style="1" bestFit="1" customWidth="1"/>
    <col min="4" max="4" width="14" style="1" customWidth="1"/>
    <col min="5" max="7" width="11.5" style="1" customWidth="1"/>
    <col min="8" max="8" width="12.5" style="1" bestFit="1" customWidth="1"/>
    <col min="9" max="12" width="11.5" style="1" customWidth="1"/>
    <col min="13" max="13" width="12.83203125" style="1" customWidth="1"/>
    <col min="14" max="14" width="14.33203125" style="4" customWidth="1"/>
    <col min="15" max="16" width="11.5" style="1" customWidth="1"/>
    <col min="17" max="17" width="16.5" style="1" customWidth="1"/>
    <col min="18" max="18" width="13.5" style="1" customWidth="1"/>
    <col min="19" max="19" width="15.5" style="1" customWidth="1"/>
    <col min="20" max="20" width="13.83203125" style="1" customWidth="1"/>
    <col min="21" max="21" width="15.1640625" style="1" customWidth="1"/>
    <col min="22" max="22" width="15.5" style="1" bestFit="1" customWidth="1"/>
    <col min="23" max="23" width="14.5" style="1" customWidth="1"/>
    <col min="24" max="24" width="13.1640625" style="1" customWidth="1"/>
    <col min="25" max="25" width="21.83203125" style="1" customWidth="1"/>
    <col min="26" max="27" width="11.5" style="1" customWidth="1"/>
    <col min="28" max="28" width="13.5" style="1" customWidth="1"/>
    <col min="29" max="29" width="11.5" style="1" customWidth="1"/>
    <col min="30" max="30" width="23.5" style="1" customWidth="1"/>
    <col min="31" max="33" width="21.5" style="1" customWidth="1"/>
    <col min="34" max="34" width="22.5" style="1" customWidth="1"/>
    <col min="35" max="39" width="16" style="1" customWidth="1"/>
    <col min="40" max="40" width="23.1640625" style="1" customWidth="1"/>
    <col min="41" max="41" width="16.5" style="1" customWidth="1"/>
    <col min="42" max="42" width="11.5" style="1" customWidth="1"/>
    <col min="43" max="43" width="23.1640625" style="1" bestFit="1" customWidth="1"/>
    <col min="44" max="44" width="8.83203125" style="1" customWidth="1"/>
    <col min="45" max="45" width="12.5" style="1" customWidth="1"/>
    <col min="46" max="16384" width="11.5" style="1"/>
  </cols>
  <sheetData>
    <row r="1" spans="1:71" ht="16">
      <c r="D1" s="2" t="s">
        <v>8</v>
      </c>
      <c r="E1" s="3"/>
      <c r="F1" s="3"/>
      <c r="G1" s="3"/>
      <c r="H1" s="3"/>
      <c r="I1" s="3"/>
      <c r="J1" s="3"/>
      <c r="K1" s="3"/>
      <c r="L1" s="3"/>
      <c r="O1" s="43" t="s">
        <v>66</v>
      </c>
      <c r="R1" s="4"/>
      <c r="S1" s="5"/>
      <c r="V1" s="4"/>
      <c r="AH1" s="5"/>
      <c r="AU1" s="4"/>
    </row>
    <row r="2" spans="1:71">
      <c r="C2" s="7" t="s">
        <v>67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9</v>
      </c>
      <c r="L2" s="2" t="s">
        <v>0</v>
      </c>
      <c r="M2" s="4" t="s">
        <v>11</v>
      </c>
      <c r="O2" s="5" t="s">
        <v>77</v>
      </c>
      <c r="P2" s="4"/>
      <c r="S2" s="6"/>
      <c r="V2" s="4"/>
      <c r="W2" s="4"/>
      <c r="X2" s="4"/>
      <c r="Y2" s="4"/>
      <c r="Z2" s="4"/>
      <c r="AA2" s="4"/>
      <c r="AB2" s="4"/>
      <c r="AC2" s="4"/>
      <c r="AH2" s="5"/>
      <c r="AU2" s="4"/>
    </row>
    <row r="3" spans="1:71">
      <c r="A3" s="7" t="s">
        <v>68</v>
      </c>
      <c r="B3" s="4" t="s">
        <v>10</v>
      </c>
      <c r="D3" s="8">
        <v>1</v>
      </c>
      <c r="E3" s="8">
        <f>D3+1</f>
        <v>2</v>
      </c>
      <c r="F3" s="8">
        <f t="shared" ref="F3:L3" si="0">E3+1</f>
        <v>3</v>
      </c>
      <c r="G3" s="8">
        <f t="shared" si="0"/>
        <v>4</v>
      </c>
      <c r="H3" s="8">
        <f t="shared" si="0"/>
        <v>5</v>
      </c>
      <c r="I3" s="8">
        <f t="shared" si="0"/>
        <v>6</v>
      </c>
      <c r="J3" s="8">
        <f t="shared" si="0"/>
        <v>7</v>
      </c>
      <c r="K3" s="8">
        <f t="shared" si="0"/>
        <v>8</v>
      </c>
      <c r="L3" s="8">
        <f t="shared" si="0"/>
        <v>9</v>
      </c>
      <c r="M3" s="8"/>
      <c r="O3" s="5" t="s">
        <v>62</v>
      </c>
      <c r="P3" s="8"/>
      <c r="S3" s="6"/>
      <c r="T3" s="9"/>
      <c r="V3" s="4"/>
      <c r="X3" s="4"/>
      <c r="Y3" s="4"/>
      <c r="Z3" s="4"/>
      <c r="AA3" s="4"/>
      <c r="AB3" s="4"/>
      <c r="AC3" s="4"/>
      <c r="AD3" s="4"/>
      <c r="AE3" s="4"/>
      <c r="AF3" s="10"/>
      <c r="AG3" s="4"/>
      <c r="AH3" s="5"/>
      <c r="AI3" s="4"/>
      <c r="AJ3" s="4"/>
      <c r="AK3" s="4"/>
      <c r="AL3" s="4"/>
      <c r="AM3" s="4"/>
      <c r="AN3" s="4"/>
      <c r="AO3" s="4"/>
      <c r="AP3" s="10"/>
      <c r="AR3" s="4"/>
      <c r="AS3" s="4"/>
      <c r="AU3" s="4"/>
      <c r="AV3" s="4"/>
      <c r="AW3" s="4"/>
      <c r="AX3" s="4"/>
      <c r="AY3" s="4"/>
      <c r="AZ3" s="4"/>
      <c r="BA3" s="4"/>
      <c r="BB3" s="4"/>
      <c r="BC3" s="4"/>
      <c r="BD3" s="4"/>
      <c r="BF3" s="9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10"/>
      <c r="BS3" s="4"/>
    </row>
    <row r="4" spans="1:71">
      <c r="A4" s="11"/>
      <c r="C4" s="12"/>
      <c r="D4" s="13"/>
      <c r="E4" s="13"/>
      <c r="F4" s="13"/>
      <c r="G4" s="13"/>
      <c r="H4" s="13"/>
      <c r="I4" s="13"/>
      <c r="J4" s="13"/>
      <c r="K4" s="13"/>
      <c r="L4" s="15"/>
      <c r="M4" s="4"/>
      <c r="O4" s="5" t="s">
        <v>63</v>
      </c>
      <c r="P4" s="4"/>
      <c r="R4" s="4"/>
      <c r="S4" s="4"/>
      <c r="T4" s="4"/>
      <c r="U4" s="4"/>
      <c r="V4" s="4"/>
      <c r="W4" s="4"/>
      <c r="X4" s="4"/>
      <c r="Y4" s="10"/>
      <c r="AA4" s="4"/>
      <c r="AB4" s="4"/>
      <c r="AD4" s="4"/>
      <c r="AE4" s="4"/>
      <c r="AF4" s="4"/>
      <c r="AG4" s="4"/>
      <c r="AH4" s="4"/>
      <c r="AI4" s="4"/>
      <c r="AJ4" s="4"/>
      <c r="AK4" s="4"/>
      <c r="AL4" s="4"/>
      <c r="AM4" s="4"/>
      <c r="AO4" s="9"/>
      <c r="AP4" s="4"/>
      <c r="AQ4" s="4"/>
      <c r="AR4" s="4"/>
    </row>
    <row r="5" spans="1:71">
      <c r="A5" s="11"/>
      <c r="C5" s="12">
        <v>1</v>
      </c>
      <c r="D5" s="29"/>
      <c r="E5" s="29"/>
      <c r="F5" s="29"/>
      <c r="G5" s="29"/>
      <c r="H5" s="29"/>
      <c r="I5" s="29"/>
      <c r="J5" s="29"/>
      <c r="K5" s="29"/>
      <c r="L5" s="29"/>
      <c r="M5" s="4"/>
      <c r="O5" s="5" t="s">
        <v>64</v>
      </c>
      <c r="P5" s="4"/>
      <c r="R5" s="4"/>
      <c r="S5" s="4"/>
      <c r="T5" s="4"/>
      <c r="U5" s="4"/>
      <c r="V5" s="4"/>
      <c r="W5" s="4"/>
      <c r="X5" s="4"/>
      <c r="Y5" s="10"/>
      <c r="AA5" s="4"/>
      <c r="AB5" s="4"/>
      <c r="AD5" s="4"/>
      <c r="AE5" s="4"/>
      <c r="AF5" s="4"/>
      <c r="AG5" s="4"/>
      <c r="AH5" s="4"/>
      <c r="AI5" s="4"/>
      <c r="AJ5" s="4"/>
      <c r="AK5" s="4"/>
      <c r="AL5" s="4"/>
      <c r="AM5" s="4"/>
      <c r="AO5" s="9"/>
      <c r="AP5" s="4"/>
      <c r="AQ5" s="4"/>
      <c r="AR5" s="4"/>
    </row>
    <row r="6" spans="1:71" ht="16">
      <c r="A6" s="88"/>
      <c r="B6" s="43"/>
      <c r="C6" s="12">
        <f>C5+1</f>
        <v>2</v>
      </c>
      <c r="D6" s="29"/>
      <c r="E6" s="29"/>
      <c r="F6" s="29"/>
      <c r="G6" s="29"/>
      <c r="H6" s="29"/>
      <c r="I6" s="29"/>
      <c r="J6" s="29"/>
      <c r="K6" s="29"/>
      <c r="L6" s="34"/>
      <c r="M6" s="4"/>
      <c r="O6" s="5" t="s">
        <v>65</v>
      </c>
      <c r="P6" s="4"/>
      <c r="R6" s="4"/>
      <c r="S6" s="4"/>
      <c r="T6" s="4"/>
      <c r="U6" s="4"/>
      <c r="V6" s="4"/>
      <c r="W6" s="4"/>
      <c r="X6" s="4"/>
      <c r="Y6" s="10"/>
      <c r="AA6" s="4"/>
      <c r="AB6" s="4"/>
      <c r="AD6" s="4"/>
      <c r="AE6" s="4"/>
      <c r="AF6" s="4"/>
      <c r="AG6" s="4"/>
      <c r="AH6" s="4"/>
      <c r="AI6" s="4"/>
      <c r="AJ6" s="4"/>
      <c r="AK6" s="4"/>
      <c r="AL6" s="4"/>
      <c r="AM6" s="4"/>
      <c r="AO6" s="9"/>
      <c r="AP6" s="4"/>
      <c r="AQ6" s="4"/>
      <c r="AR6" s="4"/>
    </row>
    <row r="7" spans="1:71" ht="22.5" customHeight="1">
      <c r="A7" s="290"/>
      <c r="B7" s="5"/>
      <c r="C7" s="12">
        <f>C6+1</f>
        <v>3</v>
      </c>
      <c r="D7" s="29"/>
      <c r="E7" s="29"/>
      <c r="F7" s="29"/>
      <c r="G7" s="29"/>
      <c r="H7" s="29"/>
      <c r="I7" s="29"/>
      <c r="J7" s="29"/>
      <c r="K7" s="29"/>
      <c r="L7" s="34"/>
      <c r="M7" s="4"/>
      <c r="O7" s="5"/>
      <c r="P7" s="4"/>
      <c r="R7" s="4"/>
      <c r="S7" s="4"/>
      <c r="T7" s="4"/>
      <c r="U7" s="4"/>
      <c r="V7" s="4"/>
      <c r="W7" s="4"/>
      <c r="X7" s="4"/>
      <c r="Y7" s="10"/>
      <c r="AA7" s="4"/>
      <c r="AB7" s="4"/>
      <c r="AD7" s="4"/>
      <c r="AE7" s="4"/>
      <c r="AF7" s="4"/>
      <c r="AG7" s="4"/>
      <c r="AH7" s="4"/>
      <c r="AI7" s="4"/>
      <c r="AJ7" s="4"/>
      <c r="AK7" s="4"/>
      <c r="AL7" s="4"/>
      <c r="AM7" s="4"/>
      <c r="AO7" s="9"/>
      <c r="AP7" s="4"/>
      <c r="AQ7" s="4"/>
      <c r="AR7" s="4"/>
    </row>
    <row r="8" spans="1:71">
      <c r="A8" s="290"/>
      <c r="B8" s="5"/>
      <c r="C8" s="12">
        <f>C7+1</f>
        <v>4</v>
      </c>
      <c r="D8" s="29"/>
      <c r="E8" s="29"/>
      <c r="F8" s="29"/>
      <c r="G8" s="29"/>
      <c r="H8" s="29"/>
      <c r="I8" s="29"/>
      <c r="J8" s="29"/>
      <c r="K8" s="29"/>
      <c r="L8" s="34"/>
      <c r="P8" s="4"/>
      <c r="Q8" s="4"/>
      <c r="R8" s="4"/>
      <c r="S8" s="4"/>
      <c r="T8" s="4"/>
      <c r="U8" s="4"/>
      <c r="V8" s="15"/>
      <c r="W8" s="16"/>
      <c r="X8" s="16"/>
      <c r="Y8" s="17"/>
      <c r="Z8" s="17"/>
      <c r="AA8" s="17"/>
      <c r="AB8" s="17"/>
      <c r="AC8" s="17"/>
      <c r="AD8" s="4"/>
      <c r="AE8" s="4"/>
      <c r="AF8" s="4"/>
      <c r="AG8" s="4"/>
      <c r="AH8" s="4"/>
      <c r="AI8" s="4"/>
      <c r="AJ8" s="4"/>
      <c r="AK8" s="4"/>
      <c r="AL8" s="4"/>
      <c r="AM8" s="4"/>
      <c r="AO8" s="9"/>
      <c r="AP8" s="4"/>
      <c r="AQ8" s="4"/>
      <c r="AR8" s="4"/>
      <c r="BA8" s="1">
        <v>0.26</v>
      </c>
    </row>
    <row r="9" spans="1:71">
      <c r="A9" s="88"/>
      <c r="B9" s="5"/>
      <c r="C9" s="12">
        <f>C8+1</f>
        <v>5</v>
      </c>
      <c r="D9" s="29"/>
      <c r="E9" s="29"/>
      <c r="F9" s="29"/>
      <c r="G9" s="29"/>
      <c r="H9" s="29"/>
      <c r="I9" s="29"/>
      <c r="J9" s="29"/>
      <c r="K9" s="29"/>
      <c r="L9" s="34"/>
      <c r="P9" s="4"/>
      <c r="Q9" s="4"/>
      <c r="R9" s="4"/>
      <c r="S9" s="4"/>
      <c r="T9" s="4"/>
      <c r="U9" s="4"/>
      <c r="V9" s="15"/>
      <c r="W9" s="16"/>
      <c r="X9" s="16"/>
      <c r="Y9" s="16"/>
      <c r="Z9" s="16"/>
      <c r="AA9" s="16"/>
      <c r="AB9" s="16"/>
      <c r="AC9" s="16"/>
      <c r="AD9" s="4"/>
      <c r="AE9" s="4"/>
      <c r="AF9" s="4"/>
      <c r="AG9" s="4"/>
      <c r="AH9" s="4"/>
      <c r="AI9" s="4"/>
      <c r="AJ9" s="4"/>
      <c r="AK9" s="4"/>
      <c r="AL9" s="4"/>
      <c r="AM9" s="4"/>
      <c r="AO9" s="9"/>
      <c r="AP9" s="4"/>
      <c r="AQ9" s="4"/>
      <c r="AR9" s="4"/>
    </row>
    <row r="10" spans="1:71">
      <c r="A10" s="11"/>
      <c r="B10" s="5"/>
      <c r="C10" s="12">
        <f t="shared" ref="C10:C73" si="1">C9+1</f>
        <v>6</v>
      </c>
      <c r="D10" s="29"/>
      <c r="E10" s="29"/>
      <c r="F10" s="29"/>
      <c r="G10" s="29"/>
      <c r="H10" s="29"/>
      <c r="I10" s="29"/>
      <c r="J10" s="29"/>
      <c r="K10" s="29"/>
      <c r="L10" s="29"/>
      <c r="P10" s="4"/>
      <c r="Q10" s="4"/>
      <c r="R10" s="4"/>
      <c r="S10" s="4"/>
      <c r="T10" s="4"/>
      <c r="U10" s="4"/>
      <c r="V10" s="15"/>
      <c r="W10" s="16"/>
      <c r="X10" s="16"/>
      <c r="Y10" s="16"/>
      <c r="Z10" s="16"/>
      <c r="AA10" s="16"/>
      <c r="AB10" s="16"/>
      <c r="AC10" s="16"/>
      <c r="AD10" s="4"/>
      <c r="AE10" s="4"/>
      <c r="AF10" s="4"/>
      <c r="AG10" s="4"/>
      <c r="AH10" s="4"/>
      <c r="AI10" s="4"/>
      <c r="AJ10" s="4"/>
      <c r="AK10" s="4"/>
      <c r="AL10" s="4"/>
      <c r="AM10" s="4"/>
      <c r="AO10" s="9"/>
      <c r="AP10" s="4"/>
      <c r="AQ10" s="4"/>
      <c r="AR10" s="4"/>
    </row>
    <row r="11" spans="1:71">
      <c r="A11" s="11"/>
      <c r="B11" s="5"/>
      <c r="C11" s="12">
        <f t="shared" si="1"/>
        <v>7</v>
      </c>
      <c r="D11" s="29"/>
      <c r="E11" s="29"/>
      <c r="F11" s="29"/>
      <c r="G11" s="29"/>
      <c r="H11" s="29"/>
      <c r="I11" s="29"/>
      <c r="J11" s="29"/>
      <c r="K11" s="29"/>
      <c r="L11" s="29"/>
      <c r="P11" s="4"/>
      <c r="Q11" s="4"/>
      <c r="R11" s="4"/>
      <c r="S11" s="4"/>
      <c r="T11" s="4"/>
      <c r="U11" s="4"/>
      <c r="V11" s="15"/>
      <c r="W11" s="16"/>
      <c r="X11" s="16"/>
      <c r="Y11" s="16"/>
      <c r="Z11" s="16"/>
      <c r="AA11" s="16"/>
      <c r="AB11" s="16"/>
      <c r="AC11" s="16"/>
      <c r="AD11" s="4"/>
      <c r="AE11" s="4"/>
      <c r="AF11" s="4"/>
      <c r="AG11" s="4"/>
      <c r="AH11" s="4"/>
      <c r="AI11" s="4"/>
      <c r="AJ11" s="4"/>
      <c r="AK11" s="4"/>
      <c r="AL11" s="4"/>
      <c r="AM11" s="4"/>
      <c r="AO11" s="9"/>
      <c r="AP11" s="4"/>
      <c r="AQ11" s="4"/>
      <c r="AR11" s="4"/>
    </row>
    <row r="12" spans="1:71">
      <c r="A12" s="11"/>
      <c r="C12" s="12">
        <f t="shared" si="1"/>
        <v>8</v>
      </c>
      <c r="D12" s="29"/>
      <c r="E12" s="29"/>
      <c r="F12" s="29"/>
      <c r="G12" s="29"/>
      <c r="H12" s="29"/>
      <c r="I12" s="29"/>
      <c r="J12" s="29"/>
      <c r="K12" s="29"/>
      <c r="L12" s="29"/>
      <c r="P12" s="4"/>
      <c r="Q12" s="4"/>
      <c r="R12" s="4"/>
      <c r="S12" s="4"/>
      <c r="T12" s="4"/>
      <c r="U12" s="4"/>
      <c r="V12" s="15"/>
      <c r="W12" s="16"/>
      <c r="X12" s="16"/>
      <c r="Y12" s="16"/>
      <c r="Z12" s="16"/>
      <c r="AA12" s="16"/>
      <c r="AB12" s="16"/>
      <c r="AC12" s="16"/>
      <c r="AD12" s="4"/>
      <c r="AE12" s="4"/>
      <c r="AF12" s="4"/>
      <c r="AG12" s="4"/>
      <c r="AH12" s="4"/>
      <c r="AI12" s="4"/>
      <c r="AJ12" s="4"/>
      <c r="AK12" s="4"/>
      <c r="AL12" s="4"/>
      <c r="AM12" s="4"/>
      <c r="AO12" s="9"/>
      <c r="AP12" s="4"/>
      <c r="AQ12" s="4"/>
      <c r="AR12" s="4"/>
    </row>
    <row r="13" spans="1:71">
      <c r="A13" s="4"/>
      <c r="C13" s="12">
        <f t="shared" si="1"/>
        <v>9</v>
      </c>
      <c r="D13" s="29"/>
      <c r="E13" s="29"/>
      <c r="F13" s="29"/>
      <c r="G13" s="29"/>
      <c r="H13" s="29"/>
      <c r="I13" s="29"/>
      <c r="J13" s="29"/>
      <c r="K13" s="29"/>
      <c r="L13" s="30"/>
      <c r="M13" s="4" t="s">
        <v>228</v>
      </c>
      <c r="P13" s="4"/>
      <c r="Q13" s="4"/>
      <c r="R13" s="4"/>
      <c r="S13" s="4"/>
      <c r="T13" s="4"/>
      <c r="U13" s="4"/>
      <c r="V13" s="15"/>
      <c r="W13" s="15"/>
      <c r="X13" s="15"/>
      <c r="Y13" s="15"/>
      <c r="Z13" s="15"/>
      <c r="AA13" s="15"/>
      <c r="AB13" s="15"/>
      <c r="AC13" s="15"/>
      <c r="AD13" s="4"/>
      <c r="AE13" s="4"/>
      <c r="AF13" s="4"/>
      <c r="AG13" s="4"/>
      <c r="AH13" s="4"/>
      <c r="AI13" s="4"/>
      <c r="AJ13" s="4"/>
      <c r="AK13" s="4"/>
      <c r="AL13" s="4"/>
      <c r="AM13" s="4"/>
      <c r="AO13" s="9"/>
      <c r="AP13" s="4"/>
      <c r="AQ13" s="4"/>
      <c r="AR13" s="4"/>
    </row>
    <row r="14" spans="1:71">
      <c r="A14" s="4" t="s">
        <v>38</v>
      </c>
      <c r="B14" s="1" t="s">
        <v>22</v>
      </c>
      <c r="C14" s="12">
        <f t="shared" si="1"/>
        <v>10</v>
      </c>
      <c r="D14" s="39">
        <f>$M14*'Parc VP par PF'!V$5</f>
        <v>9.8427898651574193</v>
      </c>
      <c r="E14" s="39">
        <f>$M14*'Parc VP par PF'!W$5</f>
        <v>11.445717414908088</v>
      </c>
      <c r="F14" s="39">
        <f>$M14*'Parc VP par PF'!X$5</f>
        <v>9.4015406208139911</v>
      </c>
      <c r="G14" s="39">
        <f>$M14*'Parc VP par PF'!Y$5</f>
        <v>5.7700712715111573</v>
      </c>
      <c r="H14" s="39">
        <f>$M14*'Parc VP par PF'!Z$5</f>
        <v>3.4730440960963973</v>
      </c>
      <c r="I14" s="39">
        <f>$M14*'Parc VP par PF'!AA$5</f>
        <v>1.7251505173818842</v>
      </c>
      <c r="J14" s="39">
        <f>$M14*'Parc VP par PF'!AB$5</f>
        <v>3.1066862141310607</v>
      </c>
      <c r="K14" s="29"/>
      <c r="L14" s="29">
        <f>SUM(D14:J14)</f>
        <v>44.764999999999993</v>
      </c>
      <c r="M14" s="141">
        <f>JRC_TrRoad_act!Q66/1000</f>
        <v>44.765000000000001</v>
      </c>
      <c r="N14" s="4" t="s">
        <v>313</v>
      </c>
      <c r="P14" s="4"/>
      <c r="Q14" s="4"/>
      <c r="R14" s="4"/>
      <c r="S14" s="4"/>
      <c r="T14" s="4"/>
      <c r="U14" s="4"/>
      <c r="V14" s="15"/>
      <c r="W14" s="15"/>
      <c r="X14" s="15"/>
      <c r="Y14" s="15"/>
      <c r="Z14" s="15"/>
      <c r="AA14" s="15"/>
      <c r="AB14" s="15"/>
      <c r="AC14" s="15"/>
      <c r="AD14" s="4"/>
      <c r="AE14" s="4"/>
      <c r="AF14" s="4"/>
      <c r="AG14" s="4"/>
      <c r="AH14" s="4"/>
      <c r="AI14" s="4"/>
      <c r="AJ14" s="4"/>
      <c r="AK14" s="4"/>
      <c r="AL14" s="4"/>
      <c r="AM14" s="4"/>
      <c r="AO14" s="9"/>
      <c r="AP14" s="4"/>
      <c r="AQ14" s="4"/>
      <c r="AR14" s="4"/>
    </row>
    <row r="15" spans="1:71">
      <c r="A15" s="4" t="s">
        <v>321</v>
      </c>
      <c r="B15" s="1" t="s">
        <v>23</v>
      </c>
      <c r="C15" s="12">
        <f t="shared" si="1"/>
        <v>11</v>
      </c>
      <c r="D15" s="39">
        <f>$M15*'Parc VP par PF'!V$5</f>
        <v>7095.7005251438113</v>
      </c>
      <c r="E15" s="39">
        <f>$M15*'Parc VP par PF'!W$5</f>
        <v>8251.2564206116058</v>
      </c>
      <c r="F15" s="39">
        <f>$M15*'Parc VP par PF'!X$5</f>
        <v>6777.6024515589706</v>
      </c>
      <c r="G15" s="39">
        <f>$M15*'Parc VP par PF'!Y$5</f>
        <v>4159.6639075179655</v>
      </c>
      <c r="H15" s="39">
        <f>$M15*'Parc VP par PF'!Z$5</f>
        <v>2503.7292428394931</v>
      </c>
      <c r="I15" s="39">
        <f>$M15*'Parc VP par PF'!AA$5</f>
        <v>1243.6668464772692</v>
      </c>
      <c r="J15" s="39">
        <f>$M15*'Parc VP par PF'!AB$5</f>
        <v>2239.6206058508847</v>
      </c>
      <c r="K15" s="29"/>
      <c r="L15" s="29">
        <f>SUM(D15:J15)</f>
        <v>32271.24</v>
      </c>
      <c r="M15" s="141">
        <f>SUM(JRC_TrRoad_act!Q61:Q63)/1000</f>
        <v>32271.24</v>
      </c>
      <c r="P15" s="4"/>
      <c r="Q15" s="4"/>
      <c r="R15" s="4"/>
      <c r="S15" s="4"/>
      <c r="T15" s="4"/>
      <c r="U15" s="4"/>
      <c r="V15" s="15"/>
      <c r="W15" s="15"/>
      <c r="X15" s="15"/>
      <c r="Y15" s="15"/>
      <c r="Z15" s="15"/>
      <c r="AA15" s="15"/>
      <c r="AB15" s="15"/>
      <c r="AC15" s="15"/>
      <c r="AD15" s="4"/>
      <c r="AE15" s="4"/>
      <c r="AF15" s="4"/>
      <c r="AG15" s="4"/>
      <c r="AH15" s="4"/>
      <c r="AI15" s="4"/>
      <c r="AJ15" s="4"/>
      <c r="AK15" s="4"/>
      <c r="AL15" s="4"/>
      <c r="AM15" s="4"/>
      <c r="AO15" s="9"/>
      <c r="AP15" s="4"/>
      <c r="AQ15" s="4"/>
      <c r="AR15" s="4"/>
    </row>
    <row r="16" spans="1:71">
      <c r="A16" s="4" t="s">
        <v>37</v>
      </c>
      <c r="B16" s="1" t="s">
        <v>24</v>
      </c>
      <c r="C16" s="12">
        <f t="shared" si="1"/>
        <v>12</v>
      </c>
      <c r="D16" s="39">
        <f>$M16*'Parc VP par PF'!V$5</f>
        <v>0.42568169728459204</v>
      </c>
      <c r="E16" s="39">
        <f>$M16*'Parc VP par PF'!W$5</f>
        <v>0.49500522540516162</v>
      </c>
      <c r="F16" s="39">
        <f>$M16*'Parc VP par PF'!X$5</f>
        <v>0.40659851763422067</v>
      </c>
      <c r="G16" s="39">
        <f>$M16*'Parc VP par PF'!Y$5</f>
        <v>0.24954446513225959</v>
      </c>
      <c r="H16" s="39">
        <f>$M16*'Parc VP par PF'!Z$5</f>
        <v>0.15020246554322852</v>
      </c>
      <c r="I16" s="39">
        <f>$M16*'Parc VP par PF'!AA$5</f>
        <v>7.4609435980148048E-2</v>
      </c>
      <c r="J16" s="39">
        <f>$M16*'Parc VP par PF'!AB$5</f>
        <v>0.13435819302038945</v>
      </c>
      <c r="K16" s="29"/>
      <c r="L16" s="29">
        <f>SUM(D16:J16)</f>
        <v>1.9359999999999999</v>
      </c>
      <c r="M16" s="141">
        <f>JRC_TrRoad_act!Q64/1000</f>
        <v>1.9359999999999999</v>
      </c>
      <c r="P16" s="4"/>
      <c r="Q16" s="4"/>
      <c r="R16" s="4"/>
      <c r="S16" s="4"/>
      <c r="T16" s="4"/>
      <c r="U16" s="4"/>
      <c r="V16" s="15"/>
      <c r="W16" s="15"/>
      <c r="X16" s="15"/>
      <c r="Y16" s="15"/>
      <c r="Z16" s="15"/>
      <c r="AA16" s="15"/>
      <c r="AB16" s="15"/>
      <c r="AC16" s="15"/>
      <c r="AD16" s="4"/>
      <c r="AE16" s="4"/>
      <c r="AF16" s="4"/>
      <c r="AG16" s="4"/>
      <c r="AH16" s="4"/>
      <c r="AI16" s="4"/>
      <c r="AJ16" s="4"/>
      <c r="AK16" s="4"/>
      <c r="AL16" s="4"/>
      <c r="AM16" s="4"/>
      <c r="AO16" s="9"/>
      <c r="AP16" s="4"/>
      <c r="AQ16" s="4"/>
      <c r="AR16" s="4"/>
    </row>
    <row r="17" spans="1:44">
      <c r="A17" s="4"/>
      <c r="B17" s="1" t="s">
        <v>74</v>
      </c>
      <c r="C17" s="12">
        <f t="shared" si="1"/>
        <v>13</v>
      </c>
      <c r="D17" s="29"/>
      <c r="E17" s="29"/>
      <c r="F17" s="29"/>
      <c r="G17" s="29"/>
      <c r="H17" s="29"/>
      <c r="I17" s="29"/>
      <c r="J17" s="29"/>
      <c r="K17" s="29"/>
      <c r="L17" s="142">
        <f>SUM(L14:L16)</f>
        <v>32317.941000000003</v>
      </c>
      <c r="M17" s="142">
        <f>SUM(M14:M16)</f>
        <v>32317.941000000003</v>
      </c>
      <c r="P17" s="4"/>
      <c r="Q17" s="4"/>
      <c r="R17" s="4"/>
      <c r="S17" s="4"/>
      <c r="T17" s="4"/>
      <c r="U17" s="4"/>
      <c r="V17" s="15"/>
      <c r="W17" s="15"/>
      <c r="X17" s="15"/>
      <c r="Y17" s="15"/>
      <c r="Z17" s="15"/>
      <c r="AA17" s="15"/>
      <c r="AB17" s="15"/>
      <c r="AC17" s="15"/>
      <c r="AD17" s="4"/>
      <c r="AE17" s="4"/>
      <c r="AF17" s="4"/>
      <c r="AG17" s="4"/>
      <c r="AH17" s="4"/>
      <c r="AI17" s="4"/>
      <c r="AJ17" s="4"/>
      <c r="AK17" s="4"/>
      <c r="AL17" s="4"/>
      <c r="AM17" s="4"/>
      <c r="AO17" s="9"/>
      <c r="AP17" s="4"/>
      <c r="AQ17" s="4"/>
      <c r="AR17" s="4"/>
    </row>
    <row r="18" spans="1:44">
      <c r="A18" s="4"/>
      <c r="C18" s="12">
        <f t="shared" si="1"/>
        <v>14</v>
      </c>
      <c r="D18" s="29"/>
      <c r="E18" s="29"/>
      <c r="F18" s="29"/>
      <c r="G18" s="29"/>
      <c r="H18" s="29"/>
      <c r="I18" s="29"/>
      <c r="J18" s="29"/>
      <c r="K18" s="29"/>
      <c r="L18" s="75"/>
      <c r="M18" s="55"/>
      <c r="P18" s="4"/>
      <c r="Q18" s="4"/>
      <c r="R18" s="4"/>
      <c r="S18" s="4"/>
      <c r="T18" s="4"/>
      <c r="U18" s="4"/>
      <c r="V18" s="15"/>
      <c r="W18" s="15"/>
      <c r="X18" s="15"/>
      <c r="Y18" s="15"/>
      <c r="Z18" s="15"/>
      <c r="AA18" s="15"/>
      <c r="AB18" s="15"/>
      <c r="AC18" s="15"/>
      <c r="AD18" s="4"/>
      <c r="AE18" s="4"/>
      <c r="AF18" s="4"/>
      <c r="AG18" s="4"/>
      <c r="AH18" s="4"/>
      <c r="AI18" s="4"/>
      <c r="AJ18" s="4"/>
      <c r="AK18" s="4"/>
      <c r="AL18" s="4"/>
      <c r="AM18" s="4"/>
      <c r="AO18" s="9"/>
      <c r="AP18" s="4"/>
      <c r="AQ18" s="4"/>
      <c r="AR18" s="4"/>
    </row>
    <row r="19" spans="1:44" ht="15">
      <c r="A19" s="4"/>
      <c r="C19" s="12">
        <f t="shared" si="1"/>
        <v>15</v>
      </c>
      <c r="D19" s="29"/>
      <c r="E19" s="29"/>
      <c r="F19" s="29"/>
      <c r="G19" s="29"/>
      <c r="H19" s="29"/>
      <c r="I19" s="29"/>
      <c r="J19" s="29"/>
      <c r="K19" s="29"/>
      <c r="L19"/>
      <c r="M19" s="4"/>
      <c r="P19" s="4"/>
      <c r="Q19" s="4"/>
      <c r="R19" s="4"/>
      <c r="S19" s="4"/>
      <c r="T19" s="4"/>
      <c r="U19" s="4"/>
      <c r="V19" s="15"/>
      <c r="W19" s="15"/>
      <c r="X19" s="15"/>
      <c r="Y19" s="15"/>
      <c r="Z19" s="15"/>
      <c r="AA19" s="15"/>
      <c r="AB19" s="15"/>
      <c r="AC19" s="15"/>
      <c r="AD19" s="4"/>
      <c r="AE19" s="4"/>
      <c r="AF19" s="4"/>
      <c r="AG19" s="4"/>
      <c r="AH19" s="4"/>
      <c r="AI19" s="4"/>
      <c r="AJ19" s="4"/>
      <c r="AK19" s="4"/>
      <c r="AL19" s="4"/>
      <c r="AM19" s="4"/>
      <c r="AO19" s="9"/>
      <c r="AP19" s="4"/>
      <c r="AQ19" s="4"/>
      <c r="AR19" s="4"/>
    </row>
    <row r="20" spans="1:44">
      <c r="A20" s="32" t="s">
        <v>36</v>
      </c>
      <c r="B20" s="33" t="s">
        <v>25</v>
      </c>
      <c r="C20" s="12">
        <f t="shared" si="1"/>
        <v>16</v>
      </c>
      <c r="D20" s="34"/>
      <c r="E20" s="34"/>
      <c r="F20" s="34"/>
      <c r="G20" s="34"/>
      <c r="H20" s="34"/>
      <c r="I20" s="34"/>
      <c r="J20" s="34"/>
      <c r="K20" s="34"/>
      <c r="L20" s="40">
        <f>JRC_TrRoad_act!Q170</f>
        <v>13388.258223615963</v>
      </c>
      <c r="N20" s="26" t="s">
        <v>197</v>
      </c>
      <c r="P20" s="4"/>
      <c r="Q20" s="4"/>
      <c r="R20" s="4"/>
      <c r="S20" s="4"/>
      <c r="T20" s="4"/>
      <c r="U20" s="4"/>
      <c r="V20" s="15"/>
      <c r="W20" s="15"/>
      <c r="X20" s="15"/>
      <c r="Y20" s="15"/>
      <c r="Z20" s="15"/>
      <c r="AA20" s="15"/>
      <c r="AB20" s="15"/>
      <c r="AC20" s="15"/>
      <c r="AD20" s="4"/>
      <c r="AE20" s="4"/>
      <c r="AF20" s="4"/>
      <c r="AG20" s="4"/>
      <c r="AH20" s="4"/>
      <c r="AI20" s="4"/>
      <c r="AJ20" s="4"/>
      <c r="AK20" s="4"/>
      <c r="AL20" s="4"/>
      <c r="AM20" s="4"/>
      <c r="AO20" s="9"/>
      <c r="AP20" s="4"/>
      <c r="AQ20" s="4"/>
      <c r="AR20" s="4"/>
    </row>
    <row r="21" spans="1:44">
      <c r="A21" s="35" t="s">
        <v>12</v>
      </c>
      <c r="B21" s="33" t="s">
        <v>13</v>
      </c>
      <c r="C21" s="12">
        <f t="shared" si="1"/>
        <v>17</v>
      </c>
      <c r="D21" s="34">
        <f>SUM(D24:D26)</f>
        <v>95136547.856912568</v>
      </c>
      <c r="E21" s="34">
        <f t="shared" ref="E21:J21" si="2">SUM(E24:E26)</f>
        <v>110629817.10650243</v>
      </c>
      <c r="F21" s="34">
        <f t="shared" si="2"/>
        <v>90871605.657962799</v>
      </c>
      <c r="G21" s="34">
        <f t="shared" si="2"/>
        <v>55771246.687195033</v>
      </c>
      <c r="H21" s="34">
        <f t="shared" si="2"/>
        <v>33569082.585728675</v>
      </c>
      <c r="I21" s="34">
        <f t="shared" si="2"/>
        <v>16674628.535783965</v>
      </c>
      <c r="J21" s="34">
        <f t="shared" si="2"/>
        <v>30028010.933500018</v>
      </c>
      <c r="K21" s="34"/>
      <c r="L21" s="34">
        <f>SUM(D21:J21)</f>
        <v>432680939.36358547</v>
      </c>
      <c r="N21" s="26"/>
      <c r="P21" s="4"/>
      <c r="Q21" s="4"/>
      <c r="R21" s="4"/>
      <c r="S21" s="4"/>
      <c r="T21" s="4"/>
      <c r="U21" s="4"/>
      <c r="V21" s="15"/>
      <c r="W21" s="15"/>
      <c r="X21" s="15"/>
      <c r="Y21" s="15"/>
      <c r="Z21" s="15"/>
      <c r="AA21" s="15"/>
      <c r="AB21" s="15"/>
      <c r="AC21" s="15"/>
      <c r="AD21" s="4"/>
      <c r="AE21" s="4"/>
      <c r="AF21" s="4"/>
      <c r="AG21" s="4"/>
      <c r="AH21" s="4"/>
      <c r="AI21" s="4"/>
      <c r="AJ21" s="4"/>
      <c r="AK21" s="4"/>
      <c r="AL21" s="4"/>
      <c r="AM21" s="4"/>
      <c r="AO21" s="9"/>
      <c r="AP21" s="4"/>
      <c r="AQ21" s="4"/>
      <c r="AR21" s="4"/>
    </row>
    <row r="22" spans="1:44">
      <c r="A22" s="25" t="s">
        <v>32</v>
      </c>
      <c r="B22" s="1" t="s">
        <v>34</v>
      </c>
      <c r="C22" s="12">
        <f t="shared" si="1"/>
        <v>18</v>
      </c>
      <c r="D22" s="29">
        <f>D21*$L$22/$L$21</f>
        <v>23499476.656151418</v>
      </c>
      <c r="E22" s="29">
        <f t="shared" ref="E22:J22" si="3">E21*$L$22/$L$21</f>
        <v>27326436.19230986</v>
      </c>
      <c r="F22" s="29">
        <f t="shared" si="3"/>
        <v>22446002.340530947</v>
      </c>
      <c r="G22" s="29">
        <f t="shared" si="3"/>
        <v>13775937.209550269</v>
      </c>
      <c r="H22" s="29">
        <f t="shared" si="3"/>
        <v>8291827.8028986976</v>
      </c>
      <c r="I22" s="29">
        <f t="shared" si="3"/>
        <v>4118764.5847313595</v>
      </c>
      <c r="J22" s="29">
        <f t="shared" si="3"/>
        <v>7417155.2138274452</v>
      </c>
      <c r="K22" s="29"/>
      <c r="L22" s="39">
        <v>106875600</v>
      </c>
      <c r="N22" s="26" t="s">
        <v>73</v>
      </c>
      <c r="P22" s="4"/>
      <c r="Q22" s="4"/>
      <c r="R22" s="4"/>
      <c r="S22" s="4"/>
      <c r="T22" s="4"/>
      <c r="U22" s="4"/>
      <c r="V22" s="15"/>
      <c r="W22" s="15"/>
      <c r="X22" s="15"/>
      <c r="Y22" s="15"/>
      <c r="Z22" s="15"/>
      <c r="AA22" s="15"/>
      <c r="AB22" s="15"/>
      <c r="AC22" s="15"/>
      <c r="AD22" s="4"/>
      <c r="AE22" s="4"/>
      <c r="AF22" s="4"/>
      <c r="AG22" s="4"/>
      <c r="AH22" s="4"/>
      <c r="AI22" s="4"/>
      <c r="AJ22" s="4"/>
      <c r="AK22" s="4"/>
      <c r="AL22" s="4"/>
      <c r="AM22" s="4"/>
      <c r="AO22" s="9"/>
      <c r="AP22" s="4"/>
      <c r="AQ22" s="4"/>
      <c r="AR22" s="4"/>
    </row>
    <row r="23" spans="1:44">
      <c r="A23" s="25" t="s">
        <v>33</v>
      </c>
      <c r="B23" s="1" t="s">
        <v>35</v>
      </c>
      <c r="C23" s="12">
        <f t="shared" si="1"/>
        <v>19</v>
      </c>
      <c r="D23" s="29">
        <f>D21-D22</f>
        <v>71637071.200761154</v>
      </c>
      <c r="E23" s="29">
        <f t="shared" ref="E23:J23" si="4">E21-E22</f>
        <v>83303380.914192572</v>
      </c>
      <c r="F23" s="29">
        <f t="shared" si="4"/>
        <v>68425603.317431852</v>
      </c>
      <c r="G23" s="29">
        <f t="shared" si="4"/>
        <v>41995309.477644764</v>
      </c>
      <c r="H23" s="29">
        <f t="shared" si="4"/>
        <v>25277254.782829978</v>
      </c>
      <c r="I23" s="29">
        <f t="shared" si="4"/>
        <v>12555863.951052606</v>
      </c>
      <c r="J23" s="29">
        <f t="shared" si="4"/>
        <v>22610855.719672572</v>
      </c>
      <c r="K23" s="29"/>
      <c r="L23" s="29">
        <f>L21-L22</f>
        <v>325805339.36358547</v>
      </c>
      <c r="N23" s="26"/>
      <c r="P23" s="4"/>
      <c r="Q23" s="4"/>
      <c r="R23" s="4"/>
      <c r="S23" s="4"/>
      <c r="T23" s="4"/>
      <c r="U23" s="4"/>
      <c r="V23" s="15"/>
      <c r="W23" s="15"/>
      <c r="X23" s="15"/>
      <c r="Y23" s="15"/>
      <c r="Z23" s="15"/>
      <c r="AA23" s="15"/>
      <c r="AB23" s="15"/>
      <c r="AC23" s="15"/>
      <c r="AD23" s="4"/>
      <c r="AE23" s="4"/>
      <c r="AF23" s="4"/>
      <c r="AG23" s="4"/>
      <c r="AH23" s="4"/>
      <c r="AI23" s="4"/>
      <c r="AJ23" s="4"/>
      <c r="AK23" s="4"/>
      <c r="AL23" s="4"/>
      <c r="AM23" s="4"/>
      <c r="AO23" s="9"/>
      <c r="AP23" s="4"/>
      <c r="AQ23" s="4"/>
      <c r="AR23" s="4"/>
    </row>
    <row r="24" spans="1:44">
      <c r="A24" s="25" t="s">
        <v>14</v>
      </c>
      <c r="B24" s="1" t="s">
        <v>16</v>
      </c>
      <c r="C24" s="12">
        <f t="shared" si="1"/>
        <v>20</v>
      </c>
      <c r="D24" s="29">
        <f>$L$20*D14</f>
        <v>131777.81235551767</v>
      </c>
      <c r="E24" s="29">
        <f t="shared" ref="E24:J24" si="5">$L$20*E14</f>
        <v>153238.22030532765</v>
      </c>
      <c r="F24" s="29">
        <f t="shared" si="5"/>
        <v>125870.25353127245</v>
      </c>
      <c r="G24" s="29">
        <f t="shared" si="5"/>
        <v>77251.204151659476</v>
      </c>
      <c r="H24" s="29">
        <f t="shared" si="5"/>
        <v>46498.011180543464</v>
      </c>
      <c r="I24" s="29">
        <f t="shared" si="5"/>
        <v>23096.760601313345</v>
      </c>
      <c r="J24" s="29">
        <f t="shared" si="5"/>
        <v>41593.117254534518</v>
      </c>
      <c r="K24" s="29"/>
      <c r="L24" s="29">
        <f>SUM(D24:J24)</f>
        <v>599325.37938016851</v>
      </c>
      <c r="N24" s="26"/>
      <c r="P24" s="4"/>
      <c r="Q24" s="4"/>
      <c r="R24" s="4"/>
      <c r="S24" s="4"/>
      <c r="T24" s="4"/>
      <c r="U24" s="4"/>
      <c r="V24" s="15"/>
      <c r="W24" s="15"/>
      <c r="X24" s="15"/>
      <c r="Y24" s="15"/>
      <c r="Z24" s="15"/>
      <c r="AA24" s="15"/>
      <c r="AB24" s="15"/>
      <c r="AC24" s="15"/>
      <c r="AD24" s="4"/>
      <c r="AE24" s="4"/>
      <c r="AF24" s="4"/>
      <c r="AG24" s="4"/>
      <c r="AH24" s="4"/>
      <c r="AI24" s="4"/>
      <c r="AJ24" s="4"/>
      <c r="AK24" s="4"/>
      <c r="AL24" s="4"/>
      <c r="AM24" s="4"/>
      <c r="AO24" s="9"/>
      <c r="AP24" s="4"/>
      <c r="AQ24" s="4"/>
      <c r="AR24" s="4"/>
    </row>
    <row r="25" spans="1:44">
      <c r="A25" s="25" t="s">
        <v>18</v>
      </c>
      <c r="B25" s="1" t="s">
        <v>19</v>
      </c>
      <c r="C25" s="12">
        <f t="shared" si="1"/>
        <v>21</v>
      </c>
      <c r="D25" s="29">
        <f t="shared" ref="D25:J26" si="6">$L$20*D15</f>
        <v>94999070.90807274</v>
      </c>
      <c r="E25" s="29">
        <f t="shared" si="6"/>
        <v>110469951.62841734</v>
      </c>
      <c r="F25" s="29">
        <f t="shared" si="6"/>
        <v>90740291.758484095</v>
      </c>
      <c r="G25" s="29">
        <f t="shared" si="6"/>
        <v>55690654.517305911</v>
      </c>
      <c r="H25" s="29">
        <f t="shared" si="6"/>
        <v>33520573.625153612</v>
      </c>
      <c r="I25" s="29">
        <f t="shared" si="6"/>
        <v>16650532.884787831</v>
      </c>
      <c r="J25" s="29">
        <f t="shared" si="6"/>
        <v>29984618.994062871</v>
      </c>
      <c r="K25" s="29"/>
      <c r="L25" s="29">
        <f>SUM(D25:J25)</f>
        <v>432055694.31628442</v>
      </c>
      <c r="N25" s="26"/>
      <c r="P25" s="4"/>
      <c r="Q25" s="4"/>
      <c r="R25" s="4"/>
      <c r="S25" s="4"/>
      <c r="T25" s="4"/>
      <c r="U25" s="4"/>
      <c r="V25" s="15"/>
      <c r="W25" s="15"/>
      <c r="X25" s="15"/>
      <c r="Y25" s="15"/>
      <c r="Z25" s="15"/>
      <c r="AA25" s="15"/>
      <c r="AB25" s="15"/>
      <c r="AC25" s="15"/>
      <c r="AD25" s="4"/>
      <c r="AE25" s="4"/>
      <c r="AF25" s="4"/>
      <c r="AG25" s="4"/>
      <c r="AH25" s="4"/>
      <c r="AI25" s="4"/>
      <c r="AJ25" s="4"/>
      <c r="AK25" s="4"/>
      <c r="AL25" s="4"/>
      <c r="AM25" s="4"/>
      <c r="AO25" s="9"/>
      <c r="AP25" s="4"/>
      <c r="AQ25" s="4"/>
      <c r="AR25" s="4"/>
    </row>
    <row r="26" spans="1:44" ht="12" thickBot="1">
      <c r="A26" s="25" t="s">
        <v>15</v>
      </c>
      <c r="B26" s="1" t="s">
        <v>17</v>
      </c>
      <c r="C26" s="12">
        <f t="shared" si="1"/>
        <v>22</v>
      </c>
      <c r="D26" s="29">
        <f t="shared" si="6"/>
        <v>5699.1364843132405</v>
      </c>
      <c r="E26" s="29">
        <f t="shared" si="6"/>
        <v>6627.2577797635286</v>
      </c>
      <c r="F26" s="29">
        <f t="shared" si="6"/>
        <v>5443.6459474264148</v>
      </c>
      <c r="G26" s="29">
        <f t="shared" si="6"/>
        <v>3340.9657374648214</v>
      </c>
      <c r="H26" s="29">
        <f t="shared" si="6"/>
        <v>2010.9493945165227</v>
      </c>
      <c r="I26" s="29">
        <f t="shared" si="6"/>
        <v>998.8903948205658</v>
      </c>
      <c r="J26" s="29">
        <f t="shared" si="6"/>
        <v>1798.8221826154099</v>
      </c>
      <c r="K26" s="29"/>
      <c r="L26" s="29">
        <f>SUM(D26:J26)</f>
        <v>25919.667920920507</v>
      </c>
      <c r="N26" s="26"/>
      <c r="P26" s="4"/>
      <c r="Q26" s="4"/>
      <c r="R26" s="4"/>
      <c r="S26" s="4"/>
      <c r="T26" s="4"/>
      <c r="U26" s="4"/>
      <c r="V26" s="15"/>
      <c r="W26" s="15"/>
      <c r="X26" s="15"/>
      <c r="Y26" s="15"/>
      <c r="Z26" s="15"/>
      <c r="AA26" s="15"/>
      <c r="AB26" s="15"/>
      <c r="AC26" s="15"/>
      <c r="AD26" s="4"/>
      <c r="AE26" s="4"/>
      <c r="AF26" s="4"/>
      <c r="AG26" s="4"/>
      <c r="AH26" s="4"/>
      <c r="AI26" s="4"/>
      <c r="AJ26" s="4"/>
      <c r="AK26" s="4"/>
      <c r="AL26" s="4"/>
      <c r="AM26" s="4"/>
      <c r="AO26" s="9"/>
      <c r="AP26" s="4"/>
      <c r="AQ26" s="4"/>
      <c r="AR26" s="4"/>
    </row>
    <row r="27" spans="1:44">
      <c r="A27" s="27"/>
      <c r="B27" s="8"/>
      <c r="C27" s="12">
        <f t="shared" si="1"/>
        <v>23</v>
      </c>
      <c r="D27" s="31"/>
      <c r="E27" s="31"/>
      <c r="F27" s="31"/>
      <c r="G27" s="31"/>
      <c r="H27" s="31"/>
      <c r="I27" s="31"/>
      <c r="J27" s="31"/>
      <c r="L27" s="31"/>
      <c r="M27" s="46" t="s">
        <v>319</v>
      </c>
      <c r="P27" s="4"/>
      <c r="Q27" s="4"/>
      <c r="R27" s="4"/>
      <c r="S27" s="4"/>
      <c r="T27" s="4"/>
      <c r="U27" s="4"/>
      <c r="V27" s="15"/>
      <c r="W27" s="15"/>
      <c r="X27" s="15"/>
      <c r="Y27" s="15"/>
      <c r="Z27" s="15"/>
      <c r="AA27" s="15"/>
      <c r="AB27" s="15"/>
      <c r="AC27" s="15"/>
      <c r="AD27" s="4"/>
      <c r="AE27" s="4"/>
      <c r="AF27" s="4"/>
      <c r="AG27" s="4"/>
      <c r="AH27" s="4"/>
      <c r="AI27" s="4"/>
      <c r="AJ27" s="4"/>
      <c r="AK27" s="4"/>
      <c r="AL27" s="4"/>
      <c r="AM27" s="4"/>
      <c r="AO27" s="9"/>
      <c r="AP27" s="4"/>
      <c r="AQ27" s="4"/>
      <c r="AR27" s="4"/>
    </row>
    <row r="28" spans="1:44">
      <c r="A28" s="25" t="s">
        <v>28</v>
      </c>
      <c r="B28" s="1" t="s">
        <v>224</v>
      </c>
      <c r="C28" s="12">
        <f t="shared" si="1"/>
        <v>24</v>
      </c>
      <c r="D28" s="29"/>
      <c r="E28" s="29"/>
      <c r="F28" s="29"/>
      <c r="G28" s="29"/>
      <c r="H28" s="29"/>
      <c r="I28" s="29"/>
      <c r="J28" s="29"/>
      <c r="K28" s="29"/>
      <c r="L28" s="39">
        <f>JRC_TrRoad_act!$Q$6*M28/($M$28+$M$29)</f>
        <v>169831.2999480553</v>
      </c>
      <c r="M28" s="280">
        <v>163461.30421369229</v>
      </c>
      <c r="N28" s="4" t="s">
        <v>227</v>
      </c>
      <c r="P28" s="4"/>
      <c r="Q28" s="4"/>
      <c r="R28" s="4"/>
      <c r="S28" s="4"/>
      <c r="T28" s="4"/>
      <c r="U28" s="4"/>
      <c r="V28" s="15"/>
      <c r="W28" s="15"/>
      <c r="X28" s="15"/>
      <c r="Y28" s="15"/>
      <c r="Z28" s="15"/>
      <c r="AA28" s="15"/>
      <c r="AB28" s="15"/>
      <c r="AC28" s="15"/>
      <c r="AD28" s="4"/>
      <c r="AE28" s="4"/>
      <c r="AF28" s="4"/>
      <c r="AG28" s="4"/>
      <c r="AH28" s="4"/>
      <c r="AI28" s="4"/>
      <c r="AJ28" s="4"/>
      <c r="AK28" s="4"/>
      <c r="AL28" s="4"/>
      <c r="AM28" s="4"/>
      <c r="AO28" s="9"/>
      <c r="AP28" s="4"/>
      <c r="AQ28" s="4"/>
      <c r="AR28" s="4"/>
    </row>
    <row r="29" spans="1:44">
      <c r="A29" s="25" t="s">
        <v>29</v>
      </c>
      <c r="B29" s="1" t="s">
        <v>225</v>
      </c>
      <c r="C29" s="12">
        <f t="shared" si="1"/>
        <v>25</v>
      </c>
      <c r="D29" s="29"/>
      <c r="E29" s="29"/>
      <c r="F29" s="29"/>
      <c r="G29" s="29"/>
      <c r="H29" s="29"/>
      <c r="I29" s="29"/>
      <c r="J29" s="29"/>
      <c r="K29" s="29"/>
      <c r="L29" s="39">
        <f>JRC_TrRoad_act!$Q$6*M29/($M$28+$M$29)</f>
        <v>554271.6422081081</v>
      </c>
      <c r="M29" s="280">
        <v>533482.14111129066</v>
      </c>
      <c r="N29" s="4" t="s">
        <v>197</v>
      </c>
      <c r="P29" s="4"/>
      <c r="Q29" s="4"/>
      <c r="R29" s="4"/>
      <c r="S29" s="4"/>
      <c r="T29" s="4"/>
      <c r="U29" s="4"/>
      <c r="V29" s="15"/>
      <c r="W29" s="15"/>
      <c r="X29" s="15"/>
      <c r="Y29" s="15"/>
      <c r="Z29" s="15"/>
      <c r="AA29" s="15"/>
      <c r="AB29" s="15"/>
      <c r="AC29" s="15"/>
      <c r="AD29" s="4"/>
      <c r="AE29" s="4"/>
      <c r="AF29" s="4"/>
      <c r="AG29" s="4"/>
      <c r="AH29" s="4"/>
      <c r="AI29" s="4"/>
      <c r="AJ29" s="4"/>
      <c r="AK29" s="4"/>
      <c r="AL29" s="4"/>
      <c r="AM29" s="4"/>
      <c r="AO29" s="9"/>
      <c r="AP29" s="4"/>
      <c r="AQ29" s="4"/>
      <c r="AR29" s="4"/>
    </row>
    <row r="30" spans="1:44">
      <c r="A30" s="25" t="s">
        <v>30</v>
      </c>
      <c r="B30" s="1" t="s">
        <v>226</v>
      </c>
      <c r="C30" s="12">
        <f t="shared" si="1"/>
        <v>26</v>
      </c>
      <c r="D30" s="29"/>
      <c r="E30" s="29"/>
      <c r="F30" s="29"/>
      <c r="G30" s="29"/>
      <c r="H30" s="29"/>
      <c r="I30" s="29"/>
      <c r="J30" s="29"/>
      <c r="K30" s="29"/>
      <c r="L30" s="39">
        <v>105328.5061990293</v>
      </c>
      <c r="N30" s="4" t="s">
        <v>197</v>
      </c>
      <c r="P30" s="4"/>
      <c r="Q30" s="4"/>
      <c r="R30" s="4"/>
      <c r="S30" s="4"/>
      <c r="T30" s="4"/>
      <c r="U30" s="4"/>
      <c r="V30" s="15"/>
      <c r="W30" s="15"/>
      <c r="X30" s="15"/>
      <c r="Y30" s="15"/>
      <c r="Z30" s="15"/>
      <c r="AA30" s="15"/>
      <c r="AB30" s="15"/>
      <c r="AC30" s="15"/>
      <c r="AD30" s="4"/>
      <c r="AE30" s="4"/>
      <c r="AF30" s="4"/>
      <c r="AG30" s="4"/>
      <c r="AH30" s="4"/>
      <c r="AI30" s="4"/>
      <c r="AJ30" s="4"/>
      <c r="AK30" s="4"/>
      <c r="AL30" s="4"/>
      <c r="AM30" s="4"/>
      <c r="AO30" s="9"/>
      <c r="AP30" s="4"/>
      <c r="AQ30" s="4"/>
      <c r="AR30" s="4"/>
    </row>
    <row r="31" spans="1:44">
      <c r="A31" s="25"/>
      <c r="C31" s="12">
        <f t="shared" si="1"/>
        <v>27</v>
      </c>
      <c r="D31" s="29"/>
      <c r="E31" s="29"/>
      <c r="F31" s="29"/>
      <c r="G31" s="29"/>
      <c r="H31" s="29"/>
      <c r="I31" s="29"/>
      <c r="J31" s="29"/>
      <c r="K31" s="29"/>
      <c r="L31" s="29"/>
      <c r="P31" s="4"/>
      <c r="Q31" s="4"/>
      <c r="R31" s="4"/>
      <c r="S31" s="4"/>
      <c r="T31" s="4"/>
      <c r="U31" s="4"/>
      <c r="V31" s="15"/>
      <c r="W31" s="15"/>
      <c r="X31" s="15"/>
      <c r="Y31" s="15"/>
      <c r="Z31" s="15"/>
      <c r="AA31" s="15"/>
      <c r="AB31" s="15"/>
      <c r="AC31" s="15"/>
      <c r="AD31" s="4"/>
      <c r="AE31" s="4"/>
      <c r="AF31" s="4"/>
      <c r="AG31" s="4"/>
      <c r="AH31" s="4"/>
      <c r="AI31" s="4"/>
      <c r="AJ31" s="4"/>
      <c r="AK31" s="4"/>
      <c r="AL31" s="4"/>
      <c r="AM31" s="4"/>
      <c r="AO31" s="9"/>
      <c r="AP31" s="4"/>
      <c r="AQ31" s="4"/>
      <c r="AR31" s="4"/>
    </row>
    <row r="32" spans="1:44">
      <c r="A32" s="25" t="s">
        <v>31</v>
      </c>
      <c r="B32" s="1" t="s">
        <v>20</v>
      </c>
      <c r="C32" s="12">
        <f t="shared" si="1"/>
        <v>28</v>
      </c>
      <c r="D32" s="29"/>
      <c r="E32" s="29"/>
      <c r="F32" s="29"/>
      <c r="G32" s="29"/>
      <c r="H32" s="29"/>
      <c r="I32" s="29"/>
      <c r="J32" s="29"/>
      <c r="K32" s="29"/>
      <c r="L32" s="39">
        <f>JRC_TrRoad_act!Q13</f>
        <v>70328.699654180513</v>
      </c>
      <c r="N32" s="4" t="s">
        <v>197</v>
      </c>
      <c r="P32" s="4"/>
      <c r="Q32" s="4"/>
      <c r="R32" s="4"/>
      <c r="S32" s="4"/>
      <c r="T32" s="4"/>
      <c r="U32" s="4"/>
      <c r="V32" s="15"/>
      <c r="W32" s="15"/>
      <c r="X32" s="15"/>
      <c r="Y32" s="15"/>
      <c r="Z32" s="15"/>
      <c r="AA32" s="15"/>
      <c r="AB32" s="15"/>
      <c r="AC32" s="15"/>
      <c r="AD32" s="4"/>
      <c r="AE32" s="4"/>
      <c r="AF32" s="4"/>
      <c r="AG32" s="4"/>
      <c r="AH32" s="4"/>
      <c r="AI32" s="4"/>
      <c r="AJ32" s="4"/>
      <c r="AK32" s="4"/>
      <c r="AL32" s="4"/>
      <c r="AM32" s="4"/>
      <c r="AO32" s="9"/>
      <c r="AP32" s="4"/>
      <c r="AQ32" s="4"/>
      <c r="AR32" s="4"/>
    </row>
    <row r="33" spans="1:44">
      <c r="A33" s="25"/>
      <c r="C33" s="12">
        <f t="shared" si="1"/>
        <v>29</v>
      </c>
      <c r="D33" s="29"/>
      <c r="E33" s="29"/>
      <c r="F33" s="29"/>
      <c r="G33" s="29"/>
      <c r="H33" s="29"/>
      <c r="I33" s="29"/>
      <c r="J33" s="29"/>
      <c r="K33" s="29"/>
      <c r="L33" s="29"/>
      <c r="P33" s="4"/>
      <c r="Q33" s="4"/>
      <c r="R33" s="4"/>
      <c r="S33" s="4"/>
      <c r="T33" s="4"/>
      <c r="U33" s="4"/>
      <c r="V33" s="15"/>
      <c r="W33" s="15"/>
      <c r="X33" s="15"/>
      <c r="Y33" s="15"/>
      <c r="Z33" s="15"/>
      <c r="AA33" s="15"/>
      <c r="AB33" s="15"/>
      <c r="AC33" s="15"/>
      <c r="AD33" s="4"/>
      <c r="AE33" s="4"/>
      <c r="AF33" s="4"/>
      <c r="AG33" s="4"/>
      <c r="AH33" s="4"/>
      <c r="AI33" s="4"/>
      <c r="AJ33" s="4"/>
      <c r="AK33" s="4"/>
      <c r="AL33" s="4"/>
      <c r="AM33" s="4"/>
      <c r="AO33" s="9"/>
      <c r="AP33" s="4"/>
      <c r="AQ33" s="4"/>
      <c r="AR33" s="4"/>
    </row>
    <row r="34" spans="1:44">
      <c r="A34" s="25" t="s">
        <v>27</v>
      </c>
      <c r="B34" s="1" t="s">
        <v>21</v>
      </c>
      <c r="C34" s="12">
        <f t="shared" si="1"/>
        <v>30</v>
      </c>
      <c r="D34" s="29"/>
      <c r="E34" s="29"/>
      <c r="F34" s="29"/>
      <c r="G34" s="29"/>
      <c r="H34" s="29"/>
      <c r="I34" s="29"/>
      <c r="J34" s="29"/>
      <c r="K34" s="29"/>
      <c r="L34" s="39">
        <v>291099.78359959094</v>
      </c>
      <c r="M34" s="28"/>
      <c r="N34" s="4" t="s">
        <v>197</v>
      </c>
      <c r="P34" s="4"/>
      <c r="Q34" s="4"/>
      <c r="R34" s="4"/>
      <c r="S34" s="4"/>
      <c r="T34" s="4"/>
      <c r="U34" s="4"/>
      <c r="V34" s="4"/>
      <c r="W34" s="4"/>
      <c r="X34" s="4"/>
      <c r="Y34" s="10"/>
      <c r="AA34" s="4"/>
      <c r="AB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O34" s="9"/>
      <c r="AP34" s="4"/>
      <c r="AQ34" s="4"/>
      <c r="AR34" s="4"/>
    </row>
    <row r="35" spans="1:44" ht="15">
      <c r="B35"/>
      <c r="C35" s="12">
        <f t="shared" si="1"/>
        <v>31</v>
      </c>
      <c r="D35" s="29"/>
      <c r="E35" s="29"/>
      <c r="F35" s="29"/>
      <c r="G35" s="29"/>
      <c r="H35" s="29"/>
      <c r="I35" s="29"/>
      <c r="J35" s="29"/>
      <c r="K35" s="29"/>
      <c r="L35" s="29"/>
      <c r="M35" s="4"/>
      <c r="P35" s="4"/>
      <c r="Q35" s="4"/>
      <c r="R35" s="4"/>
      <c r="S35" s="4"/>
      <c r="T35" s="4"/>
      <c r="U35" s="4"/>
      <c r="V35" s="4"/>
      <c r="W35" s="4"/>
      <c r="X35" s="4"/>
      <c r="Y35" s="10"/>
      <c r="AA35" s="4"/>
      <c r="AB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O35" s="9"/>
      <c r="AP35" s="4"/>
      <c r="AQ35" s="4"/>
      <c r="AR35" s="4"/>
    </row>
    <row r="36" spans="1:44" ht="15">
      <c r="B36"/>
      <c r="C36" s="12">
        <f t="shared" si="1"/>
        <v>32</v>
      </c>
      <c r="D36" s="29"/>
      <c r="E36" s="29"/>
      <c r="F36" s="29"/>
      <c r="G36" s="29"/>
      <c r="H36" s="29"/>
      <c r="I36" s="29"/>
      <c r="J36" s="29"/>
      <c r="K36" s="29"/>
      <c r="L36" s="29"/>
      <c r="M36" s="4"/>
      <c r="Q36" s="4"/>
      <c r="R36" s="4"/>
      <c r="S36" s="4"/>
      <c r="T36" s="4"/>
      <c r="U36" s="4"/>
      <c r="V36" s="4"/>
      <c r="X36" s="4"/>
      <c r="Y36" s="10"/>
      <c r="AA36" s="4"/>
      <c r="AB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O36" s="9"/>
      <c r="AP36" s="4"/>
      <c r="AQ36" s="4"/>
      <c r="AR36" s="4"/>
    </row>
    <row r="37" spans="1:44">
      <c r="A37" s="36"/>
      <c r="B37" s="37"/>
      <c r="C37" s="12">
        <f t="shared" si="1"/>
        <v>33</v>
      </c>
      <c r="D37" s="38"/>
      <c r="E37" s="38"/>
      <c r="F37" s="38"/>
      <c r="G37" s="38"/>
      <c r="H37" s="38"/>
      <c r="I37" s="38"/>
      <c r="J37" s="38"/>
      <c r="K37" s="38"/>
      <c r="L37" s="38"/>
      <c r="Q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O37" s="9"/>
      <c r="AP37" s="4"/>
      <c r="AQ37" s="4"/>
      <c r="AR37" s="4"/>
    </row>
    <row r="38" spans="1:44">
      <c r="A38" s="35"/>
      <c r="B38" s="33"/>
      <c r="C38" s="12">
        <f t="shared" si="1"/>
        <v>34</v>
      </c>
      <c r="D38" s="34"/>
      <c r="E38" s="34"/>
      <c r="F38" s="34"/>
      <c r="G38" s="34"/>
      <c r="H38" s="34"/>
      <c r="I38" s="34"/>
      <c r="J38" s="34"/>
      <c r="K38" s="29"/>
      <c r="L38" s="29" t="s">
        <v>94</v>
      </c>
      <c r="N38" s="4" t="s">
        <v>312</v>
      </c>
      <c r="Q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O38" s="9"/>
      <c r="AP38" s="4"/>
      <c r="AQ38" s="4"/>
      <c r="AR38" s="4"/>
    </row>
    <row r="39" spans="1:44">
      <c r="A39" s="35"/>
      <c r="B39" s="33"/>
      <c r="C39" s="12">
        <f t="shared" si="1"/>
        <v>35</v>
      </c>
      <c r="D39" s="34"/>
      <c r="E39" s="34"/>
      <c r="F39" s="34"/>
      <c r="G39" s="34"/>
      <c r="H39" s="34"/>
      <c r="I39" s="34"/>
      <c r="J39" s="34"/>
      <c r="K39" s="29"/>
      <c r="L39" s="29"/>
      <c r="M39" s="6"/>
      <c r="Q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O39" s="9"/>
      <c r="AP39" s="4"/>
      <c r="AQ39" s="4"/>
      <c r="AR39" s="4"/>
    </row>
    <row r="40" spans="1:44">
      <c r="A40" s="25" t="s">
        <v>60</v>
      </c>
      <c r="B40" s="1" t="s">
        <v>26</v>
      </c>
      <c r="C40" s="12">
        <f t="shared" si="1"/>
        <v>36</v>
      </c>
      <c r="D40" s="39">
        <f>'vente PF car labelling Ademe'!C$15*$L40</f>
        <v>4.8854000999999991</v>
      </c>
      <c r="E40" s="39">
        <f>'vente PF car labelling Ademe'!D$15*$L40</f>
        <v>4.6902603999999997</v>
      </c>
      <c r="F40" s="39">
        <f>'vente PF car labelling Ademe'!E$15*$L40</f>
        <v>3.2465719999999996</v>
      </c>
      <c r="G40" s="39">
        <f>'vente PF car labelling Ademe'!F$15*$L40</f>
        <v>1.7994297999999997</v>
      </c>
      <c r="H40" s="39">
        <f>'vente PF car labelling Ademe'!G$15*$L40</f>
        <v>1.1069429</v>
      </c>
      <c r="I40" s="39">
        <f>'vente PF car labelling Ademe'!H$15*$L40</f>
        <v>0.5353389999999999</v>
      </c>
      <c r="J40" s="39">
        <f>'vente PF car labelling Ademe'!I$15*$L40</f>
        <v>1.0050558000000012</v>
      </c>
      <c r="L40" s="29">
        <f>'immat. de VP par PF'!Q24/1000</f>
        <v>17.268999999999998</v>
      </c>
      <c r="M40" s="2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O40" s="9"/>
      <c r="AP40" s="4"/>
      <c r="AQ40" s="4"/>
      <c r="AR40" s="4"/>
    </row>
    <row r="41" spans="1:44">
      <c r="A41" s="25"/>
      <c r="C41" s="12">
        <f t="shared" si="1"/>
        <v>37</v>
      </c>
      <c r="D41" s="29"/>
      <c r="E41" s="29"/>
      <c r="F41" s="29"/>
      <c r="G41" s="29"/>
      <c r="H41" s="29"/>
      <c r="I41" s="29"/>
      <c r="J41" s="29"/>
      <c r="M41" s="29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O41" s="9"/>
      <c r="AP41" s="4"/>
      <c r="AQ41" s="4"/>
      <c r="AR41" s="4"/>
    </row>
    <row r="42" spans="1:44">
      <c r="A42" s="25" t="s">
        <v>322</v>
      </c>
      <c r="B42" s="1" t="s">
        <v>39</v>
      </c>
      <c r="C42" s="12">
        <f t="shared" si="1"/>
        <v>38</v>
      </c>
      <c r="D42" s="261">
        <f>'vente PF car labelling Ademe'!C$15*$L42</f>
        <v>528.68436870000005</v>
      </c>
      <c r="E42" s="261">
        <f>'vente PF car labelling Ademe'!D$15*$L42</f>
        <v>507.56689480000006</v>
      </c>
      <c r="F42" s="261">
        <f>'vente PF car labelling Ademe'!E$15*$L42</f>
        <v>351.33496400000001</v>
      </c>
      <c r="G42" s="261">
        <f>'vente PF car labelling Ademe'!F$15*$L42</f>
        <v>194.7292726</v>
      </c>
      <c r="H42" s="261">
        <f>'vente PF car labelling Ademe'!G$15*$L42</f>
        <v>119.79027230000001</v>
      </c>
      <c r="I42" s="261">
        <f>'vente PF car labelling Ademe'!H$15*$L42</f>
        <v>57.932893</v>
      </c>
      <c r="J42" s="261">
        <f>'vente PF car labelling Ademe'!I$15*$L42</f>
        <v>108.76433460000015</v>
      </c>
      <c r="L42" s="29">
        <f>SUM('immat. de VP par PF'!Q21:Q23,'immat. de VP par PF'!Q25)/1000</f>
        <v>1868.8030000000001</v>
      </c>
      <c r="M42" s="29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O42" s="9"/>
      <c r="AP42" s="4"/>
      <c r="AQ42" s="4"/>
      <c r="AR42" s="4"/>
    </row>
    <row r="43" spans="1:44">
      <c r="A43" s="25" t="s">
        <v>61</v>
      </c>
      <c r="B43" s="1" t="s">
        <v>40</v>
      </c>
      <c r="C43" s="12">
        <f t="shared" si="1"/>
        <v>39</v>
      </c>
      <c r="D43" s="261">
        <f>'vente PF car labelling Ademe'!C$15*$L43</f>
        <v>4.4415299999999998E-2</v>
      </c>
      <c r="E43" s="261">
        <f>'vente PF car labelling Ademe'!D$15*$L43</f>
        <v>4.2641200000000004E-2</v>
      </c>
      <c r="F43" s="261">
        <f>'vente PF car labelling Ademe'!E$15*$L43</f>
        <v>2.9516000000000001E-2</v>
      </c>
      <c r="G43" s="261">
        <f>'vente PF car labelling Ademe'!F$15*$L43</f>
        <v>1.63594E-2</v>
      </c>
      <c r="H43" s="261">
        <f>'vente PF car labelling Ademe'!G$15*$L43</f>
        <v>1.00637E-2</v>
      </c>
      <c r="I43" s="261">
        <f>'vente PF car labelling Ademe'!H$15*$L43</f>
        <v>4.8669999999999998E-3</v>
      </c>
      <c r="J43" s="261">
        <f>'vente PF car labelling Ademe'!I$15*$L43</f>
        <v>9.1374000000000125E-3</v>
      </c>
      <c r="L43" s="29">
        <f>'immat. de VP par PF'!Q31/1000</f>
        <v>0.157</v>
      </c>
      <c r="M43" s="29"/>
      <c r="Q43" s="4"/>
      <c r="R43" s="4"/>
      <c r="S43" s="4"/>
      <c r="T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O43" s="9"/>
      <c r="AP43" s="4"/>
      <c r="AQ43" s="4"/>
      <c r="AR43" s="4"/>
    </row>
    <row r="44" spans="1:44">
      <c r="A44" s="25"/>
      <c r="C44" s="12">
        <f t="shared" si="1"/>
        <v>40</v>
      </c>
      <c r="D44" s="29"/>
      <c r="E44" s="29"/>
      <c r="F44" s="29"/>
      <c r="G44" s="29"/>
      <c r="H44" s="29"/>
      <c r="I44" s="29"/>
      <c r="J44" s="29"/>
      <c r="L44" s="29">
        <f>SUM(L40:L43)</f>
        <v>1886.229</v>
      </c>
      <c r="M44" s="29"/>
      <c r="Q44" s="4"/>
      <c r="R44" s="4"/>
      <c r="S44" s="4"/>
      <c r="T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O44" s="9"/>
      <c r="AP44" s="4"/>
      <c r="AQ44" s="4"/>
      <c r="AR44" s="4"/>
    </row>
    <row r="45" spans="1:44">
      <c r="A45" s="25"/>
      <c r="C45" s="12">
        <f t="shared" si="1"/>
        <v>41</v>
      </c>
      <c r="D45" s="29"/>
      <c r="E45" s="29"/>
      <c r="F45" s="29"/>
      <c r="G45" s="29"/>
      <c r="H45" s="29"/>
      <c r="I45" s="29"/>
      <c r="J45" s="29"/>
      <c r="L45" s="29"/>
      <c r="Q45" s="4"/>
      <c r="R45" s="4"/>
      <c r="S45" s="4"/>
      <c r="T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O45" s="9"/>
      <c r="AP45" s="4"/>
      <c r="AQ45" s="4"/>
      <c r="AR45" s="4"/>
    </row>
    <row r="46" spans="1:44">
      <c r="A46" s="25"/>
      <c r="C46" s="12">
        <f t="shared" si="1"/>
        <v>42</v>
      </c>
      <c r="D46" s="29"/>
      <c r="E46" s="29"/>
      <c r="F46" s="29"/>
      <c r="G46" s="29"/>
      <c r="H46" s="29"/>
      <c r="I46" s="29"/>
      <c r="J46" s="29"/>
      <c r="L46" s="29"/>
      <c r="Q46" s="4"/>
      <c r="R46" s="4"/>
      <c r="S46" s="4"/>
      <c r="T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O46" s="9"/>
      <c r="AP46" s="4"/>
      <c r="AQ46" s="4"/>
      <c r="AR46" s="4"/>
    </row>
    <row r="47" spans="1:44">
      <c r="A47" s="25"/>
      <c r="C47" s="12">
        <f t="shared" si="1"/>
        <v>43</v>
      </c>
      <c r="D47" s="13"/>
      <c r="E47" s="13"/>
      <c r="F47" s="13"/>
      <c r="G47" s="13"/>
      <c r="H47" s="13"/>
      <c r="I47" s="13"/>
      <c r="J47" s="13"/>
      <c r="K47" s="29"/>
      <c r="L47" s="29"/>
      <c r="Q47" s="4"/>
      <c r="R47" s="4"/>
      <c r="S47" s="4"/>
      <c r="T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O47" s="9"/>
      <c r="AP47" s="4"/>
      <c r="AQ47" s="4"/>
      <c r="AR47" s="4"/>
    </row>
    <row r="48" spans="1:44">
      <c r="A48" s="4" t="s">
        <v>41</v>
      </c>
      <c r="C48" s="12">
        <f t="shared" si="1"/>
        <v>44</v>
      </c>
      <c r="D48" s="39">
        <f t="shared" ref="D48:J48" si="7">1/25</f>
        <v>0.04</v>
      </c>
      <c r="E48" s="39">
        <f t="shared" si="7"/>
        <v>0.04</v>
      </c>
      <c r="F48" s="39">
        <f t="shared" si="7"/>
        <v>0.04</v>
      </c>
      <c r="G48" s="39">
        <f t="shared" si="7"/>
        <v>0.04</v>
      </c>
      <c r="H48" s="39">
        <f t="shared" si="7"/>
        <v>0.04</v>
      </c>
      <c r="I48" s="39">
        <f t="shared" si="7"/>
        <v>0.04</v>
      </c>
      <c r="J48" s="39">
        <f t="shared" si="7"/>
        <v>0.04</v>
      </c>
      <c r="K48" s="29"/>
      <c r="L48" s="29"/>
      <c r="Q48" s="4"/>
      <c r="R48" s="4"/>
      <c r="S48" s="4"/>
      <c r="T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O48" s="9"/>
      <c r="AP48" s="4"/>
      <c r="AQ48" s="4"/>
      <c r="AR48" s="4"/>
    </row>
    <row r="49" spans="1:41">
      <c r="A49" s="4" t="s">
        <v>323</v>
      </c>
      <c r="C49" s="12">
        <f t="shared" si="1"/>
        <v>45</v>
      </c>
      <c r="D49" s="39">
        <f>1/12.85</f>
        <v>7.7821011673151752E-2</v>
      </c>
      <c r="E49" s="39">
        <f t="shared" ref="E49:J49" si="8">1/12.85</f>
        <v>7.7821011673151752E-2</v>
      </c>
      <c r="F49" s="39">
        <f t="shared" si="8"/>
        <v>7.7821011673151752E-2</v>
      </c>
      <c r="G49" s="39">
        <f t="shared" si="8"/>
        <v>7.7821011673151752E-2</v>
      </c>
      <c r="H49" s="39">
        <f t="shared" si="8"/>
        <v>7.7821011673151752E-2</v>
      </c>
      <c r="I49" s="39">
        <f t="shared" si="8"/>
        <v>7.7821011673151752E-2</v>
      </c>
      <c r="J49" s="39">
        <f t="shared" si="8"/>
        <v>7.7821011673151752E-2</v>
      </c>
      <c r="K49" s="29"/>
      <c r="L49" s="29"/>
      <c r="N49" s="42"/>
      <c r="O49" s="14"/>
      <c r="P49" s="14"/>
      <c r="U49" s="4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O49" s="18"/>
    </row>
    <row r="50" spans="1:41">
      <c r="A50" s="4" t="s">
        <v>42</v>
      </c>
      <c r="C50" s="12">
        <f t="shared" si="1"/>
        <v>46</v>
      </c>
      <c r="D50" s="39">
        <f t="shared" ref="D50:J50" si="9">1/16</f>
        <v>6.25E-2</v>
      </c>
      <c r="E50" s="39">
        <f t="shared" si="9"/>
        <v>6.25E-2</v>
      </c>
      <c r="F50" s="39">
        <f t="shared" si="9"/>
        <v>6.25E-2</v>
      </c>
      <c r="G50" s="39">
        <f t="shared" si="9"/>
        <v>6.25E-2</v>
      </c>
      <c r="H50" s="39">
        <f t="shared" si="9"/>
        <v>6.25E-2</v>
      </c>
      <c r="I50" s="39">
        <f t="shared" si="9"/>
        <v>6.25E-2</v>
      </c>
      <c r="J50" s="39">
        <f t="shared" si="9"/>
        <v>6.25E-2</v>
      </c>
      <c r="K50" s="29"/>
      <c r="L50" s="29"/>
      <c r="N50" s="42"/>
      <c r="O50" s="14"/>
      <c r="P50" s="14"/>
      <c r="U50" s="4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O50" s="18"/>
    </row>
    <row r="51" spans="1:41">
      <c r="A51" s="4"/>
      <c r="C51" s="12">
        <f t="shared" si="1"/>
        <v>47</v>
      </c>
      <c r="D51" s="29"/>
      <c r="E51" s="29"/>
      <c r="F51" s="29"/>
      <c r="G51" s="29"/>
      <c r="H51" s="29"/>
      <c r="I51" s="29"/>
      <c r="J51" s="29"/>
      <c r="K51" s="29"/>
      <c r="L51" s="29"/>
      <c r="N51" s="42"/>
      <c r="O51" s="14"/>
      <c r="P51" s="14"/>
      <c r="U51" s="4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O51" s="18"/>
    </row>
    <row r="52" spans="1:41">
      <c r="A52" s="4" t="s">
        <v>43</v>
      </c>
      <c r="B52" s="1" t="s">
        <v>50</v>
      </c>
      <c r="C52" s="12">
        <f t="shared" si="1"/>
        <v>48</v>
      </c>
      <c r="D52" s="39">
        <f>$L52*D68/$L68</f>
        <v>3399.0917629536498</v>
      </c>
      <c r="E52" s="39">
        <f t="shared" ref="E52:J52" si="10">$L52*E68/$L68</f>
        <v>4150.2761447769008</v>
      </c>
      <c r="F52" s="39">
        <f t="shared" si="10"/>
        <v>3571.3826763738471</v>
      </c>
      <c r="G52" s="39">
        <f t="shared" si="10"/>
        <v>2291.5202192915758</v>
      </c>
      <c r="H52" s="39">
        <f t="shared" si="10"/>
        <v>1439.2499371998649</v>
      </c>
      <c r="I52" s="39">
        <f t="shared" si="10"/>
        <v>744.70056175914885</v>
      </c>
      <c r="J52" s="39">
        <f t="shared" si="10"/>
        <v>1394.7148282917606</v>
      </c>
      <c r="K52" s="29"/>
      <c r="L52" s="165">
        <f>SUM(JRC_TrRoad_ene!Q32)*1000</f>
        <v>16990.936130646744</v>
      </c>
      <c r="N52" s="4" t="s">
        <v>197</v>
      </c>
      <c r="O52" s="14"/>
      <c r="P52" s="14"/>
      <c r="U52" s="4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O52" s="18"/>
    </row>
    <row r="53" spans="1:41">
      <c r="A53" s="4" t="s">
        <v>324</v>
      </c>
      <c r="B53" s="1" t="s">
        <v>48</v>
      </c>
      <c r="C53" s="12">
        <f t="shared" si="1"/>
        <v>49</v>
      </c>
      <c r="D53" s="39">
        <f t="shared" ref="D53:J54" si="11">$L53*D69/$L69</f>
        <v>4502141.8806991475</v>
      </c>
      <c r="E53" s="39">
        <f t="shared" si="11"/>
        <v>5497095.5040149279</v>
      </c>
      <c r="F53" s="39">
        <f t="shared" si="11"/>
        <v>4730343.4683782486</v>
      </c>
      <c r="G53" s="39">
        <f t="shared" si="11"/>
        <v>3035148.7600842905</v>
      </c>
      <c r="H53" s="39">
        <f t="shared" si="11"/>
        <v>1906305.5283422444</v>
      </c>
      <c r="I53" s="39">
        <f t="shared" si="11"/>
        <v>986365.71810661175</v>
      </c>
      <c r="J53" s="39">
        <f t="shared" si="11"/>
        <v>1847318.1890882887</v>
      </c>
      <c r="K53" s="29"/>
      <c r="L53" s="165">
        <f>SUM(JRC_TrRoad_ene!Q22,JRC_TrRoad_ene!Q24,JRC_TrRoad_ene!Q26,JRC_TrRoad_ene!Q29)*1000</f>
        <v>22504719.048713759</v>
      </c>
      <c r="N53" s="4" t="s">
        <v>197</v>
      </c>
      <c r="O53" s="14"/>
      <c r="P53" s="14"/>
      <c r="U53" s="4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O53" s="18"/>
    </row>
    <row r="54" spans="1:41">
      <c r="A54" s="4" t="s">
        <v>44</v>
      </c>
      <c r="B54" s="1" t="s">
        <v>49</v>
      </c>
      <c r="C54" s="12">
        <f t="shared" si="1"/>
        <v>50</v>
      </c>
      <c r="D54" s="39">
        <f t="shared" si="11"/>
        <v>480.84195948806928</v>
      </c>
      <c r="E54" s="39">
        <f t="shared" si="11"/>
        <v>587.10592506540922</v>
      </c>
      <c r="F54" s="39">
        <f t="shared" si="11"/>
        <v>505.21455846108688</v>
      </c>
      <c r="G54" s="39">
        <f t="shared" si="11"/>
        <v>324.16279091366096</v>
      </c>
      <c r="H54" s="39">
        <f t="shared" si="11"/>
        <v>203.59902240323848</v>
      </c>
      <c r="I54" s="39">
        <f t="shared" si="11"/>
        <v>105.34675210915093</v>
      </c>
      <c r="J54" s="39">
        <f t="shared" si="11"/>
        <v>197.29900153684707</v>
      </c>
      <c r="K54" s="29"/>
      <c r="L54" s="165">
        <f>JRC_TrRoad_ene!Q27*1000</f>
        <v>2403.5700099774631</v>
      </c>
      <c r="N54" s="4" t="s">
        <v>197</v>
      </c>
      <c r="O54" s="14"/>
      <c r="P54" s="14"/>
      <c r="U54" s="4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O54" s="18"/>
    </row>
    <row r="55" spans="1:41">
      <c r="A55" s="4"/>
      <c r="C55" s="12">
        <f t="shared" si="1"/>
        <v>51</v>
      </c>
      <c r="D55" s="29"/>
      <c r="E55" s="29"/>
      <c r="F55" s="29"/>
      <c r="G55" s="29"/>
      <c r="H55" s="29"/>
      <c r="I55" s="29"/>
      <c r="J55" s="29"/>
      <c r="K55" s="29"/>
      <c r="L55" s="29">
        <f>SUM(L52:L54)</f>
        <v>22524113.554854382</v>
      </c>
      <c r="N55" s="42"/>
      <c r="O55" s="14"/>
      <c r="P55" s="14"/>
      <c r="U55" s="4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O55" s="18"/>
    </row>
    <row r="56" spans="1:41">
      <c r="A56" s="4" t="s">
        <v>51</v>
      </c>
      <c r="B56" s="1" t="s">
        <v>54</v>
      </c>
      <c r="C56" s="12">
        <f t="shared" si="1"/>
        <v>52</v>
      </c>
      <c r="D56" s="39">
        <f>'ventes et prix VP'!$H$36*D75</f>
        <v>3871.9394809365258</v>
      </c>
      <c r="E56" s="39">
        <f>'ventes et prix VP'!$H$36*E75</f>
        <v>3871.9394809365258</v>
      </c>
      <c r="F56" s="39">
        <f>'ventes et prix VP'!$H$36*F75</f>
        <v>3871.9394809365258</v>
      </c>
      <c r="G56" s="39">
        <f>'ventes et prix VP'!$H$36*G75</f>
        <v>3871.9394809365258</v>
      </c>
      <c r="H56" s="39">
        <f>'ventes et prix VP'!$H$36*H75</f>
        <v>3871.9394809365258</v>
      </c>
      <c r="I56" s="39">
        <f>'ventes et prix VP'!$H$36*I75</f>
        <v>3871.9394809365258</v>
      </c>
      <c r="J56" s="39">
        <f>'ventes et prix VP'!$H$36*J75</f>
        <v>3871.9394809365258</v>
      </c>
      <c r="K56" s="29"/>
      <c r="L56" s="29"/>
      <c r="N56" s="4" t="s">
        <v>75</v>
      </c>
      <c r="O56" s="14"/>
      <c r="P56" s="14"/>
      <c r="U56" s="4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O56" s="18"/>
    </row>
    <row r="57" spans="1:41">
      <c r="A57" s="25" t="s">
        <v>52</v>
      </c>
      <c r="B57" s="1" t="s">
        <v>53</v>
      </c>
      <c r="C57" s="12">
        <f t="shared" si="1"/>
        <v>53</v>
      </c>
      <c r="D57" s="41">
        <f>'coût  batterie'!$E$5*D76</f>
        <v>5450.0512812162478</v>
      </c>
      <c r="E57" s="41">
        <f>'coût  batterie'!$E$5*E76</f>
        <v>5450.0512812162478</v>
      </c>
      <c r="F57" s="41">
        <f>'coût  batterie'!$E$5*F76</f>
        <v>5450.0512812162478</v>
      </c>
      <c r="G57" s="41">
        <f>'coût  batterie'!$E$6*G76</f>
        <v>10900.102562432496</v>
      </c>
      <c r="H57" s="41">
        <f>'coût  batterie'!$E$6*H76</f>
        <v>10900.102562432496</v>
      </c>
      <c r="I57" s="41">
        <f>'coût  batterie'!$E$8*I76</f>
        <v>17440.164099891994</v>
      </c>
      <c r="J57" s="41">
        <f>'coût  batterie'!$E$8*J76</f>
        <v>17440.164099891994</v>
      </c>
      <c r="K57" s="29"/>
      <c r="L57" s="29"/>
      <c r="N57" s="42" t="s">
        <v>320</v>
      </c>
      <c r="O57" s="14"/>
      <c r="P57" s="14"/>
      <c r="U57" s="4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O57" s="18"/>
    </row>
    <row r="58" spans="1:41">
      <c r="C58" s="12">
        <f t="shared" si="1"/>
        <v>54</v>
      </c>
      <c r="D58" s="29"/>
      <c r="E58" s="29"/>
      <c r="F58" s="29"/>
      <c r="G58" s="29"/>
      <c r="H58" s="29"/>
      <c r="I58" s="29"/>
      <c r="J58" s="29"/>
      <c r="K58" s="29"/>
      <c r="L58" s="29"/>
      <c r="O58" s="14"/>
      <c r="P58" s="14"/>
      <c r="U58" s="4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O58" s="18"/>
    </row>
    <row r="59" spans="1:41">
      <c r="A59" s="25" t="s">
        <v>325</v>
      </c>
      <c r="B59" s="1" t="s">
        <v>46</v>
      </c>
      <c r="C59" s="12">
        <f t="shared" si="1"/>
        <v>55</v>
      </c>
      <c r="D59" s="39">
        <f>'ventes et prix VP'!H34*D73</f>
        <v>14661.641157249476</v>
      </c>
      <c r="E59" s="39">
        <f>'ventes et prix VP'!I34*E73</f>
        <v>16482.142675041647</v>
      </c>
      <c r="F59" s="39">
        <f>'ventes et prix VP'!J34*F73</f>
        <v>18284.734881708515</v>
      </c>
      <c r="G59" s="39">
        <f>'ventes et prix VP'!K34*G73</f>
        <v>26831.533295265959</v>
      </c>
      <c r="H59" s="39">
        <f>'ventes et prix VP'!L34*H73</f>
        <v>34665.280857646067</v>
      </c>
      <c r="I59" s="39">
        <f>'ventes et prix VP'!M34*I73</f>
        <v>62969.502689392917</v>
      </c>
      <c r="J59" s="39">
        <f>'ventes et prix VP'!N34*J73</f>
        <v>88265.433455083941</v>
      </c>
      <c r="K59" s="29"/>
      <c r="L59" s="29"/>
      <c r="N59" s="4" t="s">
        <v>75</v>
      </c>
      <c r="O59" s="14"/>
      <c r="P59" s="14"/>
      <c r="U59" s="4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O59" s="18"/>
    </row>
    <row r="60" spans="1:41">
      <c r="A60" s="25" t="s">
        <v>45</v>
      </c>
      <c r="B60" s="1" t="s">
        <v>47</v>
      </c>
      <c r="C60" s="12">
        <f t="shared" si="1"/>
        <v>56</v>
      </c>
      <c r="D60" s="39">
        <f>'ventes et prix VP'!H35*D73</f>
        <v>8832.4893576210816</v>
      </c>
      <c r="E60" s="39">
        <f>'ventes et prix VP'!I35*E73</f>
        <v>23283.981586176116</v>
      </c>
      <c r="F60" s="39">
        <f>E60</f>
        <v>23283.981586176116</v>
      </c>
      <c r="G60" s="39">
        <f>'ventes et prix VP'!K35*G73</f>
        <v>17524.866980220893</v>
      </c>
      <c r="H60" s="39">
        <f>G60</f>
        <v>17524.866980220893</v>
      </c>
      <c r="I60" s="39">
        <f>H60</f>
        <v>17524.866980220893</v>
      </c>
      <c r="J60" s="39">
        <f>I60</f>
        <v>17524.866980220893</v>
      </c>
      <c r="K60" s="29"/>
      <c r="L60" s="29"/>
      <c r="N60" s="4" t="s">
        <v>75</v>
      </c>
      <c r="O60" s="14"/>
      <c r="P60" s="14"/>
      <c r="U60" s="4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O60" s="18"/>
    </row>
    <row r="61" spans="1:41">
      <c r="A61" s="4"/>
      <c r="C61" s="12">
        <f t="shared" si="1"/>
        <v>57</v>
      </c>
      <c r="D61" s="29"/>
      <c r="E61" s="29"/>
      <c r="F61" s="29"/>
      <c r="G61" s="29"/>
      <c r="H61" s="29"/>
      <c r="I61" s="29"/>
      <c r="J61" s="29"/>
      <c r="K61" s="29"/>
      <c r="L61" s="29"/>
      <c r="N61" s="42"/>
      <c r="O61" s="14"/>
      <c r="P61" s="14"/>
      <c r="U61" s="4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O61" s="18"/>
    </row>
    <row r="62" spans="1:41">
      <c r="A62" s="4" t="s">
        <v>55</v>
      </c>
      <c r="B62" s="1" t="s">
        <v>57</v>
      </c>
      <c r="C62" s="12">
        <f t="shared" si="1"/>
        <v>58</v>
      </c>
      <c r="D62" s="39">
        <f>'coût entretien'!$C$14*D74</f>
        <v>2.1459576919788974</v>
      </c>
      <c r="E62" s="39">
        <f>'coût entretien'!$C$14*E74</f>
        <v>2.1459576919788974</v>
      </c>
      <c r="F62" s="39">
        <f>'coût entretien'!$C$14*F74</f>
        <v>2.1459576919788974</v>
      </c>
      <c r="G62" s="39">
        <f>'coût entretien'!$C$14*G74</f>
        <v>2.1459576919788974</v>
      </c>
      <c r="H62" s="39">
        <f>'coût entretien'!$C$14*H74</f>
        <v>2.1459576919788974</v>
      </c>
      <c r="I62" s="39">
        <f>'coût entretien'!$C$14*I74</f>
        <v>2.1459576919788974</v>
      </c>
      <c r="J62" s="39">
        <f>'coût entretien'!$C$14*J74</f>
        <v>2.1459576919788974</v>
      </c>
      <c r="K62" s="29"/>
      <c r="L62" s="29"/>
      <c r="N62" s="42"/>
      <c r="O62" s="14"/>
      <c r="P62" s="14"/>
      <c r="U62" s="4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O62" s="18"/>
    </row>
    <row r="63" spans="1:41">
      <c r="A63" s="4" t="s">
        <v>326</v>
      </c>
      <c r="B63" s="1" t="s">
        <v>58</v>
      </c>
      <c r="C63" s="12">
        <f t="shared" si="1"/>
        <v>59</v>
      </c>
      <c r="D63" s="39">
        <f>'coût entretien'!$C13*D74</f>
        <v>3.5765961532981625</v>
      </c>
      <c r="E63" s="39">
        <f>'coût entretien'!$C13*E74</f>
        <v>3.5765961532981625</v>
      </c>
      <c r="F63" s="39">
        <f>'coût entretien'!$C13*F74</f>
        <v>3.5765961532981625</v>
      </c>
      <c r="G63" s="39">
        <f>'coût entretien'!$C13*G74</f>
        <v>3.5765961532981625</v>
      </c>
      <c r="H63" s="39">
        <f>'coût entretien'!$C13*H74</f>
        <v>3.5765961532981625</v>
      </c>
      <c r="I63" s="39">
        <f>'coût entretien'!$C13*I74</f>
        <v>3.5765961532981625</v>
      </c>
      <c r="J63" s="39">
        <f>'coût entretien'!$C13*J74</f>
        <v>3.5765961532981625</v>
      </c>
      <c r="K63" s="29"/>
      <c r="L63" s="29"/>
      <c r="N63" s="42" t="s">
        <v>158</v>
      </c>
      <c r="O63" s="14"/>
      <c r="P63" s="14"/>
      <c r="U63" s="4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O63" s="18"/>
    </row>
    <row r="64" spans="1:41">
      <c r="A64" s="4" t="s">
        <v>56</v>
      </c>
      <c r="B64" s="1" t="s">
        <v>59</v>
      </c>
      <c r="C64" s="12">
        <f t="shared" si="1"/>
        <v>60</v>
      </c>
      <c r="D64" s="39">
        <f>D63</f>
        <v>3.5765961532981625</v>
      </c>
      <c r="E64" s="39">
        <f t="shared" ref="E64:J64" si="12">E63</f>
        <v>3.5765961532981625</v>
      </c>
      <c r="F64" s="39">
        <f t="shared" si="12"/>
        <v>3.5765961532981625</v>
      </c>
      <c r="G64" s="39">
        <f t="shared" si="12"/>
        <v>3.5765961532981625</v>
      </c>
      <c r="H64" s="39">
        <f t="shared" si="12"/>
        <v>3.5765961532981625</v>
      </c>
      <c r="I64" s="39">
        <f t="shared" si="12"/>
        <v>3.5765961532981625</v>
      </c>
      <c r="J64" s="39">
        <f t="shared" si="12"/>
        <v>3.5765961532981625</v>
      </c>
      <c r="K64" s="29"/>
      <c r="L64" s="29"/>
      <c r="N64" s="42" t="s">
        <v>158</v>
      </c>
      <c r="O64" s="14"/>
      <c r="P64" s="14"/>
      <c r="U64" s="4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O64" s="18"/>
    </row>
    <row r="65" spans="1:41">
      <c r="A65" s="4"/>
      <c r="C65" s="12">
        <f t="shared" si="1"/>
        <v>61</v>
      </c>
      <c r="D65" s="29"/>
      <c r="E65" s="29"/>
      <c r="F65" s="29"/>
      <c r="G65" s="29"/>
      <c r="H65" s="29"/>
      <c r="I65" s="29"/>
      <c r="J65" s="29"/>
      <c r="K65" s="29"/>
      <c r="L65" s="29"/>
      <c r="N65" s="42"/>
      <c r="O65" s="14"/>
      <c r="P65" s="14"/>
      <c r="U65" s="4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O65" s="18"/>
    </row>
    <row r="66" spans="1:41">
      <c r="A66" s="4"/>
      <c r="C66" s="12">
        <f t="shared" si="1"/>
        <v>62</v>
      </c>
      <c r="D66" s="29"/>
      <c r="E66" s="29"/>
      <c r="F66" s="29"/>
      <c r="G66" s="29"/>
      <c r="H66" s="29"/>
      <c r="I66" s="29"/>
      <c r="J66" s="29"/>
      <c r="K66" s="29"/>
      <c r="L66" s="29"/>
      <c r="N66" s="42"/>
      <c r="O66" s="14"/>
      <c r="P66" s="14"/>
      <c r="U66" s="4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O66" s="18"/>
    </row>
    <row r="67" spans="1:41">
      <c r="A67" s="4"/>
      <c r="C67" s="12">
        <f t="shared" si="1"/>
        <v>63</v>
      </c>
      <c r="D67" s="29"/>
      <c r="E67" s="29"/>
      <c r="F67" s="29"/>
      <c r="G67" s="29"/>
      <c r="H67" s="29"/>
      <c r="I67" s="29"/>
      <c r="J67" s="29"/>
      <c r="K67" s="29"/>
      <c r="L67" s="29"/>
      <c r="M67" s="1" t="s">
        <v>314</v>
      </c>
      <c r="N67" s="4" t="s">
        <v>197</v>
      </c>
      <c r="O67" s="14"/>
      <c r="P67" s="14"/>
      <c r="U67" s="4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O67" s="18"/>
    </row>
    <row r="68" spans="1:41">
      <c r="A68" s="4"/>
      <c r="B68" s="1" t="s">
        <v>316</v>
      </c>
      <c r="C68" s="12">
        <f t="shared" si="1"/>
        <v>64</v>
      </c>
      <c r="D68" s="29">
        <f>D24*$M68*D$71</f>
        <v>3670.5993503994728</v>
      </c>
      <c r="E68" s="29">
        <f t="shared" ref="D68:J70" si="13">E24*$M68*E$71</f>
        <v>4481.7857190648174</v>
      </c>
      <c r="F68" s="29">
        <f t="shared" si="13"/>
        <v>3856.6522607011275</v>
      </c>
      <c r="G68" s="29">
        <f t="shared" si="13"/>
        <v>2474.5588571724629</v>
      </c>
      <c r="H68" s="29">
        <f t="shared" si="13"/>
        <v>1554.2121993075314</v>
      </c>
      <c r="I68" s="29">
        <f t="shared" si="13"/>
        <v>804.18464368257435</v>
      </c>
      <c r="J68" s="29">
        <f t="shared" si="13"/>
        <v>1506.1197813240847</v>
      </c>
      <c r="K68" s="29"/>
      <c r="L68" s="29">
        <f>SUM(D68:J68)</f>
        <v>18348.112811652067</v>
      </c>
      <c r="M68" s="1">
        <f>JRC_TrRoad_ene!V74</f>
        <v>2.7854456564332098E-2</v>
      </c>
      <c r="N68" s="42"/>
      <c r="O68" s="14"/>
      <c r="P68" s="14"/>
      <c r="U68" s="4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O68" s="18"/>
    </row>
    <row r="69" spans="1:41">
      <c r="A69" s="4"/>
      <c r="B69" s="1" t="s">
        <v>302</v>
      </c>
      <c r="C69" s="12">
        <f t="shared" si="1"/>
        <v>65</v>
      </c>
      <c r="D69" s="29">
        <f t="shared" si="13"/>
        <v>4947286.0475452365</v>
      </c>
      <c r="E69" s="29">
        <f t="shared" si="13"/>
        <v>6040614.5807233928</v>
      </c>
      <c r="F69" s="29">
        <f t="shared" si="13"/>
        <v>5198050.8081123047</v>
      </c>
      <c r="G69" s="29">
        <f t="shared" si="13"/>
        <v>3335245.6477132188</v>
      </c>
      <c r="H69" s="29">
        <f t="shared" si="13"/>
        <v>2094789.323090229</v>
      </c>
      <c r="I69" s="29">
        <f t="shared" si="13"/>
        <v>1083891.5085919013</v>
      </c>
      <c r="J69" s="29">
        <f t="shared" si="13"/>
        <v>2029969.6776401405</v>
      </c>
      <c r="K69" s="29"/>
      <c r="L69" s="29">
        <f>SUM(D69:J69)</f>
        <v>24729847.593416423</v>
      </c>
      <c r="M69" s="1">
        <f>JRC_TrRoad_ene!V72</f>
        <v>5.2077204547953435E-2</v>
      </c>
      <c r="N69" s="42"/>
      <c r="O69" s="14"/>
      <c r="P69" s="14"/>
      <c r="U69" s="4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O69" s="18"/>
    </row>
    <row r="70" spans="1:41">
      <c r="A70" s="4"/>
      <c r="B70" s="1" t="s">
        <v>315</v>
      </c>
      <c r="C70" s="12">
        <f t="shared" si="1"/>
        <v>66</v>
      </c>
      <c r="D70" s="29">
        <f t="shared" si="13"/>
        <v>366.37669641557272</v>
      </c>
      <c r="E70" s="29">
        <f t="shared" si="13"/>
        <v>447.34434054066895</v>
      </c>
      <c r="F70" s="29">
        <f t="shared" si="13"/>
        <v>384.9473558985818</v>
      </c>
      <c r="G70" s="29">
        <f t="shared" si="13"/>
        <v>246.99527587451729</v>
      </c>
      <c r="H70" s="29">
        <f t="shared" si="13"/>
        <v>155.13192172529099</v>
      </c>
      <c r="I70" s="29">
        <f t="shared" si="13"/>
        <v>80.268774915053257</v>
      </c>
      <c r="J70" s="29">
        <f t="shared" si="13"/>
        <v>150.33163176133883</v>
      </c>
      <c r="K70" s="29"/>
      <c r="L70" s="29">
        <f>SUM(D70:J70)</f>
        <v>1831.3959971310242</v>
      </c>
      <c r="M70" s="1">
        <f>JRC_TrRoad_ene!V73</f>
        <v>6.4286352401634397E-2</v>
      </c>
      <c r="N70" s="42"/>
      <c r="O70" s="14"/>
      <c r="P70" s="14"/>
      <c r="U70" s="4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O70" s="18"/>
    </row>
    <row r="71" spans="1:41">
      <c r="A71" s="4"/>
      <c r="B71" s="1" t="s">
        <v>317</v>
      </c>
      <c r="C71" s="12">
        <f t="shared" si="1"/>
        <v>67</v>
      </c>
      <c r="D71" s="29">
        <v>1</v>
      </c>
      <c r="E71" s="29">
        <v>1.05</v>
      </c>
      <c r="F71" s="29">
        <v>1.1000000000000001</v>
      </c>
      <c r="G71" s="29">
        <v>1.1499999999999999</v>
      </c>
      <c r="H71" s="29">
        <v>1.2</v>
      </c>
      <c r="I71" s="29">
        <v>1.25</v>
      </c>
      <c r="J71" s="29">
        <v>1.3</v>
      </c>
      <c r="K71" s="29"/>
      <c r="L71" s="29">
        <f>SUM(L68:L70)</f>
        <v>24750027.102225203</v>
      </c>
      <c r="N71" s="42"/>
      <c r="O71" s="14"/>
      <c r="P71" s="14"/>
      <c r="U71" s="4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O71" s="18"/>
    </row>
    <row r="72" spans="1:41">
      <c r="A72" s="4"/>
      <c r="C72" s="12">
        <f t="shared" si="1"/>
        <v>68</v>
      </c>
      <c r="D72" s="29"/>
      <c r="E72" s="29"/>
      <c r="F72" s="29"/>
      <c r="G72" s="29"/>
      <c r="H72" s="29"/>
      <c r="I72" s="29"/>
      <c r="J72" s="29"/>
      <c r="K72" s="29"/>
      <c r="L72" s="29"/>
      <c r="N72" s="42"/>
      <c r="O72" s="14"/>
      <c r="P72" s="14"/>
      <c r="U72" s="4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O72" s="18"/>
    </row>
    <row r="73" spans="1:41">
      <c r="A73" s="4"/>
      <c r="B73" s="1" t="s">
        <v>327</v>
      </c>
      <c r="C73" s="12">
        <f t="shared" si="1"/>
        <v>69</v>
      </c>
      <c r="D73" s="29">
        <f>0.691256410152031-0.01</f>
        <v>0.68125641015203098</v>
      </c>
      <c r="E73" s="29">
        <f t="shared" ref="E73:J73" si="14">$D73</f>
        <v>0.68125641015203098</v>
      </c>
      <c r="F73" s="29">
        <f t="shared" si="14"/>
        <v>0.68125641015203098</v>
      </c>
      <c r="G73" s="29">
        <f t="shared" si="14"/>
        <v>0.68125641015203098</v>
      </c>
      <c r="H73" s="29">
        <f t="shared" si="14"/>
        <v>0.68125641015203098</v>
      </c>
      <c r="I73" s="29">
        <f t="shared" si="14"/>
        <v>0.68125641015203098</v>
      </c>
      <c r="J73" s="29">
        <f t="shared" si="14"/>
        <v>0.68125641015203098</v>
      </c>
      <c r="K73" s="29"/>
      <c r="L73" s="29"/>
      <c r="N73" s="42"/>
      <c r="O73" s="14"/>
      <c r="P73" s="14"/>
      <c r="U73" s="4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O73" s="18"/>
    </row>
    <row r="74" spans="1:41">
      <c r="A74" s="4"/>
      <c r="B74" s="1" t="s">
        <v>328</v>
      </c>
      <c r="C74" s="12">
        <f t="shared" ref="C74:C118" si="15">C73+1</f>
        <v>70</v>
      </c>
      <c r="D74" s="29">
        <f>D$73</f>
        <v>0.68125641015203098</v>
      </c>
      <c r="E74" s="29">
        <f t="shared" ref="E74:J74" si="16">E$73</f>
        <v>0.68125641015203098</v>
      </c>
      <c r="F74" s="29">
        <f t="shared" si="16"/>
        <v>0.68125641015203098</v>
      </c>
      <c r="G74" s="29">
        <f t="shared" si="16"/>
        <v>0.68125641015203098</v>
      </c>
      <c r="H74" s="29">
        <f t="shared" si="16"/>
        <v>0.68125641015203098</v>
      </c>
      <c r="I74" s="29">
        <f t="shared" si="16"/>
        <v>0.68125641015203098</v>
      </c>
      <c r="J74" s="29">
        <f t="shared" si="16"/>
        <v>0.68125641015203098</v>
      </c>
      <c r="K74" s="29"/>
      <c r="L74" s="29"/>
      <c r="N74" s="42"/>
      <c r="O74" s="14"/>
      <c r="P74" s="14"/>
      <c r="U74" s="4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O74" s="18"/>
    </row>
    <row r="75" spans="1:41">
      <c r="A75" s="4"/>
      <c r="B75" s="1" t="s">
        <v>329</v>
      </c>
      <c r="C75" s="12">
        <f t="shared" si="15"/>
        <v>71</v>
      </c>
      <c r="D75" s="29">
        <f t="shared" ref="D75:J76" si="17">D$73</f>
        <v>0.68125641015203098</v>
      </c>
      <c r="E75" s="29">
        <f t="shared" si="17"/>
        <v>0.68125641015203098</v>
      </c>
      <c r="F75" s="29">
        <f t="shared" si="17"/>
        <v>0.68125641015203098</v>
      </c>
      <c r="G75" s="29">
        <f t="shared" si="17"/>
        <v>0.68125641015203098</v>
      </c>
      <c r="H75" s="29">
        <f t="shared" si="17"/>
        <v>0.68125641015203098</v>
      </c>
      <c r="I75" s="29">
        <f t="shared" si="17"/>
        <v>0.68125641015203098</v>
      </c>
      <c r="J75" s="29">
        <f t="shared" si="17"/>
        <v>0.68125641015203098</v>
      </c>
      <c r="K75" s="29"/>
      <c r="L75" s="29"/>
      <c r="N75" s="42"/>
      <c r="O75" s="14"/>
      <c r="P75" s="14"/>
      <c r="U75" s="4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O75" s="18"/>
    </row>
    <row r="76" spans="1:41">
      <c r="A76" s="4"/>
      <c r="B76" s="1" t="s">
        <v>330</v>
      </c>
      <c r="C76" s="12">
        <f t="shared" si="15"/>
        <v>72</v>
      </c>
      <c r="D76" s="29">
        <f t="shared" si="17"/>
        <v>0.68125641015203098</v>
      </c>
      <c r="E76" s="29">
        <f t="shared" si="17"/>
        <v>0.68125641015203098</v>
      </c>
      <c r="F76" s="29">
        <f t="shared" si="17"/>
        <v>0.68125641015203098</v>
      </c>
      <c r="G76" s="29">
        <f t="shared" si="17"/>
        <v>0.68125641015203098</v>
      </c>
      <c r="H76" s="29">
        <f t="shared" si="17"/>
        <v>0.68125641015203098</v>
      </c>
      <c r="I76" s="29">
        <f t="shared" si="17"/>
        <v>0.68125641015203098</v>
      </c>
      <c r="J76" s="29">
        <f t="shared" si="17"/>
        <v>0.68125641015203098</v>
      </c>
      <c r="K76" s="29"/>
      <c r="L76" s="29"/>
      <c r="N76" s="42"/>
      <c r="O76" s="14"/>
      <c r="P76" s="14"/>
      <c r="U76" s="4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O76" s="18"/>
    </row>
    <row r="77" spans="1:41">
      <c r="A77" s="4"/>
      <c r="C77" s="12">
        <f t="shared" si="15"/>
        <v>73</v>
      </c>
      <c r="D77" s="29"/>
      <c r="E77" s="29"/>
      <c r="F77" s="29"/>
      <c r="G77" s="29"/>
      <c r="H77" s="29"/>
      <c r="I77" s="29"/>
      <c r="J77" s="29"/>
      <c r="K77" s="29"/>
      <c r="L77" s="29"/>
      <c r="N77" s="42"/>
      <c r="O77" s="14"/>
      <c r="P77" s="14"/>
      <c r="U77" s="4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O77" s="18"/>
    </row>
    <row r="78" spans="1:41">
      <c r="A78" s="4"/>
      <c r="C78" s="12">
        <f t="shared" si="15"/>
        <v>74</v>
      </c>
      <c r="D78" s="29"/>
      <c r="E78" s="29"/>
      <c r="F78" s="29"/>
      <c r="G78" s="29"/>
      <c r="H78" s="29"/>
      <c r="I78" s="29"/>
      <c r="J78" s="29"/>
      <c r="K78" s="29"/>
      <c r="L78" s="29"/>
      <c r="N78" s="42"/>
      <c r="O78" s="14"/>
      <c r="P78" s="14"/>
      <c r="U78" s="4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O78" s="18"/>
    </row>
    <row r="79" spans="1:41">
      <c r="A79" s="4"/>
      <c r="C79" s="12">
        <f t="shared" si="15"/>
        <v>75</v>
      </c>
      <c r="D79" s="29"/>
      <c r="E79" s="29"/>
      <c r="F79" s="29"/>
      <c r="G79" s="29"/>
      <c r="H79" s="29"/>
      <c r="I79" s="29"/>
      <c r="J79" s="29"/>
      <c r="K79" s="29"/>
      <c r="L79" s="29"/>
      <c r="N79" s="42"/>
      <c r="O79" s="14"/>
      <c r="P79" s="14"/>
      <c r="U79" s="4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O79" s="18"/>
    </row>
    <row r="80" spans="1:41">
      <c r="A80" s="4"/>
      <c r="C80" s="12">
        <f t="shared" si="15"/>
        <v>76</v>
      </c>
      <c r="D80" s="29"/>
      <c r="E80" s="29"/>
      <c r="F80" s="29"/>
      <c r="G80" s="29"/>
      <c r="H80" s="29"/>
      <c r="I80" s="29"/>
      <c r="J80" s="29"/>
      <c r="K80" s="29"/>
      <c r="L80" s="29"/>
      <c r="N80" s="42"/>
      <c r="O80" s="14"/>
      <c r="P80" s="14"/>
      <c r="U80" s="4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O80" s="18"/>
    </row>
    <row r="81" spans="1:41">
      <c r="A81" s="4"/>
      <c r="C81" s="12">
        <f t="shared" si="15"/>
        <v>77</v>
      </c>
      <c r="D81" s="29"/>
      <c r="E81" s="29"/>
      <c r="F81" s="29"/>
      <c r="G81" s="29"/>
      <c r="H81" s="29"/>
      <c r="I81" s="29"/>
      <c r="J81" s="29"/>
      <c r="K81" s="29"/>
      <c r="L81" s="29"/>
      <c r="N81" s="42"/>
      <c r="O81" s="14"/>
      <c r="P81" s="14"/>
      <c r="U81" s="4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O81" s="18"/>
    </row>
    <row r="82" spans="1:41">
      <c r="A82" s="4"/>
      <c r="C82" s="12">
        <f t="shared" si="15"/>
        <v>78</v>
      </c>
      <c r="D82" s="29"/>
      <c r="E82" s="29"/>
      <c r="F82" s="29"/>
      <c r="G82" s="29"/>
      <c r="H82" s="29"/>
      <c r="I82" s="29"/>
      <c r="J82" s="29"/>
      <c r="K82" s="29"/>
      <c r="L82" s="29"/>
      <c r="N82" s="42"/>
      <c r="O82" s="14"/>
      <c r="P82" s="14"/>
      <c r="U82" s="4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O82" s="18"/>
    </row>
    <row r="83" spans="1:41">
      <c r="A83" s="4"/>
      <c r="C83" s="12">
        <f t="shared" si="15"/>
        <v>79</v>
      </c>
      <c r="D83" s="29"/>
      <c r="E83" s="29"/>
      <c r="F83" s="29"/>
      <c r="G83" s="29"/>
      <c r="H83" s="29"/>
      <c r="I83" s="29"/>
      <c r="J83" s="29"/>
      <c r="K83" s="29"/>
      <c r="L83" s="29"/>
      <c r="N83" s="42"/>
      <c r="O83" s="14"/>
      <c r="P83" s="14"/>
      <c r="U83" s="4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O83" s="18"/>
    </row>
    <row r="84" spans="1:41">
      <c r="A84" s="4"/>
      <c r="C84" s="12">
        <f t="shared" si="15"/>
        <v>80</v>
      </c>
      <c r="D84" s="29"/>
      <c r="E84" s="29"/>
      <c r="F84" s="29"/>
      <c r="G84" s="29"/>
      <c r="H84" s="29"/>
      <c r="I84" s="29"/>
      <c r="J84" s="29"/>
      <c r="K84" s="29"/>
      <c r="L84" s="29"/>
      <c r="N84" s="42"/>
      <c r="O84" s="14"/>
      <c r="P84" s="14"/>
      <c r="U84" s="4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O84" s="18"/>
    </row>
    <row r="85" spans="1:41">
      <c r="A85" s="4"/>
      <c r="C85" s="12">
        <f t="shared" si="15"/>
        <v>81</v>
      </c>
      <c r="D85" s="29"/>
      <c r="E85" s="29"/>
      <c r="F85" s="29"/>
      <c r="G85" s="29"/>
      <c r="H85" s="29"/>
      <c r="I85" s="29"/>
      <c r="J85" s="29"/>
      <c r="K85" s="29"/>
      <c r="L85" s="29"/>
      <c r="N85" s="42"/>
      <c r="O85" s="14"/>
      <c r="P85" s="14"/>
      <c r="U85" s="4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O85" s="18"/>
    </row>
    <row r="86" spans="1:41">
      <c r="A86" s="4"/>
      <c r="C86" s="12">
        <f t="shared" si="15"/>
        <v>82</v>
      </c>
      <c r="D86" s="29"/>
      <c r="E86" s="29"/>
      <c r="F86" s="29"/>
      <c r="G86" s="29"/>
      <c r="H86" s="29"/>
      <c r="I86" s="29"/>
      <c r="J86" s="29"/>
      <c r="K86" s="29"/>
      <c r="L86" s="29"/>
      <c r="N86" s="42"/>
      <c r="O86" s="14"/>
      <c r="P86" s="14"/>
      <c r="U86" s="4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O86" s="18"/>
    </row>
    <row r="87" spans="1:41">
      <c r="A87" s="4"/>
      <c r="C87" s="12">
        <f t="shared" si="15"/>
        <v>83</v>
      </c>
      <c r="D87" s="29"/>
      <c r="E87" s="29"/>
      <c r="F87" s="29"/>
      <c r="G87" s="29"/>
      <c r="H87" s="29"/>
      <c r="I87" s="29"/>
      <c r="J87" s="29"/>
      <c r="K87" s="29"/>
      <c r="L87" s="29"/>
      <c r="N87" s="42"/>
      <c r="O87" s="14"/>
      <c r="P87" s="14"/>
      <c r="U87" s="4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O87" s="18"/>
    </row>
    <row r="88" spans="1:41">
      <c r="A88" s="4"/>
      <c r="C88" s="12">
        <f t="shared" si="15"/>
        <v>84</v>
      </c>
      <c r="D88" s="29"/>
      <c r="E88" s="29"/>
      <c r="F88" s="29"/>
      <c r="G88" s="29"/>
      <c r="H88" s="29"/>
      <c r="I88" s="29"/>
      <c r="J88" s="29"/>
      <c r="K88" s="29"/>
      <c r="L88" s="29"/>
      <c r="N88" s="42"/>
      <c r="O88" s="14"/>
      <c r="P88" s="14"/>
      <c r="U88" s="4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O88" s="18"/>
    </row>
    <row r="89" spans="1:41">
      <c r="A89" s="4"/>
      <c r="C89" s="12">
        <f t="shared" si="15"/>
        <v>85</v>
      </c>
      <c r="D89" s="29"/>
      <c r="E89" s="29"/>
      <c r="F89" s="29"/>
      <c r="G89" s="29"/>
      <c r="H89" s="29"/>
      <c r="I89" s="29"/>
      <c r="J89" s="29"/>
      <c r="K89" s="29"/>
      <c r="L89" s="29"/>
      <c r="N89" s="42"/>
      <c r="O89" s="14"/>
      <c r="P89" s="14"/>
      <c r="U89" s="4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O89" s="18"/>
    </row>
    <row r="90" spans="1:41">
      <c r="A90" s="4"/>
      <c r="C90" s="12">
        <f t="shared" si="15"/>
        <v>86</v>
      </c>
      <c r="D90" s="14"/>
      <c r="E90" s="14"/>
      <c r="F90" s="14"/>
      <c r="G90" s="14"/>
      <c r="H90" s="14"/>
      <c r="I90" s="13"/>
      <c r="J90" s="13"/>
      <c r="K90" s="13"/>
      <c r="L90" s="14"/>
      <c r="N90" s="42"/>
      <c r="O90" s="14"/>
      <c r="P90" s="14"/>
      <c r="U90" s="4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O90" s="18"/>
    </row>
    <row r="91" spans="1:41">
      <c r="A91" s="4"/>
      <c r="C91" s="12">
        <f t="shared" si="15"/>
        <v>87</v>
      </c>
      <c r="D91" s="14"/>
      <c r="E91" s="14"/>
      <c r="F91" s="14"/>
      <c r="G91" s="14"/>
      <c r="H91" s="14"/>
      <c r="I91" s="13"/>
      <c r="J91" s="13"/>
      <c r="K91" s="13"/>
      <c r="L91" s="14"/>
      <c r="N91" s="42"/>
      <c r="O91" s="14"/>
      <c r="P91" s="14"/>
      <c r="U91" s="4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O91" s="18"/>
    </row>
    <row r="92" spans="1:41">
      <c r="A92" s="4"/>
      <c r="C92" s="12">
        <f t="shared" si="15"/>
        <v>88</v>
      </c>
      <c r="D92" s="14"/>
      <c r="E92" s="14"/>
      <c r="F92" s="14"/>
      <c r="G92" s="14"/>
      <c r="H92" s="14"/>
      <c r="I92" s="13"/>
      <c r="J92" s="13"/>
      <c r="K92" s="13"/>
      <c r="L92" s="14"/>
      <c r="N92" s="42"/>
      <c r="O92" s="14"/>
      <c r="P92" s="14"/>
      <c r="U92" s="4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O92" s="18"/>
    </row>
    <row r="93" spans="1:41">
      <c r="A93" s="4"/>
      <c r="C93" s="12">
        <f t="shared" si="15"/>
        <v>89</v>
      </c>
      <c r="D93" s="14"/>
      <c r="E93" s="14"/>
      <c r="F93" s="14"/>
      <c r="G93" s="14"/>
      <c r="H93" s="14"/>
      <c r="I93" s="13"/>
      <c r="J93" s="13"/>
      <c r="K93" s="13"/>
      <c r="L93" s="14"/>
      <c r="N93" s="42"/>
      <c r="O93" s="14"/>
      <c r="P93" s="14"/>
      <c r="U93" s="4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O93" s="18"/>
    </row>
    <row r="94" spans="1:41">
      <c r="A94" s="4"/>
      <c r="C94" s="12">
        <f t="shared" si="15"/>
        <v>90</v>
      </c>
      <c r="D94" s="14"/>
      <c r="E94" s="14"/>
      <c r="F94" s="14"/>
      <c r="G94" s="14"/>
      <c r="H94" s="14"/>
      <c r="I94" s="13"/>
      <c r="J94" s="13"/>
      <c r="K94" s="13"/>
      <c r="L94" s="14"/>
      <c r="N94" s="42"/>
      <c r="O94" s="14"/>
      <c r="P94" s="14"/>
      <c r="U94" s="4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O94" s="18"/>
    </row>
    <row r="95" spans="1:41">
      <c r="A95" s="4"/>
      <c r="C95" s="12">
        <f t="shared" si="15"/>
        <v>91</v>
      </c>
      <c r="D95" s="14"/>
      <c r="E95" s="14"/>
      <c r="F95" s="14"/>
      <c r="G95" s="14"/>
      <c r="H95" s="14"/>
      <c r="I95" s="13"/>
      <c r="J95" s="13"/>
      <c r="K95" s="13"/>
      <c r="L95" s="14"/>
      <c r="N95" s="42"/>
      <c r="O95" s="14"/>
      <c r="P95" s="14"/>
      <c r="U95" s="4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O95" s="18"/>
    </row>
    <row r="96" spans="1:41">
      <c r="A96" s="4"/>
      <c r="C96" s="12">
        <f t="shared" si="15"/>
        <v>92</v>
      </c>
      <c r="D96" s="14"/>
      <c r="E96" s="14"/>
      <c r="F96" s="14"/>
      <c r="G96" s="14"/>
      <c r="H96" s="14"/>
      <c r="I96" s="13"/>
      <c r="J96" s="13"/>
      <c r="K96" s="13"/>
      <c r="L96" s="14"/>
      <c r="N96" s="42"/>
      <c r="O96" s="14"/>
      <c r="P96" s="14"/>
      <c r="U96" s="4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O96" s="18"/>
    </row>
    <row r="97" spans="1:43">
      <c r="A97" s="4"/>
      <c r="C97" s="12">
        <f t="shared" si="15"/>
        <v>93</v>
      </c>
      <c r="D97" s="14"/>
      <c r="E97" s="14"/>
      <c r="F97" s="14"/>
      <c r="G97" s="14"/>
      <c r="H97" s="14"/>
      <c r="I97" s="13"/>
      <c r="J97" s="13"/>
      <c r="K97" s="13"/>
      <c r="L97" s="14"/>
      <c r="N97" s="42"/>
      <c r="O97" s="14"/>
      <c r="P97" s="14"/>
      <c r="U97" s="4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O97" s="18"/>
    </row>
    <row r="98" spans="1:43">
      <c r="A98" s="4"/>
      <c r="C98" s="12">
        <f t="shared" si="15"/>
        <v>94</v>
      </c>
      <c r="D98" s="14"/>
      <c r="E98" s="14"/>
      <c r="F98" s="14"/>
      <c r="G98" s="14"/>
      <c r="H98" s="14"/>
      <c r="I98" s="13"/>
      <c r="J98" s="13"/>
      <c r="K98" s="13"/>
      <c r="L98" s="14"/>
      <c r="N98" s="42"/>
      <c r="O98" s="14"/>
      <c r="P98" s="14"/>
      <c r="U98" s="4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O98" s="18"/>
    </row>
    <row r="99" spans="1:43">
      <c r="C99" s="12">
        <f t="shared" si="15"/>
        <v>95</v>
      </c>
      <c r="D99" s="13"/>
      <c r="E99" s="13"/>
      <c r="F99" s="13"/>
      <c r="G99" s="13"/>
      <c r="H99" s="13"/>
      <c r="I99" s="13"/>
      <c r="J99" s="13"/>
      <c r="K99" s="13"/>
      <c r="AB99" s="4"/>
    </row>
    <row r="100" spans="1:43">
      <c r="C100" s="12">
        <f t="shared" si="15"/>
        <v>96</v>
      </c>
      <c r="D100" s="13"/>
      <c r="E100" s="13"/>
      <c r="F100" s="13"/>
      <c r="G100" s="13"/>
      <c r="H100" s="13"/>
      <c r="I100" s="13"/>
      <c r="J100" s="13"/>
      <c r="K100" s="13"/>
      <c r="AB100" s="4"/>
    </row>
    <row r="101" spans="1:43">
      <c r="C101" s="12">
        <f t="shared" si="15"/>
        <v>97</v>
      </c>
      <c r="D101" s="13"/>
      <c r="E101" s="13"/>
      <c r="F101" s="13"/>
      <c r="G101" s="13"/>
      <c r="H101" s="13"/>
      <c r="I101" s="13"/>
      <c r="J101" s="13"/>
      <c r="K101" s="13"/>
      <c r="AB101" s="4"/>
    </row>
    <row r="102" spans="1:43">
      <c r="C102" s="12">
        <f t="shared" si="15"/>
        <v>98</v>
      </c>
      <c r="D102" s="13"/>
      <c r="E102" s="13"/>
      <c r="F102" s="13"/>
      <c r="G102" s="13"/>
      <c r="H102" s="13"/>
      <c r="I102" s="13"/>
      <c r="J102" s="13"/>
      <c r="K102" s="13"/>
      <c r="AB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3">
      <c r="C103" s="12">
        <f t="shared" si="15"/>
        <v>99</v>
      </c>
      <c r="D103" s="13"/>
      <c r="E103" s="13"/>
      <c r="F103" s="13"/>
      <c r="G103" s="13"/>
      <c r="H103" s="13"/>
      <c r="I103" s="13"/>
      <c r="J103" s="13"/>
      <c r="K103" s="13"/>
      <c r="AB103" s="4"/>
    </row>
    <row r="104" spans="1:43">
      <c r="C104" s="12">
        <f t="shared" si="15"/>
        <v>100</v>
      </c>
      <c r="D104" s="13"/>
      <c r="E104" s="13"/>
      <c r="F104" s="13"/>
      <c r="G104" s="13"/>
      <c r="H104" s="13"/>
      <c r="I104" s="13"/>
      <c r="J104" s="13"/>
      <c r="K104" s="13"/>
      <c r="AB104" s="4"/>
    </row>
    <row r="105" spans="1:43">
      <c r="C105" s="12">
        <f t="shared" si="15"/>
        <v>101</v>
      </c>
      <c r="D105" s="13"/>
      <c r="E105" s="13"/>
      <c r="F105" s="13"/>
      <c r="G105" s="13"/>
      <c r="H105" s="13"/>
      <c r="I105" s="13"/>
      <c r="J105" s="13"/>
      <c r="K105" s="13"/>
      <c r="AB105" s="4"/>
    </row>
    <row r="106" spans="1:43">
      <c r="C106" s="12">
        <f t="shared" si="15"/>
        <v>102</v>
      </c>
      <c r="AB106" s="4"/>
    </row>
    <row r="107" spans="1:43">
      <c r="C107" s="12">
        <f t="shared" si="15"/>
        <v>103</v>
      </c>
      <c r="AB107" s="4"/>
    </row>
    <row r="108" spans="1:43">
      <c r="C108" s="12">
        <f t="shared" si="15"/>
        <v>104</v>
      </c>
      <c r="AB108" s="4"/>
    </row>
    <row r="109" spans="1:43">
      <c r="C109" s="12">
        <f t="shared" si="15"/>
        <v>105</v>
      </c>
      <c r="AB109" s="4"/>
    </row>
    <row r="110" spans="1:43">
      <c r="C110" s="12">
        <f t="shared" si="15"/>
        <v>106</v>
      </c>
      <c r="AB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3">
      <c r="C111" s="12">
        <f t="shared" si="15"/>
        <v>107</v>
      </c>
      <c r="AB111" s="4"/>
      <c r="AQ111" s="19"/>
    </row>
    <row r="112" spans="1:43">
      <c r="C112" s="12">
        <f t="shared" si="15"/>
        <v>108</v>
      </c>
      <c r="AB112" s="4"/>
    </row>
    <row r="113" spans="3:40">
      <c r="C113" s="12">
        <f t="shared" si="15"/>
        <v>109</v>
      </c>
      <c r="AB113" s="4"/>
    </row>
    <row r="114" spans="3:40">
      <c r="C114" s="12">
        <f t="shared" si="15"/>
        <v>110</v>
      </c>
      <c r="AB114" s="4"/>
    </row>
    <row r="115" spans="3:40">
      <c r="C115" s="12">
        <f t="shared" si="15"/>
        <v>111</v>
      </c>
      <c r="AB115" s="4"/>
    </row>
    <row r="116" spans="3:40">
      <c r="C116" s="12">
        <f t="shared" si="15"/>
        <v>112</v>
      </c>
      <c r="AB116" s="4"/>
    </row>
    <row r="117" spans="3:40">
      <c r="C117" s="12">
        <f t="shared" si="15"/>
        <v>113</v>
      </c>
      <c r="AB117" s="4"/>
    </row>
    <row r="118" spans="3:40">
      <c r="C118" s="12">
        <f t="shared" si="15"/>
        <v>114</v>
      </c>
      <c r="AB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3:40">
      <c r="C119" s="12"/>
      <c r="AB119" s="4"/>
    </row>
    <row r="120" spans="3:40">
      <c r="C120" s="12"/>
      <c r="AB120" s="4"/>
    </row>
    <row r="121" spans="3:40">
      <c r="C121" s="12"/>
      <c r="AB121" s="4"/>
    </row>
    <row r="122" spans="3:40">
      <c r="C122" s="12"/>
      <c r="AB122" s="4"/>
    </row>
    <row r="123" spans="3:40">
      <c r="C123" s="12"/>
      <c r="AB123" s="4"/>
    </row>
    <row r="124" spans="3:40">
      <c r="C124" s="12"/>
      <c r="AB124" s="4"/>
    </row>
    <row r="125" spans="3:40">
      <c r="C125" s="12"/>
      <c r="AB125" s="4"/>
    </row>
    <row r="126" spans="3:40">
      <c r="C126" s="12"/>
      <c r="AB126" s="4"/>
    </row>
    <row r="127" spans="3:40">
      <c r="C127" s="12"/>
      <c r="AB127" s="4"/>
      <c r="AD127" s="6"/>
    </row>
    <row r="128" spans="3:40">
      <c r="C128" s="12"/>
      <c r="AB128" s="4"/>
    </row>
    <row r="129" spans="2:28">
      <c r="C129" s="12"/>
      <c r="AB129" s="4"/>
    </row>
    <row r="130" spans="2:28">
      <c r="C130" s="12"/>
      <c r="M130" s="4"/>
      <c r="P130" s="4"/>
      <c r="AB130" s="4"/>
    </row>
    <row r="131" spans="2:28">
      <c r="C131" s="12"/>
      <c r="AB131" s="4"/>
    </row>
    <row r="132" spans="2:28">
      <c r="C132" s="12"/>
      <c r="AB132" s="4"/>
    </row>
    <row r="133" spans="2:28">
      <c r="C133" s="12"/>
      <c r="AB133" s="4"/>
    </row>
    <row r="134" spans="2:28">
      <c r="C134" s="12"/>
      <c r="AB134" s="4"/>
    </row>
    <row r="135" spans="2:28">
      <c r="C135" s="12"/>
      <c r="AB135" s="4"/>
    </row>
    <row r="136" spans="2:28">
      <c r="C136" s="12"/>
      <c r="AB136" s="4"/>
    </row>
    <row r="137" spans="2:28">
      <c r="C137" s="12"/>
      <c r="AB137" s="4"/>
    </row>
    <row r="138" spans="2:28">
      <c r="C138" s="12"/>
      <c r="AB138" s="4"/>
    </row>
    <row r="139" spans="2:28">
      <c r="C139" s="12"/>
      <c r="AB139" s="4"/>
    </row>
    <row r="140" spans="2:28">
      <c r="B140" s="13"/>
      <c r="C140" s="12"/>
      <c r="AB140" s="4"/>
    </row>
    <row r="141" spans="2:28">
      <c r="C141" s="12"/>
      <c r="AB141" s="4"/>
    </row>
    <row r="142" spans="2:28">
      <c r="C142" s="12"/>
      <c r="AB142" s="4"/>
    </row>
    <row r="143" spans="2:28">
      <c r="C143" s="12"/>
      <c r="AB143" s="4"/>
    </row>
    <row r="144" spans="2:28">
      <c r="C144" s="12"/>
      <c r="AB144" s="4"/>
    </row>
    <row r="145" spans="2:42" ht="12.75" customHeight="1">
      <c r="C145" s="12"/>
      <c r="AB145" s="4"/>
    </row>
    <row r="146" spans="2:42">
      <c r="C146" s="12"/>
      <c r="AB146" s="4"/>
    </row>
    <row r="147" spans="2:42">
      <c r="C147" s="12"/>
      <c r="AB147" s="4"/>
    </row>
    <row r="148" spans="2:42">
      <c r="C148" s="12"/>
      <c r="AB148" s="4"/>
    </row>
    <row r="149" spans="2:42">
      <c r="C149" s="12"/>
      <c r="AB149" s="4"/>
    </row>
    <row r="150" spans="2:42">
      <c r="C150" s="12"/>
      <c r="AB150" s="4"/>
    </row>
    <row r="151" spans="2:42">
      <c r="C151" s="12"/>
      <c r="AB151" s="4"/>
      <c r="AD151" s="20"/>
      <c r="AE151" s="20"/>
      <c r="AF151" s="20"/>
      <c r="AG151" s="20"/>
      <c r="AH151" s="20"/>
      <c r="AI151" s="21"/>
      <c r="AJ151" s="21"/>
      <c r="AK151" s="21"/>
      <c r="AL151" s="21"/>
      <c r="AM151" s="21"/>
      <c r="AN151" s="21"/>
      <c r="AO151" s="21"/>
      <c r="AP151" s="21"/>
    </row>
    <row r="152" spans="2:42">
      <c r="C152" s="12"/>
      <c r="AB152" s="4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</row>
    <row r="153" spans="2:42">
      <c r="C153" s="12"/>
      <c r="AB153" s="4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</row>
    <row r="154" spans="2:42">
      <c r="C154" s="12"/>
      <c r="AB154" s="4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</row>
    <row r="155" spans="2:42">
      <c r="C155" s="12"/>
      <c r="AB155" s="4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</row>
    <row r="156" spans="2:42">
      <c r="B156" s="6"/>
      <c r="C156" s="12"/>
      <c r="AB156" s="4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</row>
    <row r="157" spans="2:42">
      <c r="B157" s="6"/>
      <c r="C157" s="12"/>
      <c r="AB157" s="4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</row>
    <row r="158" spans="2:42">
      <c r="B158" s="6"/>
      <c r="C158" s="12"/>
      <c r="AB158" s="4"/>
    </row>
    <row r="159" spans="2:42">
      <c r="B159" s="6"/>
      <c r="C159" s="12"/>
      <c r="AB159" s="4"/>
    </row>
    <row r="160" spans="2:42">
      <c r="B160" s="6"/>
      <c r="C160" s="12"/>
      <c r="AB160" s="4"/>
    </row>
    <row r="161" spans="2:34">
      <c r="B161" s="6"/>
      <c r="C161" s="12"/>
      <c r="AB161" s="4"/>
    </row>
    <row r="162" spans="2:34">
      <c r="C162" s="12"/>
      <c r="AB162" s="4"/>
    </row>
    <row r="163" spans="2:34">
      <c r="C163" s="12"/>
      <c r="AB163" s="4"/>
    </row>
    <row r="164" spans="2:34">
      <c r="C164" s="12"/>
      <c r="AB164" s="4"/>
    </row>
    <row r="165" spans="2:34">
      <c r="C165" s="12"/>
      <c r="AB165" s="4"/>
    </row>
    <row r="166" spans="2:34">
      <c r="C166" s="12"/>
      <c r="AB166" s="4"/>
    </row>
    <row r="167" spans="2:34">
      <c r="C167" s="12"/>
      <c r="AB167" s="4"/>
    </row>
    <row r="168" spans="2:34">
      <c r="C168" s="12"/>
      <c r="AB168" s="4"/>
    </row>
    <row r="169" spans="2:34">
      <c r="C169" s="12"/>
      <c r="AB169" s="4"/>
    </row>
    <row r="170" spans="2:34">
      <c r="C170" s="12"/>
      <c r="AB170" s="4"/>
    </row>
    <row r="171" spans="2:34">
      <c r="C171" s="12"/>
      <c r="AB171" s="4"/>
    </row>
    <row r="172" spans="2:34">
      <c r="B172" s="13"/>
      <c r="C172" s="12"/>
      <c r="AB172" s="4"/>
    </row>
    <row r="173" spans="2:34">
      <c r="B173" s="13"/>
      <c r="C173" s="12"/>
      <c r="AB173" s="4"/>
    </row>
    <row r="174" spans="2:34">
      <c r="C174" s="12"/>
      <c r="AB174" s="4"/>
      <c r="AD174" s="6"/>
      <c r="AE174" s="6"/>
      <c r="AF174" s="6"/>
      <c r="AG174" s="6"/>
      <c r="AH174" s="6"/>
    </row>
    <row r="175" spans="2:34">
      <c r="C175" s="12"/>
      <c r="AB175" s="4"/>
      <c r="AD175" s="6"/>
      <c r="AE175" s="6"/>
      <c r="AF175" s="6"/>
      <c r="AG175" s="6"/>
      <c r="AH175" s="6"/>
    </row>
    <row r="176" spans="2:34">
      <c r="C176" s="12"/>
      <c r="AB176" s="4"/>
      <c r="AD176" s="6"/>
      <c r="AE176" s="6"/>
      <c r="AF176" s="6"/>
      <c r="AG176" s="6"/>
      <c r="AH176" s="6"/>
    </row>
    <row r="177" spans="2:41">
      <c r="C177" s="12"/>
      <c r="AB177" s="4"/>
      <c r="AD177" s="6"/>
      <c r="AE177" s="6"/>
      <c r="AF177" s="6"/>
      <c r="AG177" s="6"/>
      <c r="AH177" s="6"/>
    </row>
    <row r="178" spans="2:41">
      <c r="C178" s="12"/>
      <c r="AB178" s="4"/>
      <c r="AD178" s="6"/>
      <c r="AE178" s="6"/>
      <c r="AF178" s="6"/>
      <c r="AG178" s="6"/>
      <c r="AH178" s="6"/>
    </row>
    <row r="179" spans="2:41">
      <c r="C179" s="12"/>
      <c r="AB179" s="4"/>
      <c r="AD179" s="6"/>
      <c r="AE179" s="6"/>
      <c r="AF179" s="6"/>
      <c r="AG179" s="6"/>
      <c r="AH179" s="6"/>
    </row>
    <row r="180" spans="2:41">
      <c r="C180" s="12"/>
      <c r="AB180" s="4"/>
      <c r="AD180" s="6"/>
      <c r="AE180" s="6"/>
      <c r="AF180" s="6"/>
      <c r="AG180" s="6"/>
      <c r="AH180" s="6"/>
    </row>
    <row r="181" spans="2:41">
      <c r="B181" s="6"/>
      <c r="C181" s="12"/>
      <c r="AB181" s="4"/>
      <c r="AD181" s="6"/>
      <c r="AE181" s="6"/>
      <c r="AF181" s="6"/>
      <c r="AG181" s="6"/>
      <c r="AH181" s="6"/>
    </row>
    <row r="182" spans="2:41">
      <c r="B182" s="6"/>
      <c r="C182" s="12"/>
      <c r="AB182" s="4"/>
      <c r="AO182" s="22"/>
    </row>
    <row r="183" spans="2:41">
      <c r="C183" s="12"/>
      <c r="AB183" s="4"/>
    </row>
    <row r="184" spans="2:41">
      <c r="C184" s="12"/>
      <c r="AB184" s="4"/>
    </row>
    <row r="185" spans="2:41">
      <c r="C185" s="12"/>
      <c r="AB185" s="4"/>
    </row>
    <row r="186" spans="2:41">
      <c r="C186" s="12"/>
      <c r="AB186" s="4"/>
    </row>
    <row r="187" spans="2:41">
      <c r="C187" s="12"/>
      <c r="AB187" s="4"/>
    </row>
    <row r="188" spans="2:41">
      <c r="C188" s="12"/>
      <c r="AB188" s="4"/>
    </row>
    <row r="189" spans="2:41">
      <c r="C189" s="12"/>
      <c r="AB189" s="4"/>
    </row>
    <row r="190" spans="2:41">
      <c r="C190" s="12"/>
      <c r="AB190" s="4"/>
    </row>
    <row r="191" spans="2:41">
      <c r="C191" s="12"/>
      <c r="AB191" s="4"/>
      <c r="AD191" s="23"/>
      <c r="AE191" s="23"/>
      <c r="AF191" s="23"/>
      <c r="AG191" s="23"/>
      <c r="AH191" s="23"/>
    </row>
    <row r="192" spans="2:41">
      <c r="C192" s="12"/>
      <c r="AB192" s="4"/>
      <c r="AD192" s="6"/>
      <c r="AE192" s="6"/>
      <c r="AF192" s="6"/>
      <c r="AG192" s="6"/>
      <c r="AH192" s="6"/>
    </row>
    <row r="193" spans="3:40">
      <c r="C193" s="12"/>
      <c r="AB193" s="4"/>
      <c r="AD193" s="6"/>
      <c r="AE193" s="6"/>
      <c r="AF193" s="6"/>
      <c r="AG193" s="6"/>
      <c r="AH193" s="6"/>
    </row>
    <row r="194" spans="3:40">
      <c r="C194" s="12"/>
      <c r="AB194" s="4"/>
      <c r="AD194" s="6"/>
      <c r="AE194" s="6"/>
      <c r="AF194" s="6"/>
      <c r="AG194" s="6"/>
      <c r="AH194" s="6"/>
    </row>
    <row r="195" spans="3:40">
      <c r="C195" s="12"/>
      <c r="AB195" s="4"/>
      <c r="AD195" s="6"/>
      <c r="AE195" s="6"/>
      <c r="AF195" s="6"/>
      <c r="AG195" s="6"/>
      <c r="AH195" s="6"/>
    </row>
    <row r="196" spans="3:40">
      <c r="C196" s="12"/>
      <c r="AB196" s="4"/>
      <c r="AD196" s="6"/>
      <c r="AE196" s="6"/>
      <c r="AF196" s="6"/>
      <c r="AG196" s="6"/>
      <c r="AH196" s="6"/>
    </row>
    <row r="197" spans="3:40">
      <c r="C197" s="12"/>
      <c r="AB197" s="4"/>
      <c r="AD197" s="6"/>
      <c r="AE197" s="6"/>
      <c r="AF197" s="6"/>
      <c r="AG197" s="6"/>
      <c r="AH197" s="6"/>
    </row>
    <row r="198" spans="3:40">
      <c r="C198" s="12"/>
      <c r="AB198" s="4"/>
    </row>
    <row r="199" spans="3:40">
      <c r="C199" s="12"/>
      <c r="AB199" s="4"/>
      <c r="AD199" s="6"/>
      <c r="AE199" s="6"/>
      <c r="AF199" s="6"/>
      <c r="AG199" s="6"/>
      <c r="AH199" s="6"/>
    </row>
    <row r="200" spans="3:40">
      <c r="C200" s="12"/>
      <c r="AB200" s="4"/>
      <c r="AD200" s="6"/>
      <c r="AE200" s="6"/>
      <c r="AF200" s="6"/>
      <c r="AG200" s="6"/>
      <c r="AH200" s="6"/>
    </row>
    <row r="201" spans="3:40">
      <c r="C201" s="12"/>
      <c r="AB201" s="4"/>
      <c r="AD201" s="6"/>
      <c r="AE201" s="6"/>
      <c r="AF201" s="6"/>
      <c r="AG201" s="6"/>
      <c r="AH201" s="6"/>
    </row>
    <row r="202" spans="3:40">
      <c r="C202" s="12"/>
      <c r="AB202" s="4"/>
      <c r="AD202" s="6"/>
      <c r="AE202" s="6"/>
      <c r="AF202" s="6"/>
      <c r="AG202" s="6"/>
      <c r="AH202" s="6"/>
    </row>
    <row r="203" spans="3:40">
      <c r="C203" s="12"/>
      <c r="AB203" s="4"/>
      <c r="AD203" s="6"/>
      <c r="AE203" s="6"/>
      <c r="AF203" s="6"/>
      <c r="AG203" s="6"/>
      <c r="AH203" s="6"/>
    </row>
    <row r="204" spans="3:40">
      <c r="C204" s="12"/>
      <c r="AB204" s="4"/>
      <c r="AD204" s="6"/>
      <c r="AE204" s="6"/>
      <c r="AF204" s="6"/>
      <c r="AG204" s="6"/>
      <c r="AH204" s="6"/>
    </row>
    <row r="205" spans="3:40" ht="15.5" customHeight="1">
      <c r="C205" s="12"/>
      <c r="AB205" s="4"/>
      <c r="AD205" s="6"/>
      <c r="AE205" s="6"/>
      <c r="AF205" s="6"/>
      <c r="AG205" s="6"/>
      <c r="AH205" s="6"/>
    </row>
    <row r="206" spans="3:40" ht="39" customHeight="1">
      <c r="C206" s="12"/>
      <c r="AB206" s="11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3:40">
      <c r="C207" s="12"/>
      <c r="AB207" s="7"/>
    </row>
    <row r="208" spans="3:40">
      <c r="C208" s="12"/>
      <c r="AB208" s="7"/>
    </row>
    <row r="209" spans="3:40">
      <c r="C209" s="12"/>
      <c r="AB209" s="7"/>
    </row>
    <row r="210" spans="3:40">
      <c r="C210" s="12"/>
      <c r="AB210" s="7"/>
    </row>
    <row r="211" spans="3:40">
      <c r="C211" s="12"/>
      <c r="AB211" s="7"/>
    </row>
    <row r="212" spans="3:40">
      <c r="C212" s="12"/>
      <c r="AB212" s="7"/>
    </row>
    <row r="213" spans="3:40">
      <c r="C213" s="12"/>
      <c r="AB213" s="7"/>
      <c r="AD213" s="6"/>
    </row>
    <row r="214" spans="3:40">
      <c r="C214" s="12"/>
      <c r="AB214" s="7"/>
      <c r="AN214" s="13"/>
    </row>
    <row r="215" spans="3:40">
      <c r="C215" s="12"/>
      <c r="AB215" s="7"/>
    </row>
    <row r="216" spans="3:40">
      <c r="C216" s="12"/>
      <c r="AB216" s="7"/>
    </row>
    <row r="217" spans="3:40">
      <c r="C217" s="12"/>
      <c r="AB217" s="7"/>
    </row>
    <row r="218" spans="3:40">
      <c r="C218" s="12"/>
      <c r="AB218" s="7"/>
    </row>
    <row r="219" spans="3:40">
      <c r="C219" s="12"/>
      <c r="AB219" s="7"/>
    </row>
    <row r="220" spans="3:40">
      <c r="C220" s="12"/>
      <c r="AB220" s="4"/>
      <c r="AD220" s="6"/>
    </row>
    <row r="221" spans="3:40">
      <c r="C221" s="12"/>
      <c r="AB221" s="4"/>
    </row>
    <row r="222" spans="3:40">
      <c r="C222" s="12"/>
      <c r="AB222" s="4"/>
    </row>
    <row r="223" spans="3:40">
      <c r="C223" s="12"/>
      <c r="AB223" s="4"/>
    </row>
    <row r="224" spans="3:40">
      <c r="C224" s="12"/>
      <c r="AB224" s="4"/>
    </row>
    <row r="225" spans="3:30">
      <c r="C225" s="12"/>
      <c r="AB225" s="4"/>
    </row>
    <row r="226" spans="3:30">
      <c r="C226" s="12"/>
      <c r="AB226" s="4"/>
    </row>
    <row r="227" spans="3:30">
      <c r="C227" s="12"/>
      <c r="AB227" s="4"/>
      <c r="AD227" s="6"/>
    </row>
    <row r="228" spans="3:30">
      <c r="C228" s="12"/>
      <c r="AB228" s="4"/>
    </row>
    <row r="229" spans="3:30">
      <c r="C229" s="12"/>
      <c r="AB229" s="4"/>
    </row>
    <row r="230" spans="3:30">
      <c r="C230" s="12"/>
      <c r="AB230" s="4"/>
    </row>
    <row r="231" spans="3:30">
      <c r="C231" s="12"/>
      <c r="AB231" s="4"/>
    </row>
    <row r="232" spans="3:30">
      <c r="C232" s="12"/>
      <c r="AB232" s="4"/>
    </row>
    <row r="233" spans="3:30">
      <c r="C233" s="12"/>
      <c r="AB233" s="4"/>
    </row>
    <row r="234" spans="3:30">
      <c r="C234" s="12"/>
    </row>
    <row r="235" spans="3:30">
      <c r="C235" s="12"/>
    </row>
    <row r="236" spans="3:30">
      <c r="C236" s="12"/>
    </row>
    <row r="237" spans="3:30">
      <c r="C237" s="12"/>
    </row>
    <row r="238" spans="3:30">
      <c r="C238" s="12"/>
    </row>
    <row r="239" spans="3:30">
      <c r="C239" s="12"/>
    </row>
    <row r="240" spans="3:30">
      <c r="C240" s="12"/>
    </row>
    <row r="241" spans="3:18">
      <c r="C241" s="12"/>
      <c r="R241" s="24"/>
    </row>
    <row r="242" spans="3:18">
      <c r="C242" s="12"/>
    </row>
    <row r="243" spans="3:18">
      <c r="C243" s="12"/>
    </row>
    <row r="244" spans="3:18">
      <c r="C244" s="12"/>
    </row>
    <row r="245" spans="3:18">
      <c r="C245" s="12"/>
    </row>
    <row r="246" spans="3:18">
      <c r="C246" s="12"/>
    </row>
    <row r="247" spans="3:18">
      <c r="C247" s="12"/>
    </row>
    <row r="248" spans="3:18">
      <c r="C248" s="12"/>
    </row>
    <row r="249" spans="3:18">
      <c r="C249" s="12"/>
    </row>
    <row r="250" spans="3:18">
      <c r="C250" s="12"/>
    </row>
    <row r="251" spans="3:18">
      <c r="C251" s="12"/>
    </row>
    <row r="252" spans="3:18">
      <c r="C252" s="12"/>
    </row>
    <row r="253" spans="3:18">
      <c r="C253" s="12"/>
    </row>
    <row r="254" spans="3:18">
      <c r="C254" s="12"/>
    </row>
    <row r="255" spans="3:18">
      <c r="C255" s="12"/>
    </row>
    <row r="256" spans="3:18">
      <c r="C256" s="12"/>
    </row>
    <row r="257" spans="1:9">
      <c r="C257" s="12"/>
    </row>
    <row r="258" spans="1:9">
      <c r="C258" s="12"/>
    </row>
    <row r="259" spans="1:9" ht="17" customHeight="1">
      <c r="C259" s="12"/>
    </row>
    <row r="260" spans="1:9" ht="17" customHeight="1">
      <c r="C260" s="12"/>
    </row>
    <row r="261" spans="1:9" ht="17" customHeight="1">
      <c r="C261" s="12"/>
    </row>
    <row r="262" spans="1:9" ht="17" customHeight="1">
      <c r="C262" s="12"/>
    </row>
    <row r="263" spans="1:9" ht="17" customHeight="1">
      <c r="A263" s="4"/>
      <c r="C263" s="12"/>
      <c r="D263" s="4"/>
      <c r="E263" s="4"/>
      <c r="F263" s="4"/>
      <c r="G263" s="4"/>
      <c r="H263" s="4"/>
      <c r="I263" s="9"/>
    </row>
    <row r="264" spans="1:9" ht="17" customHeight="1">
      <c r="A264" s="4"/>
      <c r="C264" s="12"/>
    </row>
    <row r="265" spans="1:9" ht="17" customHeight="1">
      <c r="A265" s="4"/>
      <c r="C265" s="12"/>
    </row>
    <row r="266" spans="1:9" ht="17" customHeight="1">
      <c r="A266" s="4"/>
      <c r="C266" s="12"/>
    </row>
    <row r="267" spans="1:9" ht="17" customHeight="1">
      <c r="A267" s="4"/>
      <c r="C267" s="12"/>
    </row>
    <row r="268" spans="1:9" ht="17" customHeight="1">
      <c r="A268" s="4"/>
      <c r="C268" s="12"/>
    </row>
    <row r="269" spans="1:9" ht="17" customHeight="1">
      <c r="A269" s="4"/>
      <c r="C269" s="12"/>
    </row>
    <row r="270" spans="1:9" ht="17" customHeight="1">
      <c r="A270" s="4"/>
      <c r="C270" s="12"/>
    </row>
    <row r="271" spans="1:9">
      <c r="A271" s="4"/>
      <c r="C271" s="12"/>
      <c r="D271" s="4"/>
      <c r="E271" s="4"/>
      <c r="F271" s="4"/>
      <c r="G271" s="4"/>
      <c r="H271" s="4"/>
      <c r="I271" s="6"/>
    </row>
    <row r="272" spans="1:9">
      <c r="A272" s="4"/>
      <c r="C272" s="12"/>
    </row>
    <row r="273" spans="1:9">
      <c r="A273" s="4"/>
      <c r="C273" s="12"/>
    </row>
    <row r="274" spans="1:9">
      <c r="A274" s="4"/>
      <c r="C274" s="12"/>
    </row>
    <row r="275" spans="1:9">
      <c r="A275" s="4"/>
      <c r="C275" s="12"/>
    </row>
    <row r="276" spans="1:9">
      <c r="A276" s="4"/>
      <c r="C276" s="12"/>
    </row>
    <row r="277" spans="1:9">
      <c r="A277" s="4"/>
      <c r="C277" s="12"/>
    </row>
    <row r="278" spans="1:9">
      <c r="A278" s="4"/>
      <c r="C278" s="12"/>
    </row>
    <row r="279" spans="1:9">
      <c r="A279" s="4"/>
      <c r="C279" s="12"/>
      <c r="D279" s="4"/>
      <c r="E279" s="4"/>
      <c r="F279" s="4"/>
      <c r="G279" s="4"/>
      <c r="H279" s="4"/>
      <c r="I279" s="6"/>
    </row>
    <row r="280" spans="1:9">
      <c r="A280" s="4"/>
      <c r="C280" s="12"/>
    </row>
    <row r="281" spans="1:9">
      <c r="A281" s="4"/>
      <c r="C281" s="12"/>
    </row>
    <row r="282" spans="1:9">
      <c r="A282" s="4"/>
      <c r="C282" s="12"/>
    </row>
    <row r="283" spans="1:9">
      <c r="A283" s="4"/>
      <c r="C283" s="12"/>
    </row>
    <row r="284" spans="1:9">
      <c r="A284" s="4"/>
      <c r="C284" s="12"/>
    </row>
    <row r="285" spans="1:9">
      <c r="A285" s="4"/>
      <c r="C285" s="12"/>
    </row>
    <row r="286" spans="1:9">
      <c r="A286" s="4"/>
      <c r="C286" s="12"/>
    </row>
    <row r="287" spans="1:9">
      <c r="A287" s="4"/>
      <c r="C287" s="12"/>
      <c r="D287" s="4"/>
      <c r="E287" s="4"/>
      <c r="F287" s="4"/>
      <c r="G287" s="4"/>
      <c r="H287" s="4"/>
      <c r="I287" s="6"/>
    </row>
    <row r="288" spans="1:9">
      <c r="A288" s="4"/>
      <c r="C288" s="12"/>
    </row>
    <row r="289" spans="1:9">
      <c r="A289" s="4"/>
      <c r="C289" s="12"/>
    </row>
    <row r="290" spans="1:9">
      <c r="A290" s="4"/>
      <c r="C290" s="12"/>
    </row>
    <row r="291" spans="1:9">
      <c r="A291" s="4"/>
      <c r="C291" s="12"/>
    </row>
    <row r="292" spans="1:9">
      <c r="A292" s="4"/>
      <c r="C292" s="12"/>
    </row>
    <row r="293" spans="1:9">
      <c r="A293" s="4"/>
      <c r="C293" s="12"/>
    </row>
    <row r="294" spans="1:9">
      <c r="A294" s="4"/>
      <c r="C294" s="12"/>
    </row>
    <row r="295" spans="1:9">
      <c r="A295" s="4"/>
      <c r="C295" s="12"/>
      <c r="D295" s="4"/>
      <c r="E295" s="4"/>
      <c r="F295" s="4"/>
      <c r="G295" s="4"/>
      <c r="H295" s="4"/>
      <c r="I295" s="5"/>
    </row>
    <row r="296" spans="1:9">
      <c r="A296" s="4"/>
      <c r="C296" s="12"/>
    </row>
    <row r="297" spans="1:9">
      <c r="A297" s="4"/>
      <c r="C297" s="12"/>
    </row>
    <row r="298" spans="1:9">
      <c r="A298" s="4"/>
      <c r="C298" s="12"/>
    </row>
    <row r="299" spans="1:9">
      <c r="A299" s="4"/>
      <c r="C299" s="12"/>
    </row>
    <row r="300" spans="1:9">
      <c r="A300" s="4"/>
      <c r="C300" s="12"/>
    </row>
    <row r="301" spans="1:9">
      <c r="A301" s="4"/>
      <c r="C301" s="12"/>
    </row>
    <row r="302" spans="1:9">
      <c r="A302" s="4"/>
      <c r="C302" s="12"/>
    </row>
    <row r="303" spans="1:9">
      <c r="A303" s="4"/>
      <c r="C303" s="12"/>
      <c r="D303" s="4"/>
      <c r="E303" s="4"/>
      <c r="F303" s="4"/>
      <c r="G303" s="4"/>
      <c r="H303" s="4"/>
      <c r="I303" s="6"/>
    </row>
    <row r="304" spans="1:9">
      <c r="A304" s="4"/>
      <c r="C304" s="12"/>
    </row>
    <row r="305" spans="1:12">
      <c r="A305" s="4"/>
      <c r="C305" s="12"/>
    </row>
    <row r="306" spans="1:12">
      <c r="A306" s="4"/>
      <c r="C306" s="12"/>
    </row>
    <row r="307" spans="1:12">
      <c r="A307" s="4"/>
      <c r="C307" s="12"/>
    </row>
    <row r="308" spans="1:12">
      <c r="A308" s="4"/>
      <c r="C308" s="12"/>
    </row>
    <row r="309" spans="1:12">
      <c r="A309" s="4"/>
      <c r="C309" s="12"/>
    </row>
    <row r="310" spans="1:12">
      <c r="A310" s="4"/>
      <c r="C310" s="12"/>
    </row>
    <row r="311" spans="1:12">
      <c r="A311" s="4"/>
      <c r="C311" s="12"/>
      <c r="D311" s="4"/>
      <c r="E311" s="4"/>
      <c r="F311" s="4"/>
      <c r="G311" s="4"/>
      <c r="H311" s="4"/>
      <c r="I311" s="6"/>
    </row>
    <row r="312" spans="1:12">
      <c r="A312" s="4"/>
      <c r="C312" s="12"/>
    </row>
    <row r="313" spans="1:12">
      <c r="A313" s="4"/>
      <c r="C313" s="12"/>
    </row>
    <row r="314" spans="1:12">
      <c r="A314" s="4"/>
      <c r="C314" s="12"/>
      <c r="L314" s="19"/>
    </row>
    <row r="315" spans="1:12">
      <c r="A315" s="4"/>
      <c r="C315" s="12"/>
    </row>
    <row r="316" spans="1:12">
      <c r="A316" s="4"/>
      <c r="C316" s="12"/>
    </row>
    <row r="317" spans="1:12">
      <c r="A317" s="4"/>
      <c r="C317" s="12"/>
    </row>
    <row r="318" spans="1:12">
      <c r="A318" s="4"/>
      <c r="C318" s="12"/>
    </row>
    <row r="319" spans="1:12">
      <c r="A319" s="4"/>
      <c r="C319" s="12"/>
      <c r="D319" s="4"/>
      <c r="E319" s="4"/>
      <c r="F319" s="4"/>
      <c r="G319" s="4"/>
      <c r="H319" s="4"/>
      <c r="I319" s="6"/>
    </row>
    <row r="320" spans="1:12">
      <c r="A320" s="4"/>
      <c r="C320" s="12"/>
    </row>
    <row r="321" spans="1:3">
      <c r="A321" s="4"/>
      <c r="C321" s="12"/>
    </row>
    <row r="322" spans="1:3">
      <c r="A322" s="4"/>
      <c r="C322" s="12"/>
    </row>
    <row r="323" spans="1:3">
      <c r="A323" s="4"/>
      <c r="C323" s="12"/>
    </row>
    <row r="324" spans="1:3">
      <c r="A324" s="4"/>
      <c r="C324" s="12"/>
    </row>
    <row r="325" spans="1:3">
      <c r="A325" s="4"/>
      <c r="C325" s="12"/>
    </row>
    <row r="326" spans="1:3">
      <c r="A326" s="4"/>
      <c r="C326" s="12"/>
    </row>
    <row r="327" spans="1:3">
      <c r="C327" s="12"/>
    </row>
    <row r="328" spans="1:3">
      <c r="C328" s="12"/>
    </row>
    <row r="329" spans="1:3">
      <c r="C329" s="12"/>
    </row>
    <row r="330" spans="1:3">
      <c r="C330" s="12"/>
    </row>
    <row r="331" spans="1:3">
      <c r="C331" s="12"/>
    </row>
    <row r="332" spans="1:3">
      <c r="C332" s="12"/>
    </row>
    <row r="333" spans="1:3">
      <c r="C333" s="12"/>
    </row>
    <row r="334" spans="1:3">
      <c r="C334" s="12"/>
    </row>
    <row r="335" spans="1:3">
      <c r="C335" s="12"/>
    </row>
    <row r="336" spans="1:3">
      <c r="C336" s="12"/>
    </row>
    <row r="337" spans="3:3">
      <c r="C337" s="12"/>
    </row>
    <row r="338" spans="3:3">
      <c r="C338" s="12"/>
    </row>
    <row r="339" spans="3:3">
      <c r="C339" s="12"/>
    </row>
    <row r="340" spans="3:3">
      <c r="C340" s="12"/>
    </row>
    <row r="341" spans="3:3">
      <c r="C341" s="12"/>
    </row>
    <row r="342" spans="3:3">
      <c r="C342" s="12"/>
    </row>
    <row r="343" spans="3:3">
      <c r="C343" s="12"/>
    </row>
    <row r="344" spans="3:3">
      <c r="C344" s="12"/>
    </row>
    <row r="345" spans="3:3">
      <c r="C345" s="12"/>
    </row>
    <row r="346" spans="3:3">
      <c r="C346" s="12"/>
    </row>
    <row r="347" spans="3:3">
      <c r="C347" s="12"/>
    </row>
    <row r="348" spans="3:3">
      <c r="C348" s="12"/>
    </row>
    <row r="349" spans="3:3">
      <c r="C349" s="12"/>
    </row>
    <row r="350" spans="3:3">
      <c r="C350" s="12"/>
    </row>
    <row r="351" spans="3:3">
      <c r="C351" s="12"/>
    </row>
    <row r="352" spans="3:3">
      <c r="C352" s="12"/>
    </row>
    <row r="353" spans="3:3">
      <c r="C353" s="12"/>
    </row>
    <row r="354" spans="3:3">
      <c r="C354" s="12"/>
    </row>
    <row r="355" spans="3:3">
      <c r="C355" s="12"/>
    </row>
    <row r="356" spans="3:3">
      <c r="C356" s="12"/>
    </row>
    <row r="357" spans="3:3">
      <c r="C357" s="12"/>
    </row>
    <row r="358" spans="3:3">
      <c r="C358" s="12"/>
    </row>
    <row r="359" spans="3:3">
      <c r="C359" s="12"/>
    </row>
    <row r="360" spans="3:3">
      <c r="C360" s="12"/>
    </row>
    <row r="361" spans="3:3">
      <c r="C361" s="12"/>
    </row>
    <row r="362" spans="3:3">
      <c r="C362" s="12"/>
    </row>
    <row r="363" spans="3:3">
      <c r="C363" s="12"/>
    </row>
    <row r="364" spans="3:3">
      <c r="C364" s="12"/>
    </row>
    <row r="365" spans="3:3">
      <c r="C365" s="12"/>
    </row>
    <row r="366" spans="3:3">
      <c r="C366" s="12"/>
    </row>
    <row r="367" spans="3:3">
      <c r="C367" s="12"/>
    </row>
    <row r="368" spans="3:3">
      <c r="C368" s="12"/>
    </row>
    <row r="369" spans="3:3">
      <c r="C369" s="12"/>
    </row>
    <row r="370" spans="3:3">
      <c r="C370" s="12"/>
    </row>
    <row r="371" spans="3:3">
      <c r="C371" s="12"/>
    </row>
    <row r="372" spans="3:3">
      <c r="C372" s="12"/>
    </row>
    <row r="373" spans="3:3">
      <c r="C373" s="12"/>
    </row>
    <row r="374" spans="3:3">
      <c r="C374" s="12"/>
    </row>
    <row r="375" spans="3:3">
      <c r="C375" s="12"/>
    </row>
    <row r="376" spans="3:3">
      <c r="C376" s="12"/>
    </row>
    <row r="377" spans="3:3">
      <c r="C377" s="12"/>
    </row>
    <row r="378" spans="3:3">
      <c r="C378" s="12"/>
    </row>
    <row r="379" spans="3:3">
      <c r="C379" s="12"/>
    </row>
    <row r="380" spans="3:3">
      <c r="C380" s="12"/>
    </row>
    <row r="381" spans="3:3">
      <c r="C381" s="12"/>
    </row>
    <row r="382" spans="3:3">
      <c r="C382" s="12"/>
    </row>
    <row r="383" spans="3:3">
      <c r="C383" s="12"/>
    </row>
    <row r="384" spans="3:3">
      <c r="C384" s="12"/>
    </row>
    <row r="385" spans="3:3">
      <c r="C385" s="12"/>
    </row>
    <row r="386" spans="3:3">
      <c r="C386" s="12"/>
    </row>
    <row r="387" spans="3:3">
      <c r="C387" s="12"/>
    </row>
    <row r="388" spans="3:3">
      <c r="C388" s="12"/>
    </row>
    <row r="389" spans="3:3">
      <c r="C389" s="12"/>
    </row>
    <row r="390" spans="3:3">
      <c r="C390" s="12"/>
    </row>
    <row r="391" spans="3:3">
      <c r="C391" s="12"/>
    </row>
    <row r="392" spans="3:3">
      <c r="C392" s="12"/>
    </row>
    <row r="393" spans="3:3">
      <c r="C393" s="12"/>
    </row>
    <row r="394" spans="3:3">
      <c r="C394" s="12"/>
    </row>
    <row r="395" spans="3:3">
      <c r="C395" s="12"/>
    </row>
    <row r="396" spans="3:3">
      <c r="C396" s="12"/>
    </row>
    <row r="397" spans="3:3">
      <c r="C397" s="12"/>
    </row>
    <row r="398" spans="3:3">
      <c r="C398" s="12"/>
    </row>
    <row r="399" spans="3:3">
      <c r="C399" s="12"/>
    </row>
    <row r="400" spans="3:3">
      <c r="C400" s="12"/>
    </row>
    <row r="401" spans="3:3">
      <c r="C401" s="12"/>
    </row>
    <row r="402" spans="3:3">
      <c r="C402" s="12"/>
    </row>
    <row r="403" spans="3:3">
      <c r="C403" s="12"/>
    </row>
    <row r="404" spans="3:3">
      <c r="C404" s="12"/>
    </row>
    <row r="405" spans="3:3">
      <c r="C405" s="12"/>
    </row>
    <row r="406" spans="3:3">
      <c r="C406" s="12"/>
    </row>
    <row r="407" spans="3:3">
      <c r="C407" s="12"/>
    </row>
    <row r="408" spans="3:3">
      <c r="C408" s="12"/>
    </row>
    <row r="409" spans="3:3">
      <c r="C409" s="12"/>
    </row>
    <row r="410" spans="3:3">
      <c r="C410" s="12"/>
    </row>
    <row r="411" spans="3:3">
      <c r="C411" s="12"/>
    </row>
    <row r="412" spans="3:3">
      <c r="C412" s="12"/>
    </row>
    <row r="413" spans="3:3">
      <c r="C413" s="12"/>
    </row>
    <row r="414" spans="3:3">
      <c r="C414" s="12"/>
    </row>
    <row r="415" spans="3:3">
      <c r="C415" s="12"/>
    </row>
    <row r="416" spans="3:3">
      <c r="C416" s="12"/>
    </row>
    <row r="417" spans="3:3">
      <c r="C417" s="12"/>
    </row>
    <row r="418" spans="3:3">
      <c r="C418" s="12"/>
    </row>
    <row r="419" spans="3:3">
      <c r="C419" s="12"/>
    </row>
    <row r="420" spans="3:3">
      <c r="C420" s="12"/>
    </row>
    <row r="421" spans="3:3">
      <c r="C421" s="12"/>
    </row>
    <row r="422" spans="3:3">
      <c r="C422" s="12"/>
    </row>
    <row r="423" spans="3:3">
      <c r="C423" s="12"/>
    </row>
    <row r="424" spans="3:3">
      <c r="C424" s="12"/>
    </row>
    <row r="425" spans="3:3">
      <c r="C425" s="12"/>
    </row>
    <row r="426" spans="3:3">
      <c r="C426" s="12"/>
    </row>
    <row r="427" spans="3:3">
      <c r="C427" s="12"/>
    </row>
    <row r="428" spans="3:3">
      <c r="C428" s="12"/>
    </row>
    <row r="429" spans="3:3">
      <c r="C429" s="12"/>
    </row>
    <row r="430" spans="3:3">
      <c r="C430" s="12"/>
    </row>
    <row r="431" spans="3:3">
      <c r="C431" s="12"/>
    </row>
    <row r="432" spans="3:3">
      <c r="C432" s="12"/>
    </row>
    <row r="433" spans="3:3">
      <c r="C433" s="12"/>
    </row>
    <row r="434" spans="3:3">
      <c r="C434" s="12"/>
    </row>
    <row r="435" spans="3:3">
      <c r="C435" s="12"/>
    </row>
    <row r="436" spans="3:3">
      <c r="C436" s="12"/>
    </row>
    <row r="437" spans="3:3">
      <c r="C437" s="12"/>
    </row>
    <row r="438" spans="3:3">
      <c r="C438" s="12"/>
    </row>
    <row r="439" spans="3:3">
      <c r="C439" s="12"/>
    </row>
    <row r="440" spans="3:3">
      <c r="C440" s="12"/>
    </row>
    <row r="441" spans="3:3">
      <c r="C441" s="12"/>
    </row>
    <row r="442" spans="3:3">
      <c r="C442" s="12"/>
    </row>
    <row r="443" spans="3:3">
      <c r="C443" s="12"/>
    </row>
    <row r="444" spans="3:3">
      <c r="C444" s="12"/>
    </row>
    <row r="445" spans="3:3">
      <c r="C445" s="12"/>
    </row>
    <row r="446" spans="3:3">
      <c r="C446" s="12"/>
    </row>
    <row r="447" spans="3:3">
      <c r="C447" s="12"/>
    </row>
    <row r="448" spans="3:3">
      <c r="C448" s="12"/>
    </row>
    <row r="449" spans="3:3">
      <c r="C449" s="12"/>
    </row>
    <row r="450" spans="3:3">
      <c r="C450" s="12"/>
    </row>
    <row r="451" spans="3:3">
      <c r="C451" s="12"/>
    </row>
    <row r="452" spans="3:3">
      <c r="C452" s="12"/>
    </row>
    <row r="453" spans="3:3">
      <c r="C453" s="12"/>
    </row>
    <row r="454" spans="3:3">
      <c r="C454" s="12"/>
    </row>
    <row r="455" spans="3:3">
      <c r="C455" s="12"/>
    </row>
    <row r="456" spans="3:3">
      <c r="C456" s="12"/>
    </row>
    <row r="457" spans="3:3">
      <c r="C457" s="12"/>
    </row>
    <row r="458" spans="3:3">
      <c r="C458" s="12"/>
    </row>
    <row r="459" spans="3:3">
      <c r="C459" s="12"/>
    </row>
    <row r="460" spans="3:3">
      <c r="C460" s="12"/>
    </row>
    <row r="461" spans="3:3">
      <c r="C461" s="12"/>
    </row>
    <row r="462" spans="3:3">
      <c r="C462" s="12"/>
    </row>
    <row r="463" spans="3:3">
      <c r="C463" s="12"/>
    </row>
    <row r="464" spans="3:3">
      <c r="C464" s="12"/>
    </row>
    <row r="465" spans="3:3">
      <c r="C465" s="12"/>
    </row>
    <row r="466" spans="3:3">
      <c r="C466" s="12"/>
    </row>
    <row r="467" spans="3:3">
      <c r="C467" s="12"/>
    </row>
    <row r="468" spans="3:3">
      <c r="C468" s="12"/>
    </row>
    <row r="469" spans="3:3">
      <c r="C469" s="12"/>
    </row>
    <row r="470" spans="3:3">
      <c r="C470" s="12"/>
    </row>
    <row r="471" spans="3:3">
      <c r="C471" s="12"/>
    </row>
    <row r="472" spans="3:3">
      <c r="C472" s="12"/>
    </row>
    <row r="473" spans="3:3">
      <c r="C473" s="12"/>
    </row>
    <row r="474" spans="3:3">
      <c r="C474" s="12"/>
    </row>
    <row r="475" spans="3:3">
      <c r="C475" s="12"/>
    </row>
    <row r="476" spans="3:3">
      <c r="C476" s="12"/>
    </row>
    <row r="477" spans="3:3">
      <c r="C477" s="12"/>
    </row>
    <row r="478" spans="3:3">
      <c r="C478" s="12"/>
    </row>
    <row r="479" spans="3:3">
      <c r="C479" s="12"/>
    </row>
    <row r="480" spans="3:3">
      <c r="C480" s="12"/>
    </row>
    <row r="481" spans="3:3">
      <c r="C481" s="12"/>
    </row>
    <row r="482" spans="3:3">
      <c r="C482" s="12"/>
    </row>
    <row r="483" spans="3:3">
      <c r="C483" s="12"/>
    </row>
    <row r="484" spans="3:3">
      <c r="C484" s="12"/>
    </row>
    <row r="485" spans="3:3">
      <c r="C485" s="12"/>
    </row>
    <row r="486" spans="3:3">
      <c r="C486" s="12"/>
    </row>
    <row r="487" spans="3:3">
      <c r="C487" s="12"/>
    </row>
    <row r="488" spans="3:3">
      <c r="C488" s="12"/>
    </row>
    <row r="489" spans="3:3">
      <c r="C489" s="12"/>
    </row>
    <row r="490" spans="3:3">
      <c r="C490" s="12"/>
    </row>
    <row r="491" spans="3:3">
      <c r="C491" s="12"/>
    </row>
    <row r="492" spans="3:3">
      <c r="C492" s="12"/>
    </row>
    <row r="493" spans="3:3">
      <c r="C493" s="12"/>
    </row>
    <row r="494" spans="3:3">
      <c r="C494" s="12"/>
    </row>
    <row r="495" spans="3:3">
      <c r="C495" s="12"/>
    </row>
    <row r="496" spans="3:3">
      <c r="C496" s="12"/>
    </row>
    <row r="497" spans="3:3">
      <c r="C497" s="12"/>
    </row>
    <row r="498" spans="3:3">
      <c r="C498" s="12"/>
    </row>
    <row r="499" spans="3:3">
      <c r="C499" s="12"/>
    </row>
    <row r="500" spans="3:3">
      <c r="C500" s="12"/>
    </row>
    <row r="501" spans="3:3">
      <c r="C501" s="12"/>
    </row>
    <row r="502" spans="3:3">
      <c r="C502" s="12"/>
    </row>
    <row r="503" spans="3:3">
      <c r="C503" s="12"/>
    </row>
    <row r="504" spans="3:3">
      <c r="C504" s="12"/>
    </row>
    <row r="505" spans="3:3">
      <c r="C505" s="12"/>
    </row>
    <row r="506" spans="3:3">
      <c r="C506" s="12"/>
    </row>
    <row r="507" spans="3:3">
      <c r="C507" s="12"/>
    </row>
    <row r="508" spans="3:3">
      <c r="C508" s="12"/>
    </row>
    <row r="509" spans="3:3">
      <c r="C509" s="12"/>
    </row>
    <row r="510" spans="3:3">
      <c r="C510" s="12"/>
    </row>
    <row r="511" spans="3:3">
      <c r="C511" s="12"/>
    </row>
    <row r="512" spans="3:3">
      <c r="C512" s="12"/>
    </row>
    <row r="513" spans="3:3">
      <c r="C513" s="12"/>
    </row>
    <row r="514" spans="3:3">
      <c r="C514" s="12"/>
    </row>
    <row r="515" spans="3:3">
      <c r="C515" s="12"/>
    </row>
    <row r="516" spans="3:3">
      <c r="C516" s="12"/>
    </row>
    <row r="517" spans="3:3">
      <c r="C517" s="12"/>
    </row>
    <row r="518" spans="3:3">
      <c r="C518" s="12"/>
    </row>
    <row r="519" spans="3:3">
      <c r="C519" s="12"/>
    </row>
    <row r="520" spans="3:3">
      <c r="C520" s="12"/>
    </row>
    <row r="521" spans="3:3">
      <c r="C521" s="12"/>
    </row>
    <row r="522" spans="3:3">
      <c r="C522" s="12"/>
    </row>
    <row r="523" spans="3:3">
      <c r="C523" s="12"/>
    </row>
    <row r="524" spans="3:3">
      <c r="C524" s="12"/>
    </row>
    <row r="525" spans="3:3">
      <c r="C525" s="12"/>
    </row>
    <row r="526" spans="3:3">
      <c r="C526" s="12"/>
    </row>
    <row r="527" spans="3:3">
      <c r="C527" s="12"/>
    </row>
    <row r="528" spans="3:3">
      <c r="C528" s="12"/>
    </row>
    <row r="529" spans="3:3">
      <c r="C529" s="12"/>
    </row>
    <row r="530" spans="3:3">
      <c r="C530" s="12"/>
    </row>
    <row r="531" spans="3:3">
      <c r="C531" s="12"/>
    </row>
    <row r="532" spans="3:3">
      <c r="C532" s="12"/>
    </row>
    <row r="533" spans="3:3">
      <c r="C533" s="12"/>
    </row>
    <row r="534" spans="3:3">
      <c r="C534" s="12"/>
    </row>
    <row r="535" spans="3:3">
      <c r="C535" s="12"/>
    </row>
    <row r="536" spans="3:3">
      <c r="C536" s="12"/>
    </row>
    <row r="537" spans="3:3">
      <c r="C537" s="12"/>
    </row>
    <row r="538" spans="3:3">
      <c r="C538" s="12"/>
    </row>
    <row r="539" spans="3:3">
      <c r="C539" s="12"/>
    </row>
    <row r="540" spans="3:3">
      <c r="C540" s="12"/>
    </row>
    <row r="541" spans="3:3">
      <c r="C541" s="12"/>
    </row>
    <row r="542" spans="3:3">
      <c r="C542" s="12"/>
    </row>
    <row r="543" spans="3:3">
      <c r="C543" s="12"/>
    </row>
    <row r="544" spans="3:3">
      <c r="C544" s="12"/>
    </row>
    <row r="545" spans="3:3">
      <c r="C545" s="12"/>
    </row>
    <row r="546" spans="3:3">
      <c r="C546" s="12"/>
    </row>
    <row r="547" spans="3:3">
      <c r="C547" s="12"/>
    </row>
    <row r="548" spans="3:3">
      <c r="C548" s="12"/>
    </row>
    <row r="549" spans="3:3">
      <c r="C549" s="12"/>
    </row>
    <row r="550" spans="3:3">
      <c r="C550" s="12"/>
    </row>
    <row r="551" spans="3:3">
      <c r="C551" s="12"/>
    </row>
  </sheetData>
  <mergeCells count="1">
    <mergeCell ref="A7:A8"/>
  </mergeCells>
  <pageMargins left="0.7" right="0.7" top="0.75" bottom="0.75" header="0.3" footer="0.3"/>
  <pageSetup paperSize="9" scale="51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9"/>
  <sheetViews>
    <sheetView showGridLines="0" zoomScale="130" zoomScaleNormal="130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Z14" sqref="Z14"/>
    </sheetView>
  </sheetViews>
  <sheetFormatPr baseColWidth="10" defaultColWidth="9.5" defaultRowHeight="12"/>
  <cols>
    <col min="1" max="1" width="13.6640625" style="208" customWidth="1"/>
    <col min="2" max="15" width="9.33203125" style="208" bestFit="1" customWidth="1"/>
    <col min="16" max="16" width="9.5" style="208"/>
    <col min="17" max="17" width="9.83203125" style="208" bestFit="1" customWidth="1"/>
    <col min="18" max="28" width="9.5" style="208"/>
    <col min="29" max="29" width="9.83203125" style="208" bestFit="1" customWidth="1"/>
    <col min="30" max="16384" width="9.5" style="208"/>
  </cols>
  <sheetData>
    <row r="1" spans="1:29" ht="14">
      <c r="A1" s="291" t="s">
        <v>277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</row>
    <row r="2" spans="1:29" s="209" customFormat="1">
      <c r="V2" s="240" t="s">
        <v>289</v>
      </c>
      <c r="W2" s="240" t="s">
        <v>272</v>
      </c>
      <c r="X2" s="240" t="s">
        <v>273</v>
      </c>
      <c r="Y2" s="240" t="s">
        <v>257</v>
      </c>
      <c r="Z2" s="240" t="s">
        <v>258</v>
      </c>
      <c r="AA2" s="240" t="s">
        <v>290</v>
      </c>
      <c r="AB2" s="240" t="s">
        <v>291</v>
      </c>
      <c r="AC2" s="240"/>
    </row>
    <row r="3" spans="1:29" ht="52">
      <c r="A3" s="210" t="s">
        <v>278</v>
      </c>
      <c r="B3" s="210">
        <v>2001</v>
      </c>
      <c r="C3" s="210">
        <v>2002</v>
      </c>
      <c r="D3" s="210">
        <v>2003</v>
      </c>
      <c r="E3" s="210">
        <v>2004</v>
      </c>
      <c r="F3" s="210">
        <v>2005</v>
      </c>
      <c r="G3" s="210">
        <v>2006</v>
      </c>
      <c r="H3" s="210">
        <v>2007</v>
      </c>
      <c r="I3" s="210">
        <v>2008</v>
      </c>
      <c r="J3" s="210">
        <v>2009</v>
      </c>
      <c r="K3" s="210">
        <v>2010</v>
      </c>
      <c r="L3" s="210">
        <v>2011</v>
      </c>
      <c r="M3" s="210">
        <v>2012</v>
      </c>
      <c r="N3" s="210">
        <v>2013</v>
      </c>
      <c r="O3" s="210">
        <v>2014</v>
      </c>
      <c r="P3" s="210">
        <v>2015</v>
      </c>
      <c r="Q3" s="210">
        <v>2016</v>
      </c>
      <c r="R3" s="210">
        <v>2017</v>
      </c>
      <c r="S3" s="210">
        <v>2018</v>
      </c>
      <c r="T3" s="210">
        <v>2019</v>
      </c>
      <c r="V3" s="241" t="s">
        <v>1</v>
      </c>
      <c r="W3" s="241" t="s">
        <v>2</v>
      </c>
      <c r="X3" s="241" t="s">
        <v>3</v>
      </c>
      <c r="Y3" s="241" t="s">
        <v>4</v>
      </c>
      <c r="Z3" s="241" t="s">
        <v>5</v>
      </c>
      <c r="AA3" s="241" t="s">
        <v>6</v>
      </c>
      <c r="AB3" s="241" t="s">
        <v>7</v>
      </c>
      <c r="AC3" s="241" t="s">
        <v>122</v>
      </c>
    </row>
    <row r="4" spans="1:29">
      <c r="A4" s="211" t="s">
        <v>279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V4" s="262">
        <f>P10</f>
        <v>7152157</v>
      </c>
      <c r="W4" s="262">
        <f>P17</f>
        <v>8316907</v>
      </c>
      <c r="X4" s="262">
        <f>P24</f>
        <v>6831528</v>
      </c>
      <c r="Y4" s="262">
        <f>P31</f>
        <v>4192760</v>
      </c>
      <c r="Z4" s="262">
        <f>P38</f>
        <v>2523650</v>
      </c>
      <c r="AA4" s="262">
        <f>P45</f>
        <v>1253562</v>
      </c>
      <c r="AB4" s="262">
        <f>P52+P59</f>
        <v>2257440</v>
      </c>
      <c r="AC4" s="262">
        <f>SUM(V4:AB4)</f>
        <v>32528004</v>
      </c>
    </row>
    <row r="5" spans="1:29">
      <c r="A5" s="213" t="s">
        <v>280</v>
      </c>
      <c r="B5" s="214">
        <v>995436</v>
      </c>
      <c r="C5" s="214">
        <v>1076844</v>
      </c>
      <c r="D5" s="214">
        <v>1172709</v>
      </c>
      <c r="E5" s="214">
        <v>1227411</v>
      </c>
      <c r="F5" s="214">
        <v>1264145</v>
      </c>
      <c r="G5" s="214">
        <v>1245234</v>
      </c>
      <c r="H5" s="214">
        <v>1244766</v>
      </c>
      <c r="I5" s="214">
        <v>1206101</v>
      </c>
      <c r="J5" s="214">
        <v>1280095</v>
      </c>
      <c r="K5" s="214">
        <v>1606571</v>
      </c>
      <c r="L5" s="214">
        <v>1872610</v>
      </c>
      <c r="M5" s="214">
        <v>1880355</v>
      </c>
      <c r="N5" s="214">
        <v>1577877</v>
      </c>
      <c r="O5" s="214">
        <v>1426144</v>
      </c>
      <c r="P5" s="214">
        <v>1476306</v>
      </c>
      <c r="Q5" s="214">
        <v>1615248</v>
      </c>
      <c r="R5" s="214">
        <v>1619937</v>
      </c>
      <c r="S5" s="214">
        <v>1597823</v>
      </c>
      <c r="T5" s="214">
        <v>1606169</v>
      </c>
      <c r="V5" s="263">
        <f>V4/$AC$4</f>
        <v>0.21987690975443805</v>
      </c>
      <c r="W5" s="263">
        <f t="shared" ref="W5:AC5" si="0">W4/$AC$4</f>
        <v>0.25568451725473224</v>
      </c>
      <c r="X5" s="263">
        <f t="shared" si="0"/>
        <v>0.21001989547222141</v>
      </c>
      <c r="Y5" s="263">
        <f t="shared" si="0"/>
        <v>0.12889693446914235</v>
      </c>
      <c r="Z5" s="263">
        <f t="shared" si="0"/>
        <v>7.7583918152494075E-2</v>
      </c>
      <c r="AA5" s="263">
        <f t="shared" si="0"/>
        <v>3.8537931807927715E-2</v>
      </c>
      <c r="AB5" s="263">
        <f t="shared" si="0"/>
        <v>6.9399893089044137E-2</v>
      </c>
      <c r="AC5" s="263">
        <f t="shared" si="0"/>
        <v>1</v>
      </c>
    </row>
    <row r="6" spans="1:29">
      <c r="A6" s="213" t="s">
        <v>281</v>
      </c>
      <c r="B6" s="214">
        <v>573126</v>
      </c>
      <c r="C6" s="214">
        <v>535529</v>
      </c>
      <c r="D6" s="214">
        <v>630737</v>
      </c>
      <c r="E6" s="214">
        <v>685481</v>
      </c>
      <c r="F6" s="214">
        <v>733037</v>
      </c>
      <c r="G6" s="214">
        <v>804564</v>
      </c>
      <c r="H6" s="214">
        <v>860437</v>
      </c>
      <c r="I6" s="214">
        <v>865384</v>
      </c>
      <c r="J6" s="214">
        <v>843341</v>
      </c>
      <c r="K6" s="214">
        <v>838258</v>
      </c>
      <c r="L6" s="214">
        <v>816671</v>
      </c>
      <c r="M6" s="214">
        <v>900102</v>
      </c>
      <c r="N6" s="214">
        <v>1236873</v>
      </c>
      <c r="O6" s="214">
        <v>1410779</v>
      </c>
      <c r="P6" s="214">
        <v>1190235</v>
      </c>
      <c r="Q6" s="214">
        <v>935032</v>
      </c>
      <c r="R6" s="214">
        <v>940312</v>
      </c>
      <c r="S6" s="214">
        <v>1076368</v>
      </c>
      <c r="T6" s="214">
        <v>1117674</v>
      </c>
      <c r="V6" s="264"/>
      <c r="W6" s="264"/>
      <c r="X6" s="264"/>
      <c r="Y6" s="264"/>
      <c r="Z6" s="264"/>
      <c r="AA6" s="264"/>
      <c r="AB6" s="264"/>
      <c r="AC6" s="264"/>
    </row>
    <row r="7" spans="1:29">
      <c r="A7" s="213" t="s">
        <v>282</v>
      </c>
      <c r="B7" s="214">
        <v>597204</v>
      </c>
      <c r="C7" s="214">
        <v>640218</v>
      </c>
      <c r="D7" s="214">
        <v>562508</v>
      </c>
      <c r="E7" s="214">
        <v>530368</v>
      </c>
      <c r="F7" s="214">
        <v>624360</v>
      </c>
      <c r="G7" s="214">
        <v>678767</v>
      </c>
      <c r="H7" s="214">
        <v>732967</v>
      </c>
      <c r="I7" s="214">
        <v>815797</v>
      </c>
      <c r="J7" s="214">
        <v>857138</v>
      </c>
      <c r="K7" s="214">
        <v>852653</v>
      </c>
      <c r="L7" s="214">
        <v>874328</v>
      </c>
      <c r="M7" s="214">
        <v>866177</v>
      </c>
      <c r="N7" s="214">
        <v>838942</v>
      </c>
      <c r="O7" s="214">
        <v>919744</v>
      </c>
      <c r="P7" s="214">
        <v>1244080</v>
      </c>
      <c r="Q7" s="214">
        <v>1414264</v>
      </c>
      <c r="R7" s="214">
        <v>1196181</v>
      </c>
      <c r="S7" s="214">
        <v>940884</v>
      </c>
      <c r="T7" s="214">
        <v>945288</v>
      </c>
    </row>
    <row r="8" spans="1:29">
      <c r="A8" s="213" t="s">
        <v>283</v>
      </c>
      <c r="B8" s="214">
        <v>1139303</v>
      </c>
      <c r="C8" s="214">
        <v>957145</v>
      </c>
      <c r="D8" s="214">
        <v>806002</v>
      </c>
      <c r="E8" s="214">
        <v>896969</v>
      </c>
      <c r="F8" s="214">
        <v>838740</v>
      </c>
      <c r="G8" s="214">
        <v>835762</v>
      </c>
      <c r="H8" s="214">
        <v>847238</v>
      </c>
      <c r="I8" s="214">
        <v>979205</v>
      </c>
      <c r="J8" s="214">
        <v>1033728</v>
      </c>
      <c r="K8" s="214">
        <v>1136135</v>
      </c>
      <c r="L8" s="214">
        <v>1275897</v>
      </c>
      <c r="M8" s="214">
        <v>1322686</v>
      </c>
      <c r="N8" s="214">
        <v>1311292</v>
      </c>
      <c r="O8" s="214">
        <v>1302441</v>
      </c>
      <c r="P8" s="214">
        <v>1265357</v>
      </c>
      <c r="Q8" s="214">
        <v>1343707</v>
      </c>
      <c r="R8" s="214">
        <v>1638028</v>
      </c>
      <c r="S8" s="214">
        <v>1907127</v>
      </c>
      <c r="T8" s="214">
        <v>1903943</v>
      </c>
    </row>
    <row r="9" spans="1:29">
      <c r="A9" s="213" t="s">
        <v>284</v>
      </c>
      <c r="B9" s="214">
        <v>2451768</v>
      </c>
      <c r="C9" s="214">
        <v>2446629</v>
      </c>
      <c r="D9" s="214">
        <v>2371343</v>
      </c>
      <c r="E9" s="214">
        <v>2038227</v>
      </c>
      <c r="F9" s="214">
        <v>1753907</v>
      </c>
      <c r="G9" s="214">
        <v>1501623</v>
      </c>
      <c r="H9" s="214">
        <v>1424342</v>
      </c>
      <c r="I9" s="214">
        <v>1266675</v>
      </c>
      <c r="J9" s="214">
        <v>1296985</v>
      </c>
      <c r="K9" s="214">
        <v>1333084</v>
      </c>
      <c r="L9" s="214">
        <v>1451838</v>
      </c>
      <c r="M9" s="214">
        <v>1494714</v>
      </c>
      <c r="N9" s="214">
        <v>1704707</v>
      </c>
      <c r="O9" s="214">
        <v>1854905</v>
      </c>
      <c r="P9" s="214">
        <v>1976179</v>
      </c>
      <c r="Q9" s="214">
        <v>2057259</v>
      </c>
      <c r="R9" s="214">
        <v>2111191</v>
      </c>
      <c r="S9" s="214">
        <v>2074412</v>
      </c>
      <c r="T9" s="214">
        <v>2127433</v>
      </c>
    </row>
    <row r="10" spans="1:29" s="217" customFormat="1">
      <c r="A10" s="215" t="s">
        <v>240</v>
      </c>
      <c r="B10" s="216">
        <f t="shared" ref="B10:J10" si="1">SUM(B5:B9)</f>
        <v>5756837</v>
      </c>
      <c r="C10" s="216">
        <f t="shared" si="1"/>
        <v>5656365</v>
      </c>
      <c r="D10" s="216">
        <f t="shared" si="1"/>
        <v>5543299</v>
      </c>
      <c r="E10" s="216">
        <f t="shared" si="1"/>
        <v>5378456</v>
      </c>
      <c r="F10" s="216">
        <f t="shared" si="1"/>
        <v>5214189</v>
      </c>
      <c r="G10" s="216">
        <f t="shared" si="1"/>
        <v>5065950</v>
      </c>
      <c r="H10" s="216">
        <f t="shared" si="1"/>
        <v>5109750</v>
      </c>
      <c r="I10" s="216">
        <f t="shared" si="1"/>
        <v>5133162</v>
      </c>
      <c r="J10" s="216">
        <f t="shared" si="1"/>
        <v>5311287</v>
      </c>
      <c r="K10" s="216">
        <v>5766701</v>
      </c>
      <c r="L10" s="216">
        <v>6291344</v>
      </c>
      <c r="M10" s="216">
        <v>6464034</v>
      </c>
      <c r="N10" s="216">
        <v>6669691</v>
      </c>
      <c r="O10" s="216">
        <v>6914013</v>
      </c>
      <c r="P10" s="216">
        <v>7152157</v>
      </c>
      <c r="Q10" s="216">
        <v>7365510</v>
      </c>
      <c r="R10" s="216">
        <v>7505649</v>
      </c>
      <c r="S10" s="216">
        <v>7596614</v>
      </c>
      <c r="T10" s="216">
        <v>7700507</v>
      </c>
    </row>
    <row r="11" spans="1:29">
      <c r="A11" s="211" t="s">
        <v>272</v>
      </c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</row>
    <row r="12" spans="1:29">
      <c r="A12" s="213" t="s">
        <v>280</v>
      </c>
      <c r="B12" s="214">
        <v>2022802</v>
      </c>
      <c r="C12" s="214">
        <v>2175368</v>
      </c>
      <c r="D12" s="214">
        <v>1996082</v>
      </c>
      <c r="E12" s="214">
        <v>1781600</v>
      </c>
      <c r="F12" s="214">
        <v>1536080</v>
      </c>
      <c r="G12" s="214">
        <v>1423867</v>
      </c>
      <c r="H12" s="214">
        <v>1393171</v>
      </c>
      <c r="I12" s="214">
        <v>1410344</v>
      </c>
      <c r="J12" s="214">
        <v>1497314</v>
      </c>
      <c r="K12" s="214">
        <v>1618356</v>
      </c>
      <c r="L12" s="214">
        <v>1729599</v>
      </c>
      <c r="M12" s="214">
        <v>1816758</v>
      </c>
      <c r="N12" s="214">
        <v>1825802</v>
      </c>
      <c r="O12" s="214">
        <v>1735893</v>
      </c>
      <c r="P12" s="214">
        <v>1580643</v>
      </c>
      <c r="Q12" s="214">
        <v>1539655</v>
      </c>
      <c r="R12" s="214">
        <v>1614718</v>
      </c>
      <c r="S12" s="214">
        <v>1672848</v>
      </c>
      <c r="T12" s="214">
        <v>1683501</v>
      </c>
    </row>
    <row r="13" spans="1:29">
      <c r="A13" s="213" t="s">
        <v>281</v>
      </c>
      <c r="B13" s="214">
        <v>911921</v>
      </c>
      <c r="C13" s="214">
        <v>983620</v>
      </c>
      <c r="D13" s="214">
        <v>1309646</v>
      </c>
      <c r="E13" s="214">
        <v>1474378</v>
      </c>
      <c r="F13" s="214">
        <v>1453602</v>
      </c>
      <c r="G13" s="214">
        <v>1278226</v>
      </c>
      <c r="H13" s="214">
        <v>1084348</v>
      </c>
      <c r="I13" s="214">
        <v>1007927</v>
      </c>
      <c r="J13" s="214">
        <v>925303</v>
      </c>
      <c r="K13" s="214">
        <v>927350</v>
      </c>
      <c r="L13" s="214">
        <v>979655</v>
      </c>
      <c r="M13" s="214">
        <v>1060955</v>
      </c>
      <c r="N13" s="214">
        <v>1145311</v>
      </c>
      <c r="O13" s="214">
        <v>1203588</v>
      </c>
      <c r="P13" s="214">
        <v>1282000</v>
      </c>
      <c r="Q13" s="214">
        <v>1238585</v>
      </c>
      <c r="R13" s="214">
        <v>1082055</v>
      </c>
      <c r="S13" s="214">
        <v>997743</v>
      </c>
      <c r="T13" s="214">
        <v>1034241</v>
      </c>
    </row>
    <row r="14" spans="1:29">
      <c r="A14" s="213" t="s">
        <v>282</v>
      </c>
      <c r="B14" s="214">
        <v>942735</v>
      </c>
      <c r="C14" s="214">
        <v>954177</v>
      </c>
      <c r="D14" s="214">
        <v>905279</v>
      </c>
      <c r="E14" s="214">
        <v>978035</v>
      </c>
      <c r="F14" s="214">
        <v>1302814</v>
      </c>
      <c r="G14" s="214">
        <v>1467905</v>
      </c>
      <c r="H14" s="214">
        <v>1456565</v>
      </c>
      <c r="I14" s="214">
        <v>1292484</v>
      </c>
      <c r="J14" s="214">
        <v>1074614</v>
      </c>
      <c r="K14" s="214">
        <v>987756</v>
      </c>
      <c r="L14" s="214">
        <v>946215</v>
      </c>
      <c r="M14" s="214">
        <v>944954</v>
      </c>
      <c r="N14" s="214">
        <v>987063</v>
      </c>
      <c r="O14" s="214">
        <v>1066754</v>
      </c>
      <c r="P14" s="214">
        <v>1143169</v>
      </c>
      <c r="Q14" s="214">
        <v>1200081</v>
      </c>
      <c r="R14" s="214">
        <v>1276439</v>
      </c>
      <c r="S14" s="214">
        <v>1230903</v>
      </c>
      <c r="T14" s="214">
        <v>1075083</v>
      </c>
    </row>
    <row r="15" spans="1:29">
      <c r="A15" s="213" t="s">
        <v>283</v>
      </c>
      <c r="B15" s="214">
        <v>1178753</v>
      </c>
      <c r="C15" s="214">
        <v>1251922</v>
      </c>
      <c r="D15" s="214">
        <v>1306878</v>
      </c>
      <c r="E15" s="214">
        <v>1401141</v>
      </c>
      <c r="F15" s="214">
        <v>1335685</v>
      </c>
      <c r="G15" s="214">
        <v>1440767</v>
      </c>
      <c r="H15" s="214">
        <v>1697266</v>
      </c>
      <c r="I15" s="214">
        <v>2031766</v>
      </c>
      <c r="J15" s="214">
        <v>2143897</v>
      </c>
      <c r="K15" s="214">
        <v>1964459</v>
      </c>
      <c r="L15" s="214">
        <v>1819283</v>
      </c>
      <c r="M15" s="214">
        <v>1567843</v>
      </c>
      <c r="N15" s="214">
        <v>1459699</v>
      </c>
      <c r="O15" s="214">
        <v>1417939</v>
      </c>
      <c r="P15" s="214">
        <v>1432033</v>
      </c>
      <c r="Q15" s="214">
        <v>1538076</v>
      </c>
      <c r="R15" s="214">
        <v>1629284</v>
      </c>
      <c r="S15" s="214">
        <v>1747405</v>
      </c>
      <c r="T15" s="214">
        <v>1836006</v>
      </c>
    </row>
    <row r="16" spans="1:29">
      <c r="A16" s="213" t="s">
        <v>284</v>
      </c>
      <c r="B16" s="214">
        <v>1584318</v>
      </c>
      <c r="C16" s="214">
        <v>1670428</v>
      </c>
      <c r="D16" s="214">
        <v>1734417</v>
      </c>
      <c r="E16" s="214">
        <v>1755527</v>
      </c>
      <c r="F16" s="214">
        <v>1849231</v>
      </c>
      <c r="G16" s="214">
        <v>1902710</v>
      </c>
      <c r="H16" s="214">
        <v>2035523</v>
      </c>
      <c r="I16" s="214">
        <v>2091464</v>
      </c>
      <c r="J16" s="214">
        <v>2188327</v>
      </c>
      <c r="K16" s="214">
        <v>2429747</v>
      </c>
      <c r="L16" s="214">
        <v>2810124</v>
      </c>
      <c r="M16" s="214">
        <v>2991518</v>
      </c>
      <c r="N16" s="214">
        <v>3127681</v>
      </c>
      <c r="O16" s="214">
        <v>3106409</v>
      </c>
      <c r="P16" s="214">
        <v>2879062</v>
      </c>
      <c r="Q16" s="214">
        <v>2625918</v>
      </c>
      <c r="R16" s="214">
        <v>2412033</v>
      </c>
      <c r="S16" s="214">
        <v>2354445</v>
      </c>
      <c r="T16" s="214">
        <v>2380990</v>
      </c>
    </row>
    <row r="17" spans="1:20" s="217" customFormat="1">
      <c r="A17" s="215" t="s">
        <v>240</v>
      </c>
      <c r="B17" s="216">
        <f t="shared" ref="B17:J17" si="2">SUM(B12:B16)</f>
        <v>6640529</v>
      </c>
      <c r="C17" s="216">
        <f t="shared" si="2"/>
        <v>7035515</v>
      </c>
      <c r="D17" s="216">
        <f t="shared" si="2"/>
        <v>7252302</v>
      </c>
      <c r="E17" s="216">
        <f t="shared" si="2"/>
        <v>7390681</v>
      </c>
      <c r="F17" s="216">
        <f t="shared" si="2"/>
        <v>7477412</v>
      </c>
      <c r="G17" s="216">
        <f t="shared" si="2"/>
        <v>7513475</v>
      </c>
      <c r="H17" s="216">
        <f t="shared" si="2"/>
        <v>7666873</v>
      </c>
      <c r="I17" s="216">
        <f t="shared" si="2"/>
        <v>7833985</v>
      </c>
      <c r="J17" s="216">
        <f t="shared" si="2"/>
        <v>7829455</v>
      </c>
      <c r="K17" s="216">
        <v>7927668</v>
      </c>
      <c r="L17" s="216">
        <v>8284876</v>
      </c>
      <c r="M17" s="216">
        <v>8382028</v>
      </c>
      <c r="N17" s="216">
        <v>8545556</v>
      </c>
      <c r="O17" s="216">
        <v>8530583</v>
      </c>
      <c r="P17" s="216">
        <v>8316907</v>
      </c>
      <c r="Q17" s="216">
        <v>8142315</v>
      </c>
      <c r="R17" s="216">
        <v>8014529</v>
      </c>
      <c r="S17" s="216">
        <v>8003344</v>
      </c>
      <c r="T17" s="216">
        <v>8009821</v>
      </c>
    </row>
    <row r="18" spans="1:20">
      <c r="A18" s="211" t="s">
        <v>273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</row>
    <row r="19" spans="1:20">
      <c r="A19" s="213" t="s">
        <v>280</v>
      </c>
      <c r="B19" s="214">
        <v>1696224</v>
      </c>
      <c r="C19" s="214">
        <v>1611504</v>
      </c>
      <c r="D19" s="214">
        <v>1502467</v>
      </c>
      <c r="E19" s="214">
        <v>1320456</v>
      </c>
      <c r="F19" s="214">
        <v>1227732</v>
      </c>
      <c r="G19" s="214">
        <v>1211421</v>
      </c>
      <c r="H19" s="214">
        <v>1299839</v>
      </c>
      <c r="I19" s="214">
        <v>1410469</v>
      </c>
      <c r="J19" s="214">
        <v>1468237</v>
      </c>
      <c r="K19" s="214">
        <v>1546092</v>
      </c>
      <c r="L19" s="214">
        <v>1507502</v>
      </c>
      <c r="M19" s="214">
        <v>1495785</v>
      </c>
      <c r="N19" s="214">
        <v>1413049</v>
      </c>
      <c r="O19" s="214">
        <v>1326259</v>
      </c>
      <c r="P19" s="214">
        <v>1179863</v>
      </c>
      <c r="Q19" s="214">
        <v>1133271</v>
      </c>
      <c r="R19" s="214">
        <v>1144365</v>
      </c>
      <c r="S19" s="214">
        <v>1239185</v>
      </c>
      <c r="T19" s="214">
        <v>1393090</v>
      </c>
    </row>
    <row r="20" spans="1:20">
      <c r="A20" s="213" t="s">
        <v>281</v>
      </c>
      <c r="B20" s="214">
        <v>1306591</v>
      </c>
      <c r="C20" s="214">
        <v>1158310</v>
      </c>
      <c r="D20" s="214">
        <v>1175932</v>
      </c>
      <c r="E20" s="214">
        <v>1140563</v>
      </c>
      <c r="F20" s="214">
        <v>1037683</v>
      </c>
      <c r="G20" s="214">
        <v>949255</v>
      </c>
      <c r="H20" s="214">
        <v>836855</v>
      </c>
      <c r="I20" s="214">
        <v>781775</v>
      </c>
      <c r="J20" s="214">
        <v>852728</v>
      </c>
      <c r="K20" s="214">
        <v>909727</v>
      </c>
      <c r="L20" s="214">
        <v>990192</v>
      </c>
      <c r="M20" s="214">
        <v>1047005</v>
      </c>
      <c r="N20" s="214">
        <v>1040764</v>
      </c>
      <c r="O20" s="214">
        <v>1015498</v>
      </c>
      <c r="P20" s="214">
        <v>1011209</v>
      </c>
      <c r="Q20" s="214">
        <v>943245</v>
      </c>
      <c r="R20" s="214">
        <v>819703</v>
      </c>
      <c r="S20" s="214">
        <v>753288</v>
      </c>
      <c r="T20" s="214">
        <v>743230</v>
      </c>
    </row>
    <row r="21" spans="1:20">
      <c r="A21" s="213" t="s">
        <v>282</v>
      </c>
      <c r="B21" s="214">
        <v>1444314</v>
      </c>
      <c r="C21" s="214">
        <v>1435456</v>
      </c>
      <c r="D21" s="214">
        <v>1304217</v>
      </c>
      <c r="E21" s="214">
        <v>1154535</v>
      </c>
      <c r="F21" s="214">
        <v>1171043</v>
      </c>
      <c r="G21" s="214">
        <v>1131161</v>
      </c>
      <c r="H21" s="214">
        <v>1034369</v>
      </c>
      <c r="I21" s="214">
        <v>957055</v>
      </c>
      <c r="J21" s="214">
        <v>819315</v>
      </c>
      <c r="K21" s="214">
        <v>759421</v>
      </c>
      <c r="L21" s="214">
        <v>875402</v>
      </c>
      <c r="M21" s="214">
        <v>933087</v>
      </c>
      <c r="N21" s="214">
        <v>994207</v>
      </c>
      <c r="O21" s="214">
        <v>1050507</v>
      </c>
      <c r="P21" s="214">
        <v>1041260</v>
      </c>
      <c r="Q21" s="214">
        <v>1011239</v>
      </c>
      <c r="R21" s="214">
        <v>1001878</v>
      </c>
      <c r="S21" s="214">
        <v>934054</v>
      </c>
      <c r="T21" s="214">
        <v>813324</v>
      </c>
    </row>
    <row r="22" spans="1:20">
      <c r="A22" s="213" t="s">
        <v>283</v>
      </c>
      <c r="B22" s="214">
        <v>1724645</v>
      </c>
      <c r="C22" s="214">
        <v>1936042</v>
      </c>
      <c r="D22" s="214">
        <v>2002171</v>
      </c>
      <c r="E22" s="214">
        <v>2126762</v>
      </c>
      <c r="F22" s="214">
        <v>1963734</v>
      </c>
      <c r="G22" s="214">
        <v>1848759</v>
      </c>
      <c r="H22" s="214">
        <v>1721850</v>
      </c>
      <c r="I22" s="214">
        <v>1711640</v>
      </c>
      <c r="J22" s="214">
        <v>1567485</v>
      </c>
      <c r="K22" s="214">
        <v>1437446</v>
      </c>
      <c r="L22" s="214">
        <v>1320806</v>
      </c>
      <c r="M22" s="214">
        <v>1240221</v>
      </c>
      <c r="N22" s="214">
        <v>1239937</v>
      </c>
      <c r="O22" s="214">
        <v>1335419</v>
      </c>
      <c r="P22" s="214">
        <v>1446732</v>
      </c>
      <c r="Q22" s="214">
        <v>1503759</v>
      </c>
      <c r="R22" s="214">
        <v>1550338</v>
      </c>
      <c r="S22" s="214">
        <v>1515911</v>
      </c>
      <c r="T22" s="214">
        <v>1499317</v>
      </c>
    </row>
    <row r="23" spans="1:20">
      <c r="A23" s="213" t="s">
        <v>284</v>
      </c>
      <c r="B23" s="214">
        <v>1776222</v>
      </c>
      <c r="C23" s="214">
        <v>1969800</v>
      </c>
      <c r="D23" s="214">
        <v>2221349</v>
      </c>
      <c r="E23" s="214">
        <v>2420160</v>
      </c>
      <c r="F23" s="214">
        <v>2690735</v>
      </c>
      <c r="G23" s="214">
        <v>2867329</v>
      </c>
      <c r="H23" s="214">
        <v>3101128</v>
      </c>
      <c r="I23" s="214">
        <v>3102514</v>
      </c>
      <c r="J23" s="214">
        <v>2993855</v>
      </c>
      <c r="K23" s="214">
        <v>2844090</v>
      </c>
      <c r="L23" s="214">
        <v>2840700</v>
      </c>
      <c r="M23" s="214">
        <v>2579431</v>
      </c>
      <c r="N23" s="214">
        <v>2484808</v>
      </c>
      <c r="O23" s="214">
        <v>2301044</v>
      </c>
      <c r="P23" s="214">
        <v>2152464</v>
      </c>
      <c r="Q23" s="214">
        <v>2098914</v>
      </c>
      <c r="R23" s="214">
        <v>2092872</v>
      </c>
      <c r="S23" s="214">
        <v>2150114</v>
      </c>
      <c r="T23" s="214">
        <v>2269173</v>
      </c>
    </row>
    <row r="24" spans="1:20" s="217" customFormat="1">
      <c r="A24" s="215" t="s">
        <v>240</v>
      </c>
      <c r="B24" s="216">
        <f t="shared" ref="B24:J24" si="3">SUM(B19:B23)</f>
        <v>7947996</v>
      </c>
      <c r="C24" s="216">
        <f t="shared" si="3"/>
        <v>8111112</v>
      </c>
      <c r="D24" s="216">
        <f t="shared" si="3"/>
        <v>8206136</v>
      </c>
      <c r="E24" s="216">
        <f t="shared" si="3"/>
        <v>8162476</v>
      </c>
      <c r="F24" s="216">
        <f t="shared" si="3"/>
        <v>8090927</v>
      </c>
      <c r="G24" s="216">
        <f t="shared" si="3"/>
        <v>8007925</v>
      </c>
      <c r="H24" s="216">
        <f t="shared" si="3"/>
        <v>7994041</v>
      </c>
      <c r="I24" s="216">
        <f t="shared" si="3"/>
        <v>7963453</v>
      </c>
      <c r="J24" s="216">
        <f t="shared" si="3"/>
        <v>7701620</v>
      </c>
      <c r="K24" s="216">
        <v>7496776</v>
      </c>
      <c r="L24" s="216">
        <v>7534602</v>
      </c>
      <c r="M24" s="216">
        <v>7295529</v>
      </c>
      <c r="N24" s="216">
        <v>7172765</v>
      </c>
      <c r="O24" s="216">
        <v>7028727</v>
      </c>
      <c r="P24" s="216">
        <v>6831528</v>
      </c>
      <c r="Q24" s="216">
        <v>6690428</v>
      </c>
      <c r="R24" s="216">
        <v>6609156</v>
      </c>
      <c r="S24" s="216">
        <v>6592552</v>
      </c>
      <c r="T24" s="216">
        <v>6718134</v>
      </c>
    </row>
    <row r="25" spans="1:20">
      <c r="A25" s="211" t="s">
        <v>257</v>
      </c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</row>
    <row r="26" spans="1:20">
      <c r="A26" s="213" t="s">
        <v>280</v>
      </c>
      <c r="B26" s="214">
        <v>1168538</v>
      </c>
      <c r="C26" s="214">
        <v>1239372</v>
      </c>
      <c r="D26" s="214">
        <v>1290501</v>
      </c>
      <c r="E26" s="214">
        <v>1338703</v>
      </c>
      <c r="F26" s="214">
        <v>1289339</v>
      </c>
      <c r="G26" s="214">
        <v>1268977</v>
      </c>
      <c r="H26" s="214">
        <v>1124198</v>
      </c>
      <c r="I26" s="214">
        <v>921358</v>
      </c>
      <c r="J26" s="214">
        <v>651318</v>
      </c>
      <c r="K26" s="214">
        <v>506446</v>
      </c>
      <c r="L26" s="214">
        <v>444171</v>
      </c>
      <c r="M26" s="214">
        <v>495460</v>
      </c>
      <c r="N26" s="214">
        <v>531659</v>
      </c>
      <c r="O26" s="214">
        <v>558012</v>
      </c>
      <c r="P26" s="214">
        <v>544304</v>
      </c>
      <c r="Q26" s="214">
        <v>583059</v>
      </c>
      <c r="R26" s="214">
        <v>643561</v>
      </c>
      <c r="S26" s="214">
        <v>714235</v>
      </c>
      <c r="T26" s="214">
        <v>758574</v>
      </c>
    </row>
    <row r="27" spans="1:20">
      <c r="A27" s="213" t="s">
        <v>281</v>
      </c>
      <c r="B27" s="214">
        <v>927456</v>
      </c>
      <c r="C27" s="214">
        <v>826849</v>
      </c>
      <c r="D27" s="214">
        <v>783078</v>
      </c>
      <c r="E27" s="214">
        <v>778066</v>
      </c>
      <c r="F27" s="214">
        <v>868246</v>
      </c>
      <c r="G27" s="214">
        <v>898336</v>
      </c>
      <c r="H27" s="214">
        <v>889734</v>
      </c>
      <c r="I27" s="214">
        <v>895450</v>
      </c>
      <c r="J27" s="214">
        <v>833013</v>
      </c>
      <c r="K27" s="214">
        <v>704027</v>
      </c>
      <c r="L27" s="214">
        <v>526498</v>
      </c>
      <c r="M27" s="214">
        <v>370736</v>
      </c>
      <c r="N27" s="214">
        <v>295872</v>
      </c>
      <c r="O27" s="214">
        <v>313764</v>
      </c>
      <c r="P27" s="214">
        <v>367738</v>
      </c>
      <c r="Q27" s="214">
        <v>384160</v>
      </c>
      <c r="R27" s="214">
        <v>364236</v>
      </c>
      <c r="S27" s="214">
        <v>373086</v>
      </c>
      <c r="T27" s="214">
        <v>407715</v>
      </c>
    </row>
    <row r="28" spans="1:20">
      <c r="A28" s="213" t="s">
        <v>282</v>
      </c>
      <c r="B28" s="214">
        <v>755595</v>
      </c>
      <c r="C28" s="214">
        <v>896016</v>
      </c>
      <c r="D28" s="214">
        <v>920586</v>
      </c>
      <c r="E28" s="214">
        <v>820346</v>
      </c>
      <c r="F28" s="214">
        <v>777245</v>
      </c>
      <c r="G28" s="214">
        <v>771461</v>
      </c>
      <c r="H28" s="214">
        <v>866960</v>
      </c>
      <c r="I28" s="214">
        <v>904241</v>
      </c>
      <c r="J28" s="214">
        <v>869632</v>
      </c>
      <c r="K28" s="214">
        <v>868253</v>
      </c>
      <c r="L28" s="214">
        <v>850315</v>
      </c>
      <c r="M28" s="214">
        <v>716843</v>
      </c>
      <c r="N28" s="214">
        <v>529769</v>
      </c>
      <c r="O28" s="214">
        <v>374722</v>
      </c>
      <c r="P28" s="214">
        <v>297586</v>
      </c>
      <c r="Q28" s="214">
        <v>313775</v>
      </c>
      <c r="R28" s="214">
        <v>367074</v>
      </c>
      <c r="S28" s="214">
        <v>383489</v>
      </c>
      <c r="T28" s="214">
        <v>364464</v>
      </c>
    </row>
    <row r="29" spans="1:20">
      <c r="A29" s="213" t="s">
        <v>283</v>
      </c>
      <c r="B29" s="214">
        <v>1069365</v>
      </c>
      <c r="C29" s="214">
        <v>1078616</v>
      </c>
      <c r="D29" s="214">
        <v>1089569</v>
      </c>
      <c r="E29" s="214">
        <v>1232354</v>
      </c>
      <c r="F29" s="214">
        <v>1288472</v>
      </c>
      <c r="G29" s="214">
        <v>1286695</v>
      </c>
      <c r="H29" s="214">
        <v>1184839</v>
      </c>
      <c r="I29" s="214">
        <v>1170120</v>
      </c>
      <c r="J29" s="214">
        <v>1199726</v>
      </c>
      <c r="K29" s="214">
        <v>1235852</v>
      </c>
      <c r="L29" s="214">
        <v>1350251</v>
      </c>
      <c r="M29" s="214">
        <v>1308310</v>
      </c>
      <c r="N29" s="214">
        <v>1289748</v>
      </c>
      <c r="O29" s="214">
        <v>1135574</v>
      </c>
      <c r="P29" s="214">
        <v>929799</v>
      </c>
      <c r="Q29" s="214">
        <v>670236</v>
      </c>
      <c r="R29" s="214">
        <v>519104</v>
      </c>
      <c r="S29" s="214">
        <v>458103</v>
      </c>
      <c r="T29" s="214">
        <v>512823</v>
      </c>
    </row>
    <row r="30" spans="1:20">
      <c r="A30" s="213" t="s">
        <v>284</v>
      </c>
      <c r="B30" s="214">
        <v>2063456</v>
      </c>
      <c r="C30" s="214">
        <v>1918912</v>
      </c>
      <c r="D30" s="214">
        <v>1826948</v>
      </c>
      <c r="E30" s="214">
        <v>1709024</v>
      </c>
      <c r="F30" s="214">
        <v>1626756</v>
      </c>
      <c r="G30" s="214">
        <v>1621113</v>
      </c>
      <c r="H30" s="214">
        <v>1827667</v>
      </c>
      <c r="I30" s="214">
        <v>1905854</v>
      </c>
      <c r="J30" s="214">
        <v>1862041</v>
      </c>
      <c r="K30" s="214">
        <v>1847071</v>
      </c>
      <c r="L30" s="214">
        <v>1958144</v>
      </c>
      <c r="M30" s="214">
        <v>1918953</v>
      </c>
      <c r="N30" s="214">
        <v>1930568</v>
      </c>
      <c r="O30" s="214">
        <v>1998269</v>
      </c>
      <c r="P30" s="214">
        <v>2053333</v>
      </c>
      <c r="Q30" s="214">
        <v>2073162</v>
      </c>
      <c r="R30" s="214">
        <v>1918165</v>
      </c>
      <c r="S30" s="214">
        <v>1719574</v>
      </c>
      <c r="T30" s="214">
        <v>1415128</v>
      </c>
    </row>
    <row r="31" spans="1:20" s="217" customFormat="1">
      <c r="A31" s="215" t="s">
        <v>240</v>
      </c>
      <c r="B31" s="216">
        <f t="shared" ref="B31:J31" si="4">SUM(B26:B30)</f>
        <v>5984410</v>
      </c>
      <c r="C31" s="216">
        <f t="shared" si="4"/>
        <v>5959765</v>
      </c>
      <c r="D31" s="216">
        <f t="shared" si="4"/>
        <v>5910682</v>
      </c>
      <c r="E31" s="216">
        <f t="shared" si="4"/>
        <v>5878493</v>
      </c>
      <c r="F31" s="216">
        <f t="shared" si="4"/>
        <v>5850058</v>
      </c>
      <c r="G31" s="216">
        <f t="shared" si="4"/>
        <v>5846582</v>
      </c>
      <c r="H31" s="216">
        <f t="shared" si="4"/>
        <v>5893398</v>
      </c>
      <c r="I31" s="216">
        <f t="shared" si="4"/>
        <v>5797023</v>
      </c>
      <c r="J31" s="216">
        <f t="shared" si="4"/>
        <v>5415730</v>
      </c>
      <c r="K31" s="216">
        <v>5161649</v>
      </c>
      <c r="L31" s="216">
        <v>5129379</v>
      </c>
      <c r="M31" s="216">
        <v>4810302</v>
      </c>
      <c r="N31" s="216">
        <v>4577616</v>
      </c>
      <c r="O31" s="216">
        <v>4380341</v>
      </c>
      <c r="P31" s="216">
        <v>4192760</v>
      </c>
      <c r="Q31" s="216">
        <v>4024392</v>
      </c>
      <c r="R31" s="216">
        <v>3812140</v>
      </c>
      <c r="S31" s="216">
        <v>3648487</v>
      </c>
      <c r="T31" s="216">
        <v>3458704</v>
      </c>
    </row>
    <row r="32" spans="1:20">
      <c r="A32" s="211" t="s">
        <v>258</v>
      </c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</row>
    <row r="33" spans="1:20">
      <c r="A33" s="213" t="s">
        <v>280</v>
      </c>
      <c r="B33" s="218">
        <v>182212</v>
      </c>
      <c r="C33" s="218">
        <v>245170</v>
      </c>
      <c r="D33" s="218">
        <v>328903</v>
      </c>
      <c r="E33" s="218">
        <v>424606</v>
      </c>
      <c r="F33" s="218">
        <v>477710</v>
      </c>
      <c r="G33" s="218">
        <v>525976</v>
      </c>
      <c r="H33" s="218">
        <v>576652</v>
      </c>
      <c r="I33" s="218">
        <v>662823</v>
      </c>
      <c r="J33" s="218">
        <v>690771</v>
      </c>
      <c r="K33" s="218">
        <v>668989</v>
      </c>
      <c r="L33" s="218">
        <v>560006</v>
      </c>
      <c r="M33" s="218">
        <v>473245</v>
      </c>
      <c r="N33" s="218">
        <v>451275</v>
      </c>
      <c r="O33" s="218">
        <v>425762</v>
      </c>
      <c r="P33" s="218">
        <v>396703</v>
      </c>
      <c r="Q33" s="218">
        <v>378003</v>
      </c>
      <c r="R33" s="218">
        <v>409509</v>
      </c>
      <c r="S33" s="218">
        <v>477083</v>
      </c>
      <c r="T33" s="218">
        <v>524577</v>
      </c>
    </row>
    <row r="34" spans="1:20">
      <c r="A34" s="213" t="s">
        <v>281</v>
      </c>
      <c r="B34" s="218">
        <v>44757</v>
      </c>
      <c r="C34" s="218">
        <v>79478</v>
      </c>
      <c r="D34" s="218">
        <v>127210</v>
      </c>
      <c r="E34" s="218">
        <v>133116</v>
      </c>
      <c r="F34" s="218">
        <v>189279</v>
      </c>
      <c r="G34" s="218">
        <v>273595</v>
      </c>
      <c r="H34" s="218">
        <v>312984</v>
      </c>
      <c r="I34" s="218">
        <v>347502</v>
      </c>
      <c r="J34" s="218">
        <v>383854</v>
      </c>
      <c r="K34" s="218">
        <v>417107</v>
      </c>
      <c r="L34" s="218">
        <v>492445</v>
      </c>
      <c r="M34" s="218">
        <v>515649</v>
      </c>
      <c r="N34" s="218">
        <v>414798</v>
      </c>
      <c r="O34" s="218">
        <v>336212</v>
      </c>
      <c r="P34" s="218">
        <v>312620</v>
      </c>
      <c r="Q34" s="218">
        <v>298588</v>
      </c>
      <c r="R34" s="218">
        <v>279571</v>
      </c>
      <c r="S34" s="218">
        <v>253289</v>
      </c>
      <c r="T34" s="218">
        <v>247993</v>
      </c>
    </row>
    <row r="35" spans="1:20">
      <c r="A35" s="213" t="s">
        <v>282</v>
      </c>
      <c r="B35" s="218">
        <v>52897</v>
      </c>
      <c r="C35" s="218">
        <v>46588</v>
      </c>
      <c r="D35" s="218">
        <v>45851</v>
      </c>
      <c r="E35" s="218">
        <v>81316</v>
      </c>
      <c r="F35" s="218">
        <v>130186</v>
      </c>
      <c r="G35" s="218">
        <v>136114</v>
      </c>
      <c r="H35" s="218">
        <v>192557</v>
      </c>
      <c r="I35" s="218">
        <v>278987</v>
      </c>
      <c r="J35" s="218">
        <v>309900</v>
      </c>
      <c r="K35" s="218">
        <v>342799</v>
      </c>
      <c r="L35" s="218">
        <v>397717</v>
      </c>
      <c r="M35" s="218">
        <v>428124</v>
      </c>
      <c r="N35" s="218">
        <v>497072</v>
      </c>
      <c r="O35" s="218">
        <v>521468</v>
      </c>
      <c r="P35" s="218">
        <v>417219</v>
      </c>
      <c r="Q35" s="218">
        <v>335730</v>
      </c>
      <c r="R35" s="218">
        <v>311033</v>
      </c>
      <c r="S35" s="218">
        <v>297364</v>
      </c>
      <c r="T35" s="218">
        <v>278739</v>
      </c>
    </row>
    <row r="36" spans="1:20">
      <c r="A36" s="213" t="s">
        <v>283</v>
      </c>
      <c r="B36" s="218">
        <v>157579</v>
      </c>
      <c r="C36" s="218">
        <v>123327</v>
      </c>
      <c r="D36" s="218">
        <v>88405</v>
      </c>
      <c r="E36" s="218">
        <v>79137</v>
      </c>
      <c r="F36" s="218">
        <v>69981</v>
      </c>
      <c r="G36" s="218">
        <v>108454</v>
      </c>
      <c r="H36" s="218">
        <v>155430</v>
      </c>
      <c r="I36" s="218">
        <v>201683</v>
      </c>
      <c r="J36" s="218">
        <v>259157</v>
      </c>
      <c r="K36" s="218">
        <v>333698</v>
      </c>
      <c r="L36" s="218">
        <v>447635</v>
      </c>
      <c r="M36" s="218">
        <v>507304</v>
      </c>
      <c r="N36" s="218">
        <v>564963</v>
      </c>
      <c r="O36" s="218">
        <v>615994</v>
      </c>
      <c r="P36" s="218">
        <v>703772</v>
      </c>
      <c r="Q36" s="218">
        <v>735347</v>
      </c>
      <c r="R36" s="218">
        <v>688970</v>
      </c>
      <c r="S36" s="218">
        <v>571392</v>
      </c>
      <c r="T36" s="218">
        <v>478861</v>
      </c>
    </row>
    <row r="37" spans="1:20">
      <c r="A37" s="213" t="s">
        <v>284</v>
      </c>
      <c r="B37" s="218">
        <v>297476</v>
      </c>
      <c r="C37" s="218">
        <v>298254</v>
      </c>
      <c r="D37" s="218">
        <v>301034</v>
      </c>
      <c r="E37" s="218">
        <v>278011</v>
      </c>
      <c r="F37" s="218">
        <v>244614</v>
      </c>
      <c r="G37" s="218">
        <v>199236</v>
      </c>
      <c r="H37" s="218">
        <v>168595</v>
      </c>
      <c r="I37" s="218">
        <v>139976</v>
      </c>
      <c r="J37" s="218">
        <v>160757</v>
      </c>
      <c r="K37" s="218">
        <v>197752</v>
      </c>
      <c r="L37" s="218">
        <v>255470</v>
      </c>
      <c r="M37" s="218">
        <v>353096</v>
      </c>
      <c r="N37" s="218">
        <v>478717</v>
      </c>
      <c r="O37" s="218">
        <v>582472</v>
      </c>
      <c r="P37" s="218">
        <v>693336</v>
      </c>
      <c r="Q37" s="218">
        <v>828427</v>
      </c>
      <c r="R37" s="218">
        <v>915034</v>
      </c>
      <c r="S37" s="218">
        <v>1031889</v>
      </c>
      <c r="T37" s="218">
        <v>1090318</v>
      </c>
    </row>
    <row r="38" spans="1:20" s="217" customFormat="1">
      <c r="A38" s="215" t="s">
        <v>240</v>
      </c>
      <c r="B38" s="216">
        <f t="shared" ref="B38:J38" si="5">SUM(B33:B37)</f>
        <v>734921</v>
      </c>
      <c r="C38" s="216">
        <f t="shared" si="5"/>
        <v>792817</v>
      </c>
      <c r="D38" s="216">
        <f t="shared" si="5"/>
        <v>891403</v>
      </c>
      <c r="E38" s="216">
        <f t="shared" si="5"/>
        <v>996186</v>
      </c>
      <c r="F38" s="216">
        <f t="shared" si="5"/>
        <v>1111770</v>
      </c>
      <c r="G38" s="216">
        <f t="shared" si="5"/>
        <v>1243375</v>
      </c>
      <c r="H38" s="216">
        <f t="shared" si="5"/>
        <v>1406218</v>
      </c>
      <c r="I38" s="216">
        <f t="shared" si="5"/>
        <v>1630971</v>
      </c>
      <c r="J38" s="216">
        <f t="shared" si="5"/>
        <v>1804439</v>
      </c>
      <c r="K38" s="216">
        <v>1960345</v>
      </c>
      <c r="L38" s="216">
        <v>2153273</v>
      </c>
      <c r="M38" s="216">
        <v>2277418</v>
      </c>
      <c r="N38" s="216">
        <v>2406825</v>
      </c>
      <c r="O38" s="216">
        <v>2481908</v>
      </c>
      <c r="P38" s="216">
        <v>2523650</v>
      </c>
      <c r="Q38" s="216">
        <v>2576095</v>
      </c>
      <c r="R38" s="216">
        <v>2604117</v>
      </c>
      <c r="S38" s="216">
        <v>2631017</v>
      </c>
      <c r="T38" s="216">
        <v>2620488</v>
      </c>
    </row>
    <row r="39" spans="1:20" s="217" customFormat="1">
      <c r="A39" s="211" t="s">
        <v>244</v>
      </c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</row>
    <row r="40" spans="1:20" s="217" customFormat="1">
      <c r="A40" s="213" t="s">
        <v>280</v>
      </c>
      <c r="B40" s="214">
        <v>200264</v>
      </c>
      <c r="C40" s="214">
        <v>212886</v>
      </c>
      <c r="D40" s="214">
        <v>220136</v>
      </c>
      <c r="E40" s="214">
        <v>211420</v>
      </c>
      <c r="F40" s="214">
        <v>210829</v>
      </c>
      <c r="G40" s="214">
        <v>220774</v>
      </c>
      <c r="H40" s="214">
        <v>270729</v>
      </c>
      <c r="I40" s="214">
        <v>315429</v>
      </c>
      <c r="J40" s="214">
        <v>308954</v>
      </c>
      <c r="K40" s="214">
        <v>280410</v>
      </c>
      <c r="L40" s="214">
        <v>240513</v>
      </c>
      <c r="M40" s="214">
        <v>248122</v>
      </c>
      <c r="N40" s="214">
        <v>267677</v>
      </c>
      <c r="O40" s="214">
        <v>252218</v>
      </c>
      <c r="P40" s="214">
        <v>203490</v>
      </c>
      <c r="Q40" s="214">
        <v>168248</v>
      </c>
      <c r="R40" s="214">
        <v>162884</v>
      </c>
      <c r="S40" s="214">
        <v>164855</v>
      </c>
      <c r="T40" s="214">
        <v>168232</v>
      </c>
    </row>
    <row r="41" spans="1:20">
      <c r="A41" s="213" t="s">
        <v>281</v>
      </c>
      <c r="B41" s="214">
        <v>92664</v>
      </c>
      <c r="C41" s="214">
        <v>103575</v>
      </c>
      <c r="D41" s="214">
        <v>137078</v>
      </c>
      <c r="E41" s="214">
        <v>142878</v>
      </c>
      <c r="F41" s="214">
        <v>141994</v>
      </c>
      <c r="G41" s="214">
        <v>157512</v>
      </c>
      <c r="H41" s="214">
        <v>141881</v>
      </c>
      <c r="I41" s="214">
        <v>134910</v>
      </c>
      <c r="J41" s="214">
        <v>168533</v>
      </c>
      <c r="K41" s="214">
        <v>203779</v>
      </c>
      <c r="L41" s="214">
        <v>235796</v>
      </c>
      <c r="M41" s="214">
        <v>217177</v>
      </c>
      <c r="N41" s="214">
        <v>170566</v>
      </c>
      <c r="O41" s="214">
        <v>156568</v>
      </c>
      <c r="P41" s="214">
        <v>182980</v>
      </c>
      <c r="Q41" s="214">
        <v>198617</v>
      </c>
      <c r="R41" s="214">
        <v>153883</v>
      </c>
      <c r="S41" s="214">
        <v>111456</v>
      </c>
      <c r="T41" s="214">
        <v>111609</v>
      </c>
    </row>
    <row r="42" spans="1:20">
      <c r="A42" s="213" t="s">
        <v>282</v>
      </c>
      <c r="B42" s="214">
        <v>130155</v>
      </c>
      <c r="C42" s="214">
        <v>107566</v>
      </c>
      <c r="D42" s="214">
        <v>93344</v>
      </c>
      <c r="E42" s="214">
        <v>104155</v>
      </c>
      <c r="F42" s="214">
        <v>138119</v>
      </c>
      <c r="G42" s="214">
        <v>143152</v>
      </c>
      <c r="H42" s="214">
        <v>142545</v>
      </c>
      <c r="I42" s="214">
        <v>159608</v>
      </c>
      <c r="J42" s="214">
        <v>139245</v>
      </c>
      <c r="K42" s="214">
        <v>132461</v>
      </c>
      <c r="L42" s="214">
        <v>176203</v>
      </c>
      <c r="M42" s="214">
        <v>212137</v>
      </c>
      <c r="N42" s="214">
        <v>239662</v>
      </c>
      <c r="O42" s="214">
        <v>221744</v>
      </c>
      <c r="P42" s="214">
        <v>173387</v>
      </c>
      <c r="Q42" s="214">
        <v>157979</v>
      </c>
      <c r="R42" s="214">
        <v>183427</v>
      </c>
      <c r="S42" s="214">
        <v>198424</v>
      </c>
      <c r="T42" s="214">
        <v>153723</v>
      </c>
    </row>
    <row r="43" spans="1:20">
      <c r="A43" s="213" t="s">
        <v>283</v>
      </c>
      <c r="B43" s="214">
        <v>230887</v>
      </c>
      <c r="C43" s="214">
        <v>223651</v>
      </c>
      <c r="D43" s="214">
        <v>197169</v>
      </c>
      <c r="E43" s="214">
        <v>180420</v>
      </c>
      <c r="F43" s="214">
        <v>148780</v>
      </c>
      <c r="G43" s="214">
        <v>154375</v>
      </c>
      <c r="H43" s="214">
        <v>181039</v>
      </c>
      <c r="I43" s="214">
        <v>207789</v>
      </c>
      <c r="J43" s="214">
        <v>211377</v>
      </c>
      <c r="K43" s="214">
        <v>216579</v>
      </c>
      <c r="L43" s="214">
        <v>218594</v>
      </c>
      <c r="M43" s="214">
        <v>220452</v>
      </c>
      <c r="N43" s="214">
        <v>236193</v>
      </c>
      <c r="O43" s="214">
        <v>291079</v>
      </c>
      <c r="P43" s="214">
        <v>338866</v>
      </c>
      <c r="Q43" s="214">
        <v>335582</v>
      </c>
      <c r="R43" s="214">
        <v>299329</v>
      </c>
      <c r="S43" s="214">
        <v>253594</v>
      </c>
      <c r="T43" s="214">
        <v>260548</v>
      </c>
    </row>
    <row r="44" spans="1:20">
      <c r="A44" s="213" t="s">
        <v>284</v>
      </c>
      <c r="B44" s="218">
        <v>529170</v>
      </c>
      <c r="C44" s="218">
        <v>506569</v>
      </c>
      <c r="D44" s="218">
        <v>459880</v>
      </c>
      <c r="E44" s="218">
        <v>403438</v>
      </c>
      <c r="F44" s="218">
        <v>371847</v>
      </c>
      <c r="G44" s="218">
        <v>332994</v>
      </c>
      <c r="H44" s="218">
        <v>312930</v>
      </c>
      <c r="I44" s="218">
        <v>281261</v>
      </c>
      <c r="J44" s="218">
        <v>262144</v>
      </c>
      <c r="K44" s="218">
        <v>263739</v>
      </c>
      <c r="L44" s="218">
        <v>295909</v>
      </c>
      <c r="M44" s="218">
        <v>316993</v>
      </c>
      <c r="N44" s="218">
        <v>355796</v>
      </c>
      <c r="O44" s="218">
        <v>352922</v>
      </c>
      <c r="P44" s="218">
        <v>354839</v>
      </c>
      <c r="Q44" s="218">
        <v>387161</v>
      </c>
      <c r="R44" s="218">
        <v>426568</v>
      </c>
      <c r="S44" s="218">
        <v>470220</v>
      </c>
      <c r="T44" s="218">
        <v>502596</v>
      </c>
    </row>
    <row r="45" spans="1:20">
      <c r="A45" s="215" t="s">
        <v>240</v>
      </c>
      <c r="B45" s="216">
        <f t="shared" ref="B45:J45" si="6">SUM(B40:B44)</f>
        <v>1183140</v>
      </c>
      <c r="C45" s="216">
        <f t="shared" si="6"/>
        <v>1154247</v>
      </c>
      <c r="D45" s="216">
        <f t="shared" si="6"/>
        <v>1107607</v>
      </c>
      <c r="E45" s="216">
        <f t="shared" si="6"/>
        <v>1042311</v>
      </c>
      <c r="F45" s="216">
        <f t="shared" si="6"/>
        <v>1011569</v>
      </c>
      <c r="G45" s="216">
        <f t="shared" si="6"/>
        <v>1008807</v>
      </c>
      <c r="H45" s="216">
        <f t="shared" si="6"/>
        <v>1049124</v>
      </c>
      <c r="I45" s="216">
        <f t="shared" si="6"/>
        <v>1098997</v>
      </c>
      <c r="J45" s="216">
        <f t="shared" si="6"/>
        <v>1090253</v>
      </c>
      <c r="K45" s="216">
        <v>1096968</v>
      </c>
      <c r="L45" s="216">
        <v>1167015</v>
      </c>
      <c r="M45" s="216">
        <v>1214881</v>
      </c>
      <c r="N45" s="216">
        <v>1269894</v>
      </c>
      <c r="O45" s="216">
        <v>1274531</v>
      </c>
      <c r="P45" s="216">
        <v>1253562</v>
      </c>
      <c r="Q45" s="216">
        <v>1247587</v>
      </c>
      <c r="R45" s="216">
        <v>1226091</v>
      </c>
      <c r="S45" s="216">
        <v>1198549</v>
      </c>
      <c r="T45" s="216">
        <v>1196708</v>
      </c>
    </row>
    <row r="46" spans="1:20">
      <c r="A46" s="211" t="s">
        <v>285</v>
      </c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</row>
    <row r="47" spans="1:20">
      <c r="A47" s="213" t="s">
        <v>280</v>
      </c>
      <c r="B47" s="214">
        <v>178071</v>
      </c>
      <c r="C47" s="214">
        <v>177112</v>
      </c>
      <c r="D47" s="214">
        <v>191478</v>
      </c>
      <c r="E47" s="214">
        <v>214991</v>
      </c>
      <c r="F47" s="214">
        <v>234387</v>
      </c>
      <c r="G47" s="214">
        <v>237128</v>
      </c>
      <c r="H47" s="214">
        <v>219131</v>
      </c>
      <c r="I47" s="214">
        <v>220314</v>
      </c>
      <c r="J47" s="214">
        <v>216253</v>
      </c>
      <c r="K47" s="214">
        <v>215601</v>
      </c>
      <c r="L47" s="214">
        <v>187965</v>
      </c>
      <c r="M47" s="214">
        <v>185676</v>
      </c>
      <c r="N47" s="214">
        <v>194663</v>
      </c>
      <c r="O47" s="214">
        <v>192239</v>
      </c>
      <c r="P47" s="214">
        <v>175150</v>
      </c>
      <c r="Q47" s="214">
        <v>170927</v>
      </c>
      <c r="R47" s="214">
        <v>196197</v>
      </c>
      <c r="S47" s="214">
        <v>244185</v>
      </c>
      <c r="T47" s="214">
        <v>268943</v>
      </c>
    </row>
    <row r="48" spans="1:20">
      <c r="A48" s="213" t="s">
        <v>281</v>
      </c>
      <c r="B48" s="214">
        <v>153541</v>
      </c>
      <c r="C48" s="214">
        <v>143943</v>
      </c>
      <c r="D48" s="214">
        <v>127515</v>
      </c>
      <c r="E48" s="214">
        <v>117305</v>
      </c>
      <c r="F48" s="214">
        <v>126498</v>
      </c>
      <c r="G48" s="214">
        <v>140160</v>
      </c>
      <c r="H48" s="214">
        <v>159058</v>
      </c>
      <c r="I48" s="214">
        <v>174430</v>
      </c>
      <c r="J48" s="214">
        <v>162361</v>
      </c>
      <c r="K48" s="214">
        <v>139183</v>
      </c>
      <c r="L48" s="214">
        <v>156122</v>
      </c>
      <c r="M48" s="214">
        <v>165613</v>
      </c>
      <c r="N48" s="214">
        <v>135669</v>
      </c>
      <c r="O48" s="214">
        <v>123410</v>
      </c>
      <c r="P48" s="214">
        <v>135054</v>
      </c>
      <c r="Q48" s="214">
        <v>143059</v>
      </c>
      <c r="R48" s="214">
        <v>126526</v>
      </c>
      <c r="S48" s="214">
        <v>112263</v>
      </c>
      <c r="T48" s="214">
        <v>121057</v>
      </c>
    </row>
    <row r="49" spans="1:20">
      <c r="A49" s="213" t="s">
        <v>282</v>
      </c>
      <c r="B49" s="214">
        <v>150039</v>
      </c>
      <c r="C49" s="214">
        <v>156253</v>
      </c>
      <c r="D49" s="214">
        <v>156946</v>
      </c>
      <c r="E49" s="214">
        <v>146388</v>
      </c>
      <c r="F49" s="214">
        <v>130094</v>
      </c>
      <c r="G49" s="214">
        <v>119490</v>
      </c>
      <c r="H49" s="214">
        <v>128985</v>
      </c>
      <c r="I49" s="214">
        <v>144182</v>
      </c>
      <c r="J49" s="214">
        <v>158745</v>
      </c>
      <c r="K49" s="214">
        <v>173572</v>
      </c>
      <c r="L49" s="214">
        <v>170622</v>
      </c>
      <c r="M49" s="214">
        <v>145374</v>
      </c>
      <c r="N49" s="214">
        <v>160448</v>
      </c>
      <c r="O49" s="214">
        <v>171280</v>
      </c>
      <c r="P49" s="214">
        <v>139065</v>
      </c>
      <c r="Q49" s="214">
        <v>124875</v>
      </c>
      <c r="R49" s="214">
        <v>135869</v>
      </c>
      <c r="S49" s="214">
        <v>144270</v>
      </c>
      <c r="T49" s="214">
        <v>128530</v>
      </c>
    </row>
    <row r="50" spans="1:20">
      <c r="A50" s="213" t="s">
        <v>283</v>
      </c>
      <c r="B50" s="214">
        <v>250457</v>
      </c>
      <c r="C50" s="214">
        <v>252057</v>
      </c>
      <c r="D50" s="214">
        <v>244453</v>
      </c>
      <c r="E50" s="214">
        <v>235889</v>
      </c>
      <c r="F50" s="214">
        <v>235370</v>
      </c>
      <c r="G50" s="214">
        <v>229385</v>
      </c>
      <c r="H50" s="214">
        <v>209323</v>
      </c>
      <c r="I50" s="214">
        <v>195950</v>
      </c>
      <c r="J50" s="214">
        <v>186025</v>
      </c>
      <c r="K50" s="214">
        <v>198703</v>
      </c>
      <c r="L50" s="214">
        <v>238549</v>
      </c>
      <c r="M50" s="214">
        <v>260609</v>
      </c>
      <c r="N50" s="214">
        <v>263470</v>
      </c>
      <c r="O50" s="214">
        <v>240623</v>
      </c>
      <c r="P50" s="214">
        <v>242673</v>
      </c>
      <c r="Q50" s="214">
        <v>239909</v>
      </c>
      <c r="R50" s="214">
        <v>235189</v>
      </c>
      <c r="S50" s="214">
        <v>202642</v>
      </c>
      <c r="T50" s="214">
        <v>198186</v>
      </c>
    </row>
    <row r="51" spans="1:20">
      <c r="A51" s="213" t="s">
        <v>284</v>
      </c>
      <c r="B51" s="218">
        <v>312137</v>
      </c>
      <c r="C51" s="218">
        <v>337532</v>
      </c>
      <c r="D51" s="218">
        <v>369727</v>
      </c>
      <c r="E51" s="218">
        <v>397414</v>
      </c>
      <c r="F51" s="218">
        <v>402435</v>
      </c>
      <c r="G51" s="218">
        <v>391809</v>
      </c>
      <c r="H51" s="218">
        <v>402306</v>
      </c>
      <c r="I51" s="218">
        <v>398549</v>
      </c>
      <c r="J51" s="218">
        <v>364427</v>
      </c>
      <c r="K51" s="218">
        <v>344831</v>
      </c>
      <c r="L51" s="218">
        <v>357501</v>
      </c>
      <c r="M51" s="218">
        <v>345439</v>
      </c>
      <c r="N51" s="218">
        <v>348006</v>
      </c>
      <c r="O51" s="218">
        <v>368569</v>
      </c>
      <c r="P51" s="218">
        <v>399316</v>
      </c>
      <c r="Q51" s="218">
        <v>416838</v>
      </c>
      <c r="R51" s="218">
        <v>412339</v>
      </c>
      <c r="S51" s="218">
        <v>426518</v>
      </c>
      <c r="T51" s="218">
        <v>410978</v>
      </c>
    </row>
    <row r="52" spans="1:20">
      <c r="A52" s="215" t="s">
        <v>240</v>
      </c>
      <c r="B52" s="216">
        <f t="shared" ref="B52:J52" si="7">SUM(B47:B51)</f>
        <v>1044245</v>
      </c>
      <c r="C52" s="216">
        <f t="shared" si="7"/>
        <v>1066897</v>
      </c>
      <c r="D52" s="216">
        <f t="shared" si="7"/>
        <v>1090119</v>
      </c>
      <c r="E52" s="216">
        <f t="shared" si="7"/>
        <v>1111987</v>
      </c>
      <c r="F52" s="216">
        <f t="shared" si="7"/>
        <v>1128784</v>
      </c>
      <c r="G52" s="216">
        <f t="shared" si="7"/>
        <v>1117972</v>
      </c>
      <c r="H52" s="216">
        <f t="shared" si="7"/>
        <v>1118803</v>
      </c>
      <c r="I52" s="216">
        <f t="shared" si="7"/>
        <v>1133425</v>
      </c>
      <c r="J52" s="216">
        <f t="shared" si="7"/>
        <v>1087811</v>
      </c>
      <c r="K52" s="216">
        <v>1071890</v>
      </c>
      <c r="L52" s="216">
        <v>1110759</v>
      </c>
      <c r="M52" s="216">
        <v>1102711</v>
      </c>
      <c r="N52" s="216">
        <v>1102256</v>
      </c>
      <c r="O52" s="216">
        <v>1096121</v>
      </c>
      <c r="P52" s="216">
        <v>1091258</v>
      </c>
      <c r="Q52" s="216">
        <v>1095608</v>
      </c>
      <c r="R52" s="216">
        <v>1106120</v>
      </c>
      <c r="S52" s="216">
        <v>1129878</v>
      </c>
      <c r="T52" s="216">
        <v>1127694</v>
      </c>
    </row>
    <row r="53" spans="1:20">
      <c r="A53" s="211" t="s">
        <v>286</v>
      </c>
      <c r="B53" s="218"/>
      <c r="C53" s="218"/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</row>
    <row r="54" spans="1:20">
      <c r="A54" s="213" t="s">
        <v>280</v>
      </c>
      <c r="B54" s="218">
        <v>113502</v>
      </c>
      <c r="C54" s="218">
        <v>138522</v>
      </c>
      <c r="D54" s="218">
        <v>159563</v>
      </c>
      <c r="E54" s="218">
        <v>174497</v>
      </c>
      <c r="F54" s="218">
        <v>180433</v>
      </c>
      <c r="G54" s="218">
        <v>199665</v>
      </c>
      <c r="H54" s="218">
        <v>234546</v>
      </c>
      <c r="I54" s="218">
        <v>282017</v>
      </c>
      <c r="J54" s="218">
        <v>272463</v>
      </c>
      <c r="K54" s="218">
        <v>240931</v>
      </c>
      <c r="L54" s="218">
        <v>189573</v>
      </c>
      <c r="M54" s="218">
        <v>195468</v>
      </c>
      <c r="N54" s="218">
        <v>203689</v>
      </c>
      <c r="O54" s="218">
        <v>187333</v>
      </c>
      <c r="P54" s="218">
        <v>159071</v>
      </c>
      <c r="Q54" s="218">
        <v>144415</v>
      </c>
      <c r="R54" s="218">
        <v>162933</v>
      </c>
      <c r="S54" s="218">
        <v>176903</v>
      </c>
      <c r="T54" s="218">
        <v>182408</v>
      </c>
    </row>
    <row r="55" spans="1:20">
      <c r="A55" s="213" t="s">
        <v>281</v>
      </c>
      <c r="B55" s="214">
        <v>61031</v>
      </c>
      <c r="C55" s="214">
        <v>70171</v>
      </c>
      <c r="D55" s="214">
        <v>74720</v>
      </c>
      <c r="E55" s="214">
        <v>87217</v>
      </c>
      <c r="F55" s="214">
        <v>109982</v>
      </c>
      <c r="G55" s="214">
        <v>121226</v>
      </c>
      <c r="H55" s="214">
        <v>125860</v>
      </c>
      <c r="I55" s="214">
        <v>136524</v>
      </c>
      <c r="J55" s="214">
        <v>148552</v>
      </c>
      <c r="K55" s="214">
        <v>182041</v>
      </c>
      <c r="L55" s="214">
        <v>228484</v>
      </c>
      <c r="M55" s="214">
        <v>198191</v>
      </c>
      <c r="N55" s="214">
        <v>142268</v>
      </c>
      <c r="O55" s="214">
        <v>137482</v>
      </c>
      <c r="P55" s="214">
        <v>146927</v>
      </c>
      <c r="Q55" s="214">
        <v>150891</v>
      </c>
      <c r="R55" s="214">
        <v>123172</v>
      </c>
      <c r="S55" s="214">
        <v>100065</v>
      </c>
      <c r="T55" s="214">
        <v>108338</v>
      </c>
    </row>
    <row r="56" spans="1:20">
      <c r="A56" s="213" t="s">
        <v>282</v>
      </c>
      <c r="B56" s="214">
        <v>56179</v>
      </c>
      <c r="C56" s="214">
        <v>55416</v>
      </c>
      <c r="D56" s="214">
        <v>63629</v>
      </c>
      <c r="E56" s="214">
        <v>72563</v>
      </c>
      <c r="F56" s="214">
        <v>77040</v>
      </c>
      <c r="G56" s="214">
        <v>89785</v>
      </c>
      <c r="H56" s="214">
        <v>113756</v>
      </c>
      <c r="I56" s="214">
        <v>126158</v>
      </c>
      <c r="J56" s="214">
        <v>126922</v>
      </c>
      <c r="K56" s="214">
        <v>139000</v>
      </c>
      <c r="L56" s="214">
        <v>162980</v>
      </c>
      <c r="M56" s="214">
        <v>197635</v>
      </c>
      <c r="N56" s="214">
        <v>245025</v>
      </c>
      <c r="O56" s="214">
        <v>215438</v>
      </c>
      <c r="P56" s="214">
        <v>153416</v>
      </c>
      <c r="Q56" s="214">
        <v>145208</v>
      </c>
      <c r="R56" s="214">
        <v>153931</v>
      </c>
      <c r="S56" s="214">
        <v>157312</v>
      </c>
      <c r="T56" s="214">
        <v>129400</v>
      </c>
    </row>
    <row r="57" spans="1:20">
      <c r="A57" s="213" t="s">
        <v>283</v>
      </c>
      <c r="B57" s="214">
        <v>111793</v>
      </c>
      <c r="C57" s="214">
        <v>104705</v>
      </c>
      <c r="D57" s="214">
        <v>96771</v>
      </c>
      <c r="E57" s="214">
        <v>89154</v>
      </c>
      <c r="F57" s="214">
        <v>94244</v>
      </c>
      <c r="G57" s="214">
        <v>103827</v>
      </c>
      <c r="H57" s="214">
        <v>116381</v>
      </c>
      <c r="I57" s="214">
        <v>134123</v>
      </c>
      <c r="J57" s="214">
        <v>153789</v>
      </c>
      <c r="K57" s="214">
        <v>173871</v>
      </c>
      <c r="L57" s="214">
        <v>205379</v>
      </c>
      <c r="M57" s="214">
        <v>218611</v>
      </c>
      <c r="N57" s="214">
        <v>246346</v>
      </c>
      <c r="O57" s="214">
        <v>290126</v>
      </c>
      <c r="P57" s="214">
        <v>350291</v>
      </c>
      <c r="Q57" s="214">
        <v>344873</v>
      </c>
      <c r="R57" s="214">
        <v>303400</v>
      </c>
      <c r="S57" s="214">
        <v>238769</v>
      </c>
      <c r="T57" s="214">
        <v>236592</v>
      </c>
    </row>
    <row r="58" spans="1:20">
      <c r="A58" s="213" t="s">
        <v>284</v>
      </c>
      <c r="B58" s="218">
        <v>170146</v>
      </c>
      <c r="C58" s="218">
        <v>181411</v>
      </c>
      <c r="D58" s="218">
        <v>190281</v>
      </c>
      <c r="E58" s="218">
        <v>194613</v>
      </c>
      <c r="F58" s="218">
        <v>186763</v>
      </c>
      <c r="G58" s="218">
        <v>174379</v>
      </c>
      <c r="H58" s="218">
        <v>167747</v>
      </c>
      <c r="I58" s="218">
        <v>167581</v>
      </c>
      <c r="J58" s="218">
        <v>161513</v>
      </c>
      <c r="K58" s="218">
        <v>170809</v>
      </c>
      <c r="L58" s="218">
        <v>214408</v>
      </c>
      <c r="M58" s="218">
        <v>251472</v>
      </c>
      <c r="N58" s="218">
        <v>280691</v>
      </c>
      <c r="O58" s="218">
        <v>317599</v>
      </c>
      <c r="P58" s="218">
        <v>356477</v>
      </c>
      <c r="Q58" s="218">
        <v>396253</v>
      </c>
      <c r="R58" s="218">
        <v>451961</v>
      </c>
      <c r="S58" s="218">
        <v>531825</v>
      </c>
      <c r="T58" s="218">
        <v>544459</v>
      </c>
    </row>
    <row r="59" spans="1:20">
      <c r="A59" s="215" t="s">
        <v>240</v>
      </c>
      <c r="B59" s="216">
        <f t="shared" ref="B59:J59" si="8">SUM(B54:B58)</f>
        <v>512651</v>
      </c>
      <c r="C59" s="216">
        <f t="shared" si="8"/>
        <v>550225</v>
      </c>
      <c r="D59" s="216">
        <f t="shared" si="8"/>
        <v>584964</v>
      </c>
      <c r="E59" s="216">
        <f t="shared" si="8"/>
        <v>618044</v>
      </c>
      <c r="F59" s="216">
        <f t="shared" si="8"/>
        <v>648462</v>
      </c>
      <c r="G59" s="216">
        <f t="shared" si="8"/>
        <v>688882</v>
      </c>
      <c r="H59" s="216">
        <f t="shared" si="8"/>
        <v>758290</v>
      </c>
      <c r="I59" s="216">
        <f t="shared" si="8"/>
        <v>846403</v>
      </c>
      <c r="J59" s="216">
        <f t="shared" si="8"/>
        <v>863239</v>
      </c>
      <c r="K59" s="216">
        <v>906652</v>
      </c>
      <c r="L59" s="216">
        <v>1000824</v>
      </c>
      <c r="M59" s="216">
        <v>1061377</v>
      </c>
      <c r="N59" s="216">
        <v>1118019</v>
      </c>
      <c r="O59" s="216">
        <v>1147978</v>
      </c>
      <c r="P59" s="216">
        <v>1166182</v>
      </c>
      <c r="Q59" s="216">
        <v>1181640</v>
      </c>
      <c r="R59" s="216">
        <v>1195397</v>
      </c>
      <c r="S59" s="216">
        <v>1204874</v>
      </c>
      <c r="T59" s="216">
        <v>1201197</v>
      </c>
    </row>
    <row r="60" spans="1:20">
      <c r="A60" s="211" t="s">
        <v>287</v>
      </c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</row>
    <row r="61" spans="1:20">
      <c r="A61" s="213" t="s">
        <v>280</v>
      </c>
      <c r="B61" s="214">
        <v>206</v>
      </c>
      <c r="C61" s="214">
        <v>313</v>
      </c>
      <c r="D61" s="214">
        <v>960</v>
      </c>
      <c r="E61" s="214">
        <v>589</v>
      </c>
      <c r="F61" s="214">
        <v>350</v>
      </c>
      <c r="G61" s="214">
        <v>486</v>
      </c>
      <c r="H61" s="214">
        <v>610</v>
      </c>
      <c r="I61" s="214">
        <v>477</v>
      </c>
      <c r="J61" s="214">
        <v>353</v>
      </c>
      <c r="K61" s="214">
        <v>335</v>
      </c>
      <c r="L61" s="214">
        <v>155</v>
      </c>
      <c r="M61" s="214">
        <v>81</v>
      </c>
      <c r="N61" s="214">
        <v>11</v>
      </c>
      <c r="O61" s="214">
        <v>5</v>
      </c>
      <c r="P61" s="214">
        <v>3</v>
      </c>
      <c r="Q61" s="214">
        <v>1</v>
      </c>
      <c r="R61" s="214">
        <v>4</v>
      </c>
      <c r="S61" s="214">
        <v>6</v>
      </c>
      <c r="T61" s="214">
        <v>8</v>
      </c>
    </row>
    <row r="62" spans="1:20">
      <c r="A62" s="213" t="s">
        <v>281</v>
      </c>
      <c r="B62" s="214">
        <v>196</v>
      </c>
      <c r="C62" s="214">
        <v>206</v>
      </c>
      <c r="D62" s="214">
        <v>337</v>
      </c>
      <c r="E62" s="214">
        <v>684</v>
      </c>
      <c r="F62" s="214">
        <v>928</v>
      </c>
      <c r="G62" s="214">
        <v>612</v>
      </c>
      <c r="H62" s="214">
        <v>520</v>
      </c>
      <c r="I62" s="214">
        <v>572</v>
      </c>
      <c r="J62" s="214">
        <v>597</v>
      </c>
      <c r="K62" s="214">
        <v>521</v>
      </c>
      <c r="L62" s="214">
        <v>287</v>
      </c>
      <c r="M62" s="214">
        <v>178</v>
      </c>
      <c r="N62" s="214">
        <v>133</v>
      </c>
      <c r="O62" s="214">
        <v>71</v>
      </c>
      <c r="P62" s="214">
        <v>8</v>
      </c>
      <c r="Q62" s="214">
        <v>5</v>
      </c>
      <c r="R62" s="214">
        <v>2</v>
      </c>
      <c r="S62" s="214">
        <v>1</v>
      </c>
      <c r="T62" s="214">
        <v>1</v>
      </c>
    </row>
    <row r="63" spans="1:20">
      <c r="A63" s="213" t="s">
        <v>282</v>
      </c>
      <c r="B63" s="214">
        <v>259</v>
      </c>
      <c r="C63" s="214">
        <v>296</v>
      </c>
      <c r="D63" s="214">
        <v>249</v>
      </c>
      <c r="E63" s="214">
        <v>309</v>
      </c>
      <c r="F63" s="214">
        <v>457</v>
      </c>
      <c r="G63" s="214">
        <v>778</v>
      </c>
      <c r="H63" s="214">
        <v>1114</v>
      </c>
      <c r="I63" s="214">
        <v>827</v>
      </c>
      <c r="J63" s="214">
        <v>598</v>
      </c>
      <c r="K63" s="214">
        <v>634</v>
      </c>
      <c r="L63" s="214">
        <v>515</v>
      </c>
      <c r="M63" s="214">
        <v>371</v>
      </c>
      <c r="N63" s="214">
        <v>226</v>
      </c>
      <c r="O63" s="214">
        <v>151</v>
      </c>
      <c r="P63" s="214">
        <v>114</v>
      </c>
      <c r="Q63" s="214">
        <v>63</v>
      </c>
      <c r="R63" s="214">
        <v>9</v>
      </c>
      <c r="S63" s="214">
        <v>6</v>
      </c>
      <c r="T63" s="214">
        <v>3</v>
      </c>
    </row>
    <row r="64" spans="1:20">
      <c r="A64" s="213" t="s">
        <v>283</v>
      </c>
      <c r="B64" s="214">
        <v>657</v>
      </c>
      <c r="C64" s="214">
        <v>540</v>
      </c>
      <c r="D64" s="214">
        <v>478</v>
      </c>
      <c r="E64" s="214">
        <v>536</v>
      </c>
      <c r="F64" s="214">
        <v>559</v>
      </c>
      <c r="G64" s="214">
        <v>664</v>
      </c>
      <c r="H64" s="214">
        <v>1028</v>
      </c>
      <c r="I64" s="214">
        <v>1391</v>
      </c>
      <c r="J64" s="214">
        <v>1551</v>
      </c>
      <c r="K64" s="214">
        <v>1488</v>
      </c>
      <c r="L64" s="214">
        <v>1010</v>
      </c>
      <c r="M64" s="214">
        <v>711</v>
      </c>
      <c r="N64" s="214">
        <v>636</v>
      </c>
      <c r="O64" s="214">
        <v>522</v>
      </c>
      <c r="P64" s="214">
        <v>386</v>
      </c>
      <c r="Q64" s="214">
        <v>244</v>
      </c>
      <c r="R64" s="214">
        <v>190</v>
      </c>
      <c r="S64" s="214">
        <v>106</v>
      </c>
      <c r="T64" s="214">
        <v>57</v>
      </c>
    </row>
    <row r="65" spans="1:20">
      <c r="A65" s="213" t="s">
        <v>284</v>
      </c>
      <c r="B65" s="218">
        <v>1752</v>
      </c>
      <c r="C65" s="218">
        <v>2084</v>
      </c>
      <c r="D65" s="218">
        <v>2207</v>
      </c>
      <c r="E65" s="218">
        <v>1965</v>
      </c>
      <c r="F65" s="218">
        <v>1779</v>
      </c>
      <c r="G65" s="218">
        <v>1505</v>
      </c>
      <c r="H65" s="218">
        <v>2535</v>
      </c>
      <c r="I65" s="218">
        <v>2194</v>
      </c>
      <c r="J65" s="218">
        <v>2148</v>
      </c>
      <c r="K65" s="218">
        <v>2107</v>
      </c>
      <c r="L65" s="218">
        <v>1933</v>
      </c>
      <c r="M65" s="218">
        <v>1889</v>
      </c>
      <c r="N65" s="218">
        <v>1718</v>
      </c>
      <c r="O65" s="218">
        <v>1551</v>
      </c>
      <c r="P65" s="218">
        <v>1412</v>
      </c>
      <c r="Q65" s="218">
        <v>1111</v>
      </c>
      <c r="R65" s="218">
        <v>798</v>
      </c>
      <c r="S65" s="218">
        <v>643</v>
      </c>
      <c r="T65" s="218">
        <v>520</v>
      </c>
    </row>
    <row r="66" spans="1:20">
      <c r="A66" s="215" t="s">
        <v>240</v>
      </c>
      <c r="B66" s="216">
        <f t="shared" ref="B66:J66" si="9">SUM(B61:B65)</f>
        <v>3070</v>
      </c>
      <c r="C66" s="216">
        <f t="shared" si="9"/>
        <v>3439</v>
      </c>
      <c r="D66" s="216">
        <f t="shared" si="9"/>
        <v>4231</v>
      </c>
      <c r="E66" s="216">
        <f t="shared" si="9"/>
        <v>4083</v>
      </c>
      <c r="F66" s="216">
        <f t="shared" si="9"/>
        <v>4073</v>
      </c>
      <c r="G66" s="216">
        <f t="shared" si="9"/>
        <v>4045</v>
      </c>
      <c r="H66" s="216">
        <f t="shared" si="9"/>
        <v>5807</v>
      </c>
      <c r="I66" s="216">
        <f t="shared" si="9"/>
        <v>5461</v>
      </c>
      <c r="J66" s="216">
        <f t="shared" si="9"/>
        <v>5247</v>
      </c>
      <c r="K66" s="216">
        <v>5085</v>
      </c>
      <c r="L66" s="216">
        <v>3900</v>
      </c>
      <c r="M66" s="216">
        <v>3230</v>
      </c>
      <c r="N66" s="216">
        <v>2724</v>
      </c>
      <c r="O66" s="216">
        <v>2300</v>
      </c>
      <c r="P66" s="216">
        <v>1923</v>
      </c>
      <c r="Q66" s="216">
        <v>1424</v>
      </c>
      <c r="R66" s="216">
        <v>1003</v>
      </c>
      <c r="S66" s="216">
        <v>762</v>
      </c>
      <c r="T66" s="216">
        <v>589</v>
      </c>
    </row>
    <row r="67" spans="1:20">
      <c r="A67" s="211" t="s">
        <v>122</v>
      </c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</row>
    <row r="68" spans="1:20">
      <c r="A68" s="213" t="s">
        <v>280</v>
      </c>
      <c r="B68" s="218">
        <v>6557255</v>
      </c>
      <c r="C68" s="218">
        <v>6877091</v>
      </c>
      <c r="D68" s="218">
        <v>6862799</v>
      </c>
      <c r="E68" s="218">
        <v>6694273</v>
      </c>
      <c r="F68" s="218">
        <v>6421005</v>
      </c>
      <c r="G68" s="218">
        <v>6333528</v>
      </c>
      <c r="H68" s="218">
        <v>6363642</v>
      </c>
      <c r="I68" s="218">
        <v>6429332</v>
      </c>
      <c r="J68" s="218">
        <v>6385758</v>
      </c>
      <c r="K68" s="218">
        <v>6683731</v>
      </c>
      <c r="L68" s="218">
        <v>6732094</v>
      </c>
      <c r="M68" s="218">
        <v>6790950</v>
      </c>
      <c r="N68" s="218">
        <v>6465702</v>
      </c>
      <c r="O68" s="218">
        <v>6103865</v>
      </c>
      <c r="P68" s="218">
        <v>5715533</v>
      </c>
      <c r="Q68" s="218">
        <v>5732827</v>
      </c>
      <c r="R68" s="218">
        <v>5954108</v>
      </c>
      <c r="S68" s="218">
        <v>6287123</v>
      </c>
      <c r="T68" s="218">
        <v>6585502</v>
      </c>
    </row>
    <row r="69" spans="1:20">
      <c r="A69" s="213" t="s">
        <v>281</v>
      </c>
      <c r="B69" s="218">
        <v>4071283</v>
      </c>
      <c r="C69" s="218">
        <v>3901681</v>
      </c>
      <c r="D69" s="218">
        <v>4366253</v>
      </c>
      <c r="E69" s="218">
        <v>4559688</v>
      </c>
      <c r="F69" s="218">
        <v>4661249</v>
      </c>
      <c r="G69" s="218">
        <v>4623486</v>
      </c>
      <c r="H69" s="218">
        <v>4411677</v>
      </c>
      <c r="I69" s="218">
        <v>4344474</v>
      </c>
      <c r="J69" s="218">
        <v>4318282</v>
      </c>
      <c r="K69" s="218">
        <v>4321993</v>
      </c>
      <c r="L69" s="218">
        <v>4426150</v>
      </c>
      <c r="M69" s="218">
        <v>4475606</v>
      </c>
      <c r="N69" s="218">
        <v>4582254</v>
      </c>
      <c r="O69" s="218">
        <v>4697372</v>
      </c>
      <c r="P69" s="218">
        <v>4628771</v>
      </c>
      <c r="Q69" s="218">
        <v>4292182</v>
      </c>
      <c r="R69" s="218">
        <v>3889460</v>
      </c>
      <c r="S69" s="218">
        <v>3777559</v>
      </c>
      <c r="T69" s="218">
        <v>3891858</v>
      </c>
    </row>
    <row r="70" spans="1:20">
      <c r="A70" s="213" t="s">
        <v>282</v>
      </c>
      <c r="B70" s="218">
        <v>4129377</v>
      </c>
      <c r="C70" s="218">
        <v>4291986</v>
      </c>
      <c r="D70" s="218">
        <v>4052609</v>
      </c>
      <c r="E70" s="218">
        <v>3888015</v>
      </c>
      <c r="F70" s="218">
        <v>4351358</v>
      </c>
      <c r="G70" s="218">
        <v>4538613</v>
      </c>
      <c r="H70" s="218">
        <v>4669818</v>
      </c>
      <c r="I70" s="218">
        <v>4679339</v>
      </c>
      <c r="J70" s="218">
        <v>4356109</v>
      </c>
      <c r="K70" s="218">
        <v>4256549</v>
      </c>
      <c r="L70" s="218">
        <v>4454297</v>
      </c>
      <c r="M70" s="218">
        <v>4444702</v>
      </c>
      <c r="N70" s="218">
        <v>4492414</v>
      </c>
      <c r="O70" s="218">
        <v>4541808</v>
      </c>
      <c r="P70" s="218">
        <v>4609296</v>
      </c>
      <c r="Q70" s="218">
        <v>4703214</v>
      </c>
      <c r="R70" s="218">
        <v>4625841</v>
      </c>
      <c r="S70" s="218">
        <v>4286706</v>
      </c>
      <c r="T70" s="218">
        <v>3888554</v>
      </c>
    </row>
    <row r="71" spans="1:20">
      <c r="A71" s="213" t="s">
        <v>283</v>
      </c>
      <c r="B71" s="218">
        <v>5863439</v>
      </c>
      <c r="C71" s="218">
        <v>5928005</v>
      </c>
      <c r="D71" s="218">
        <v>5831896</v>
      </c>
      <c r="E71" s="218">
        <v>6242362</v>
      </c>
      <c r="F71" s="218">
        <v>5975565</v>
      </c>
      <c r="G71" s="218">
        <v>6008688</v>
      </c>
      <c r="H71" s="218">
        <v>6114394</v>
      </c>
      <c r="I71" s="218">
        <v>6633667</v>
      </c>
      <c r="J71" s="218">
        <v>6756735</v>
      </c>
      <c r="K71" s="218">
        <v>6698231</v>
      </c>
      <c r="L71" s="218">
        <v>6877404</v>
      </c>
      <c r="M71" s="218">
        <v>6646747</v>
      </c>
      <c r="N71" s="218">
        <v>6612284</v>
      </c>
      <c r="O71" s="218">
        <v>6629717</v>
      </c>
      <c r="P71" s="218">
        <v>6709909</v>
      </c>
      <c r="Q71" s="218">
        <v>6711733</v>
      </c>
      <c r="R71" s="218">
        <v>6863832</v>
      </c>
      <c r="S71" s="218">
        <v>6895049</v>
      </c>
      <c r="T71" s="218">
        <v>6926333</v>
      </c>
    </row>
    <row r="72" spans="1:20">
      <c r="A72" s="213" t="s">
        <v>284</v>
      </c>
      <c r="B72" s="218">
        <v>9186445</v>
      </c>
      <c r="C72" s="218">
        <v>9331619</v>
      </c>
      <c r="D72" s="218">
        <v>9477186</v>
      </c>
      <c r="E72" s="218">
        <v>9198379</v>
      </c>
      <c r="F72" s="218">
        <v>9128067</v>
      </c>
      <c r="G72" s="218">
        <v>8992698</v>
      </c>
      <c r="H72" s="218">
        <v>9442773</v>
      </c>
      <c r="I72" s="218">
        <v>9356068</v>
      </c>
      <c r="J72" s="218">
        <v>9292197</v>
      </c>
      <c r="K72" s="218">
        <v>9433230</v>
      </c>
      <c r="L72" s="218">
        <v>10186027</v>
      </c>
      <c r="M72" s="218">
        <v>10253505</v>
      </c>
      <c r="N72" s="218">
        <v>10712692</v>
      </c>
      <c r="O72" s="218">
        <v>10883740</v>
      </c>
      <c r="P72" s="218">
        <v>10866418</v>
      </c>
      <c r="Q72" s="218">
        <v>10885043</v>
      </c>
      <c r="R72" s="218">
        <v>10740961</v>
      </c>
      <c r="S72" s="218">
        <v>10759640</v>
      </c>
      <c r="T72" s="218">
        <v>10741595</v>
      </c>
    </row>
    <row r="73" spans="1:20">
      <c r="A73" s="219" t="s">
        <v>240</v>
      </c>
      <c r="B73" s="216">
        <v>29807799</v>
      </c>
      <c r="C73" s="216">
        <v>30330382</v>
      </c>
      <c r="D73" s="216">
        <v>30590743</v>
      </c>
      <c r="E73" s="216">
        <v>30582717</v>
      </c>
      <c r="F73" s="216">
        <v>30537244</v>
      </c>
      <c r="G73" s="216">
        <v>30497013</v>
      </c>
      <c r="H73" s="216">
        <v>31002304</v>
      </c>
      <c r="I73" s="216">
        <v>31442880</v>
      </c>
      <c r="J73" s="216">
        <v>31109081</v>
      </c>
      <c r="K73" s="216">
        <v>31393734</v>
      </c>
      <c r="L73" s="216">
        <v>32675972</v>
      </c>
      <c r="M73" s="216">
        <v>32611510</v>
      </c>
      <c r="N73" s="216">
        <v>32865346</v>
      </c>
      <c r="O73" s="216">
        <v>32856502</v>
      </c>
      <c r="P73" s="216">
        <v>32529927</v>
      </c>
      <c r="Q73" s="216">
        <v>32324999</v>
      </c>
      <c r="R73" s="216">
        <v>32074202</v>
      </c>
      <c r="S73" s="216">
        <v>32006077</v>
      </c>
      <c r="T73" s="216">
        <v>32033842</v>
      </c>
    </row>
    <row r="74" spans="1:20">
      <c r="A74" s="220"/>
      <c r="B74" s="221"/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2"/>
      <c r="O74" s="222"/>
      <c r="P74" s="222"/>
      <c r="Q74" s="222"/>
      <c r="R74" s="222"/>
      <c r="S74" s="222"/>
    </row>
    <row r="75" spans="1:20" s="228" customFormat="1">
      <c r="A75" s="223" t="s">
        <v>288</v>
      </c>
      <c r="B75" s="224"/>
      <c r="C75" s="224"/>
      <c r="D75" s="224"/>
      <c r="E75" s="224"/>
      <c r="F75" s="224"/>
      <c r="G75" s="225"/>
      <c r="H75" s="225"/>
      <c r="I75" s="225"/>
      <c r="J75" s="208"/>
      <c r="K75" s="226"/>
      <c r="L75" s="227"/>
      <c r="M75" s="227"/>
      <c r="N75" s="227"/>
      <c r="O75" s="227"/>
      <c r="P75" s="227"/>
      <c r="Q75" s="227"/>
    </row>
    <row r="76" spans="1:20" s="228" customFormat="1">
      <c r="A76" s="223"/>
      <c r="B76" s="224"/>
      <c r="C76" s="224"/>
      <c r="D76" s="224"/>
      <c r="E76" s="224"/>
      <c r="F76" s="224"/>
      <c r="G76" s="225"/>
      <c r="H76" s="225"/>
      <c r="I76" s="225"/>
      <c r="J76" s="208"/>
      <c r="K76" s="229"/>
      <c r="L76" s="230"/>
      <c r="M76" s="231"/>
      <c r="N76" s="208"/>
      <c r="O76" s="208"/>
      <c r="Q76" s="208"/>
    </row>
    <row r="77" spans="1:20" s="228" customFormat="1">
      <c r="A77" s="208"/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31"/>
      <c r="M77" s="208"/>
      <c r="N77" s="208"/>
      <c r="O77" s="208"/>
      <c r="Q77" s="231"/>
      <c r="R77" s="208"/>
    </row>
    <row r="78" spans="1:20">
      <c r="A78" s="223"/>
      <c r="B78" s="224"/>
      <c r="C78" s="224"/>
      <c r="D78" s="224"/>
      <c r="E78" s="224"/>
      <c r="F78" s="224"/>
      <c r="G78" s="225"/>
      <c r="H78" s="225"/>
      <c r="I78" s="225"/>
      <c r="L78" s="232"/>
      <c r="M78" s="232"/>
      <c r="N78" s="232"/>
      <c r="O78" s="232"/>
    </row>
    <row r="79" spans="1:20">
      <c r="K79" s="233"/>
      <c r="L79" s="233"/>
      <c r="M79" s="233"/>
      <c r="N79" s="233"/>
      <c r="O79" s="233"/>
    </row>
    <row r="80" spans="1:20">
      <c r="J80" s="234"/>
    </row>
    <row r="81" spans="1:15">
      <c r="L81" s="232"/>
      <c r="M81" s="232"/>
      <c r="N81" s="232"/>
      <c r="O81" s="232"/>
    </row>
    <row r="82" spans="1:15">
      <c r="K82" s="231"/>
      <c r="L82" s="231"/>
      <c r="M82" s="231"/>
      <c r="N82" s="231"/>
      <c r="O82" s="231"/>
    </row>
    <row r="83" spans="1:15">
      <c r="N83" s="231"/>
    </row>
    <row r="84" spans="1:15">
      <c r="A84" s="213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6"/>
    </row>
    <row r="85" spans="1:15">
      <c r="A85" s="213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6"/>
    </row>
    <row r="86" spans="1:15">
      <c r="A86" s="213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</row>
    <row r="87" spans="1:15">
      <c r="A87" s="213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</row>
    <row r="88" spans="1:15">
      <c r="A88" s="213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</row>
    <row r="89" spans="1:15">
      <c r="K89" s="209"/>
      <c r="L89" s="209"/>
    </row>
    <row r="90" spans="1:15">
      <c r="K90" s="220"/>
      <c r="L90" s="220"/>
      <c r="M90" s="237"/>
    </row>
    <row r="91" spans="1:15">
      <c r="B91" s="238"/>
      <c r="C91" s="238"/>
      <c r="D91" s="238"/>
      <c r="E91" s="238"/>
      <c r="F91" s="238"/>
      <c r="G91" s="238"/>
      <c r="H91" s="238"/>
      <c r="I91" s="238"/>
      <c r="J91" s="238"/>
      <c r="K91" s="238"/>
      <c r="L91" s="238"/>
      <c r="M91" s="238"/>
      <c r="N91" s="238"/>
      <c r="O91" s="238"/>
    </row>
    <row r="92" spans="1:15">
      <c r="B92" s="238"/>
      <c r="C92" s="238"/>
      <c r="D92" s="238"/>
      <c r="E92" s="238"/>
      <c r="F92" s="238"/>
      <c r="G92" s="238"/>
      <c r="H92" s="238"/>
      <c r="I92" s="238"/>
      <c r="J92" s="238"/>
      <c r="K92" s="238"/>
      <c r="L92" s="238"/>
      <c r="M92" s="238"/>
      <c r="N92" s="238"/>
      <c r="O92" s="238"/>
    </row>
    <row r="93" spans="1:15">
      <c r="B93" s="239"/>
      <c r="C93" s="239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</row>
    <row r="94" spans="1:15"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</row>
    <row r="95" spans="1:15">
      <c r="B95" s="238"/>
      <c r="C95" s="238"/>
      <c r="D95" s="238"/>
      <c r="E95" s="238"/>
      <c r="F95" s="238"/>
      <c r="G95" s="238"/>
      <c r="H95" s="238"/>
      <c r="I95" s="238"/>
      <c r="J95" s="238"/>
      <c r="K95" s="238"/>
      <c r="L95" s="238"/>
      <c r="M95" s="238"/>
      <c r="N95" s="238"/>
      <c r="O95" s="238"/>
    </row>
    <row r="96" spans="1:15"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</row>
    <row r="97" spans="2:15"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</row>
    <row r="98" spans="2:15">
      <c r="B98" s="238"/>
      <c r="C98" s="238"/>
      <c r="D98" s="238"/>
      <c r="E98" s="238"/>
      <c r="F98" s="238"/>
      <c r="G98" s="238"/>
      <c r="H98" s="238"/>
      <c r="I98" s="238"/>
      <c r="J98" s="238"/>
      <c r="K98" s="238"/>
      <c r="L98" s="238"/>
      <c r="M98" s="238"/>
      <c r="N98" s="238"/>
      <c r="O98" s="238"/>
    </row>
    <row r="99" spans="2:15"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</row>
  </sheetData>
  <mergeCells count="1">
    <mergeCell ref="A1:T1"/>
  </mergeCells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3"/>
  <sheetViews>
    <sheetView showGridLines="0" zoomScale="120" zoomScaleNormal="120" workbookViewId="0">
      <pane xSplit="1" ySplit="6" topLeftCell="O7" activePane="bottomRight" state="frozen"/>
      <selection pane="topRight" activeCell="B1" sqref="B1"/>
      <selection pane="bottomLeft" activeCell="A7" sqref="A7"/>
      <selection pane="bottomRight" activeCell="W23" sqref="W23"/>
    </sheetView>
  </sheetViews>
  <sheetFormatPr baseColWidth="10" defaultColWidth="11.5" defaultRowHeight="12"/>
  <cols>
    <col min="1" max="1" width="19.5" style="166" customWidth="1"/>
    <col min="2" max="20" width="10.5" style="166" customWidth="1"/>
    <col min="21" max="16384" width="11.5" style="166"/>
  </cols>
  <sheetData>
    <row r="1" spans="1:31" s="203" customFormat="1" ht="14">
      <c r="A1" s="292" t="s">
        <v>256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</row>
    <row r="2" spans="1:31">
      <c r="A2" s="202" t="s">
        <v>255</v>
      </c>
      <c r="B2" s="200"/>
      <c r="C2" s="171"/>
      <c r="D2" s="171"/>
      <c r="E2" s="171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31">
      <c r="A3" s="201"/>
      <c r="B3" s="200"/>
      <c r="C3" s="171"/>
      <c r="D3" s="171"/>
      <c r="E3" s="171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31">
      <c r="A4" s="199" t="s">
        <v>254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243"/>
    </row>
    <row r="5" spans="1:31">
      <c r="A5" s="198" t="s">
        <v>253</v>
      </c>
      <c r="B5" s="198">
        <v>2000</v>
      </c>
      <c r="C5" s="198">
        <v>2001</v>
      </c>
      <c r="D5" s="198">
        <v>2002</v>
      </c>
      <c r="E5" s="198">
        <v>2003</v>
      </c>
      <c r="F5" s="198">
        <v>2004</v>
      </c>
      <c r="G5" s="198">
        <v>2005</v>
      </c>
      <c r="H5" s="198">
        <v>2006</v>
      </c>
      <c r="I5" s="198">
        <v>2007</v>
      </c>
      <c r="J5" s="198">
        <v>2008</v>
      </c>
      <c r="K5" s="198">
        <v>2009</v>
      </c>
      <c r="L5" s="198">
        <v>2010</v>
      </c>
      <c r="M5" s="198">
        <v>2011</v>
      </c>
      <c r="N5" s="198">
        <v>2012</v>
      </c>
      <c r="O5" s="198">
        <v>2013</v>
      </c>
      <c r="P5" s="198">
        <v>2014</v>
      </c>
      <c r="Q5" s="198">
        <v>2015</v>
      </c>
      <c r="R5" s="198">
        <v>2016</v>
      </c>
      <c r="S5" s="198">
        <v>2017</v>
      </c>
      <c r="T5" s="198">
        <v>2018</v>
      </c>
      <c r="U5" s="198">
        <v>2019</v>
      </c>
      <c r="V5" s="244"/>
      <c r="W5" s="271"/>
      <c r="X5" s="271"/>
      <c r="Y5" s="271"/>
      <c r="Z5" s="271"/>
      <c r="AA5" s="271"/>
      <c r="AB5" s="271"/>
      <c r="AC5" s="271"/>
      <c r="AD5" s="271"/>
      <c r="AE5" s="271"/>
    </row>
    <row r="6" spans="1:31">
      <c r="A6" s="197" t="s">
        <v>252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243"/>
      <c r="W6" s="270"/>
      <c r="X6" s="272" t="s">
        <v>294</v>
      </c>
      <c r="Y6" s="272" t="s">
        <v>248</v>
      </c>
      <c r="Z6" s="272" t="s">
        <v>273</v>
      </c>
      <c r="AA6" s="272" t="s">
        <v>295</v>
      </c>
      <c r="AB6" s="272" t="s">
        <v>258</v>
      </c>
      <c r="AC6" s="272" t="s">
        <v>290</v>
      </c>
      <c r="AD6" s="272" t="s">
        <v>296</v>
      </c>
      <c r="AE6" s="272"/>
    </row>
    <row r="7" spans="1:31">
      <c r="A7" s="180" t="s">
        <v>251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4"/>
      <c r="M7" s="193"/>
      <c r="N7" s="193"/>
      <c r="O7" s="193"/>
      <c r="P7" s="193"/>
      <c r="Q7" s="193"/>
      <c r="R7" s="193"/>
      <c r="S7" s="193"/>
      <c r="T7" s="193"/>
      <c r="U7" s="193"/>
      <c r="V7" s="243"/>
      <c r="W7" s="265"/>
      <c r="X7" s="266" t="s">
        <v>1</v>
      </c>
      <c r="Y7" s="266" t="s">
        <v>2</v>
      </c>
      <c r="Z7" s="266" t="s">
        <v>3</v>
      </c>
      <c r="AA7" s="266" t="s">
        <v>4</v>
      </c>
      <c r="AB7" s="266" t="s">
        <v>5</v>
      </c>
      <c r="AC7" s="266" t="s">
        <v>6</v>
      </c>
      <c r="AD7" s="266" t="s">
        <v>7</v>
      </c>
      <c r="AE7" s="273" t="s">
        <v>122</v>
      </c>
    </row>
    <row r="8" spans="1:31">
      <c r="A8" s="180" t="s">
        <v>250</v>
      </c>
      <c r="B8" s="192">
        <v>2224</v>
      </c>
      <c r="C8" s="192">
        <v>1834</v>
      </c>
      <c r="D8" s="192">
        <v>2122</v>
      </c>
      <c r="E8" s="192">
        <v>1390</v>
      </c>
      <c r="F8" s="192">
        <v>1380</v>
      </c>
      <c r="G8" s="192">
        <v>3229</v>
      </c>
      <c r="H8" s="192">
        <v>11625</v>
      </c>
      <c r="I8" s="192">
        <v>10341</v>
      </c>
      <c r="J8" s="192">
        <v>8693</v>
      </c>
      <c r="K8" s="192">
        <v>8425</v>
      </c>
      <c r="L8" s="181">
        <v>4143</v>
      </c>
      <c r="M8" s="178">
        <v>4773</v>
      </c>
      <c r="N8" s="178">
        <v>19115</v>
      </c>
      <c r="O8" s="178">
        <v>26545</v>
      </c>
      <c r="P8" s="178">
        <v>31491</v>
      </c>
      <c r="Q8" s="178">
        <v>45095</v>
      </c>
      <c r="R8" s="178">
        <v>49897</v>
      </c>
      <c r="S8" s="178">
        <v>51049</v>
      </c>
      <c r="T8" s="178">
        <v>56862</v>
      </c>
      <c r="U8" s="178">
        <v>75457</v>
      </c>
      <c r="V8" s="181"/>
      <c r="W8" s="267"/>
      <c r="X8" s="268">
        <f>Q8+Q9</f>
        <v>537261</v>
      </c>
      <c r="Y8" s="268">
        <f>Q10</f>
        <v>511795</v>
      </c>
      <c r="Z8" s="268">
        <f>Q11</f>
        <v>352613</v>
      </c>
      <c r="AA8" s="268">
        <f>Q12</f>
        <v>196658</v>
      </c>
      <c r="AB8" s="268">
        <f>Q13</f>
        <v>121164</v>
      </c>
      <c r="AC8" s="268">
        <f>Q14</f>
        <v>56048</v>
      </c>
      <c r="AD8" s="268">
        <f>Q15+Q16+Q17</f>
        <v>110690</v>
      </c>
      <c r="AE8" s="268">
        <f>SUM(X8:AD8)</f>
        <v>1886229</v>
      </c>
    </row>
    <row r="9" spans="1:31">
      <c r="A9" s="180" t="s">
        <v>249</v>
      </c>
      <c r="B9" s="192">
        <v>357580</v>
      </c>
      <c r="C9" s="192">
        <v>376565</v>
      </c>
      <c r="D9" s="192">
        <v>422367</v>
      </c>
      <c r="E9" s="192">
        <v>407326</v>
      </c>
      <c r="F9" s="192">
        <v>404437</v>
      </c>
      <c r="G9" s="192">
        <v>403420</v>
      </c>
      <c r="H9" s="192">
        <v>389981</v>
      </c>
      <c r="I9" s="192">
        <v>360066</v>
      </c>
      <c r="J9" s="192">
        <v>479768</v>
      </c>
      <c r="K9" s="192">
        <v>721075</v>
      </c>
      <c r="L9" s="181">
        <v>667110</v>
      </c>
      <c r="M9" s="178">
        <v>498104</v>
      </c>
      <c r="N9" s="178">
        <v>394195</v>
      </c>
      <c r="O9" s="178">
        <v>470239</v>
      </c>
      <c r="P9" s="178">
        <v>506013</v>
      </c>
      <c r="Q9" s="178">
        <v>492166</v>
      </c>
      <c r="R9" s="178">
        <v>451529</v>
      </c>
      <c r="S9" s="178">
        <v>466627</v>
      </c>
      <c r="T9" s="178">
        <v>477639</v>
      </c>
      <c r="U9" s="178">
        <v>370988</v>
      </c>
      <c r="V9" s="181"/>
      <c r="W9" s="267"/>
      <c r="X9" s="269">
        <f>X8/$AE$8</f>
        <v>0.28483338979519451</v>
      </c>
      <c r="Y9" s="269">
        <f t="shared" ref="Y9:AE9" si="0">Y8/$AE$8</f>
        <v>0.27133237798803855</v>
      </c>
      <c r="Z9" s="269">
        <f t="shared" si="0"/>
        <v>0.18694071610605076</v>
      </c>
      <c r="AA9" s="269">
        <f t="shared" si="0"/>
        <v>0.10425987512650903</v>
      </c>
      <c r="AB9" s="269">
        <f t="shared" si="0"/>
        <v>6.4236102827387342E-2</v>
      </c>
      <c r="AC9" s="269">
        <f t="shared" si="0"/>
        <v>2.9714313585466029E-2</v>
      </c>
      <c r="AD9" s="269">
        <f t="shared" si="0"/>
        <v>5.8683224571353741E-2</v>
      </c>
      <c r="AE9" s="269">
        <f t="shared" si="0"/>
        <v>1</v>
      </c>
    </row>
    <row r="10" spans="1:31">
      <c r="A10" s="180" t="s">
        <v>248</v>
      </c>
      <c r="B10" s="192">
        <v>684697</v>
      </c>
      <c r="C10" s="192">
        <v>676462</v>
      </c>
      <c r="D10" s="192">
        <v>526308</v>
      </c>
      <c r="E10" s="192">
        <v>491619</v>
      </c>
      <c r="F10" s="192">
        <v>452820</v>
      </c>
      <c r="G10" s="192">
        <v>434186</v>
      </c>
      <c r="H10" s="192">
        <v>455446</v>
      </c>
      <c r="I10" s="192">
        <v>467679</v>
      </c>
      <c r="J10" s="192">
        <v>527860</v>
      </c>
      <c r="K10" s="192">
        <v>569891</v>
      </c>
      <c r="L10" s="181">
        <v>599500</v>
      </c>
      <c r="M10" s="178">
        <v>630106</v>
      </c>
      <c r="N10" s="178">
        <v>546337</v>
      </c>
      <c r="O10" s="178">
        <v>476247</v>
      </c>
      <c r="P10" s="178">
        <v>472863</v>
      </c>
      <c r="Q10" s="178">
        <v>511795</v>
      </c>
      <c r="R10" s="178">
        <v>546883</v>
      </c>
      <c r="S10" s="178">
        <v>522608</v>
      </c>
      <c r="T10" s="178">
        <v>516722</v>
      </c>
      <c r="U10" s="178">
        <v>548457</v>
      </c>
      <c r="V10" s="181"/>
      <c r="W10" s="275"/>
      <c r="X10" s="276"/>
      <c r="Y10" s="276"/>
      <c r="Z10" s="276"/>
      <c r="AA10" s="276"/>
      <c r="AB10" s="276"/>
      <c r="AC10" s="276"/>
      <c r="AD10" s="276"/>
      <c r="AE10" s="276"/>
    </row>
    <row r="11" spans="1:31">
      <c r="A11" s="180" t="s">
        <v>247</v>
      </c>
      <c r="B11" s="192">
        <v>500923</v>
      </c>
      <c r="C11" s="192">
        <v>449046</v>
      </c>
      <c r="D11" s="192">
        <v>441431</v>
      </c>
      <c r="E11" s="192">
        <v>349693</v>
      </c>
      <c r="F11" s="192">
        <v>387270</v>
      </c>
      <c r="G11" s="192">
        <v>437574</v>
      </c>
      <c r="H11" s="192">
        <v>428855</v>
      </c>
      <c r="I11" s="192">
        <v>481945</v>
      </c>
      <c r="J11" s="192">
        <v>486421</v>
      </c>
      <c r="K11" s="192">
        <v>491441</v>
      </c>
      <c r="L11" s="181">
        <v>456561</v>
      </c>
      <c r="M11" s="178">
        <v>478631</v>
      </c>
      <c r="N11" s="178">
        <v>385122</v>
      </c>
      <c r="O11" s="178">
        <v>349791</v>
      </c>
      <c r="P11" s="178">
        <v>330443</v>
      </c>
      <c r="Q11" s="178">
        <v>352613</v>
      </c>
      <c r="R11" s="178">
        <v>374726</v>
      </c>
      <c r="S11" s="178">
        <v>426138</v>
      </c>
      <c r="T11" s="178">
        <v>493209</v>
      </c>
      <c r="U11" s="178">
        <v>518157</v>
      </c>
      <c r="V11" s="181"/>
      <c r="W11" s="277" t="s">
        <v>297</v>
      </c>
      <c r="X11" s="270"/>
      <c r="Y11" s="270"/>
      <c r="Z11" s="270"/>
      <c r="AA11" s="270"/>
      <c r="AB11" s="270"/>
      <c r="AC11" s="270"/>
      <c r="AD11" s="270"/>
      <c r="AE11" s="274">
        <f>Q21+Q22+Q23+Q25</f>
        <v>1868803</v>
      </c>
    </row>
    <row r="12" spans="1:31">
      <c r="A12" s="180" t="s">
        <v>246</v>
      </c>
      <c r="B12" s="192">
        <v>373479</v>
      </c>
      <c r="C12" s="192">
        <v>450250</v>
      </c>
      <c r="D12" s="192">
        <v>413895</v>
      </c>
      <c r="E12" s="192">
        <v>418869</v>
      </c>
      <c r="F12" s="192">
        <v>390262</v>
      </c>
      <c r="G12" s="192">
        <v>376851</v>
      </c>
      <c r="H12" s="192">
        <v>280988</v>
      </c>
      <c r="I12" s="192">
        <v>208336</v>
      </c>
      <c r="J12" s="192">
        <v>134938</v>
      </c>
      <c r="K12" s="192">
        <v>142231</v>
      </c>
      <c r="L12" s="181">
        <v>148783</v>
      </c>
      <c r="M12" s="178">
        <v>182436</v>
      </c>
      <c r="N12" s="178">
        <v>161268</v>
      </c>
      <c r="O12" s="178">
        <v>164492</v>
      </c>
      <c r="P12" s="178">
        <v>171015</v>
      </c>
      <c r="Q12" s="178">
        <v>196658</v>
      </c>
      <c r="R12" s="178">
        <v>218491</v>
      </c>
      <c r="S12" s="178">
        <v>231838</v>
      </c>
      <c r="T12" s="178">
        <v>233520</v>
      </c>
      <c r="U12" s="178">
        <v>243333</v>
      </c>
      <c r="V12" s="181"/>
      <c r="W12" s="278" t="s">
        <v>298</v>
      </c>
      <c r="X12" s="265"/>
      <c r="Y12" s="265"/>
      <c r="Z12" s="265"/>
      <c r="AA12" s="265"/>
      <c r="AB12" s="265"/>
      <c r="AC12" s="265"/>
      <c r="AD12" s="265"/>
      <c r="AE12" s="265"/>
    </row>
    <row r="13" spans="1:31">
      <c r="A13" s="180" t="s">
        <v>245</v>
      </c>
      <c r="B13" s="192">
        <v>56176</v>
      </c>
      <c r="C13" s="192">
        <v>111734</v>
      </c>
      <c r="D13" s="192">
        <v>139079</v>
      </c>
      <c r="E13" s="192">
        <v>151977</v>
      </c>
      <c r="F13" s="192">
        <v>167358</v>
      </c>
      <c r="G13" s="192">
        <v>182221</v>
      </c>
      <c r="H13" s="192">
        <v>186661</v>
      </c>
      <c r="I13" s="192">
        <v>240729</v>
      </c>
      <c r="J13" s="192">
        <v>205434</v>
      </c>
      <c r="K13" s="192">
        <v>157050</v>
      </c>
      <c r="L13" s="181">
        <v>147047</v>
      </c>
      <c r="M13" s="178">
        <v>138508</v>
      </c>
      <c r="N13" s="178">
        <v>137783</v>
      </c>
      <c r="O13" s="178">
        <v>122286</v>
      </c>
      <c r="P13" s="178">
        <v>112930</v>
      </c>
      <c r="Q13" s="178">
        <v>121164</v>
      </c>
      <c r="R13" s="178">
        <v>155050</v>
      </c>
      <c r="S13" s="178">
        <v>177100</v>
      </c>
      <c r="T13" s="178">
        <v>162762</v>
      </c>
      <c r="U13" s="178">
        <v>181619</v>
      </c>
      <c r="V13" s="181"/>
      <c r="W13" s="278" t="s">
        <v>299</v>
      </c>
      <c r="X13" s="265"/>
      <c r="Y13" s="265"/>
      <c r="Z13" s="265"/>
      <c r="AA13" s="265"/>
      <c r="AB13" s="265"/>
      <c r="AC13" s="265"/>
      <c r="AD13" s="265"/>
      <c r="AE13" s="268">
        <f>Q24</f>
        <v>17269</v>
      </c>
    </row>
    <row r="14" spans="1:31">
      <c r="A14" s="180" t="s">
        <v>244</v>
      </c>
      <c r="B14" s="192">
        <v>63625</v>
      </c>
      <c r="C14" s="192">
        <v>71181</v>
      </c>
      <c r="D14" s="192">
        <v>77957</v>
      </c>
      <c r="E14" s="192">
        <v>54562</v>
      </c>
      <c r="F14" s="192">
        <v>69884</v>
      </c>
      <c r="G14" s="192">
        <v>89073</v>
      </c>
      <c r="H14" s="192">
        <v>100404</v>
      </c>
      <c r="I14" s="192">
        <v>109677</v>
      </c>
      <c r="J14" s="192">
        <v>81208</v>
      </c>
      <c r="K14" s="192">
        <v>67521</v>
      </c>
      <c r="L14" s="181">
        <v>72401</v>
      </c>
      <c r="M14" s="178">
        <v>94256</v>
      </c>
      <c r="N14" s="178">
        <v>85961</v>
      </c>
      <c r="O14" s="178">
        <v>53077</v>
      </c>
      <c r="P14" s="178">
        <v>49186</v>
      </c>
      <c r="Q14" s="178">
        <v>56048</v>
      </c>
      <c r="R14" s="178">
        <v>50680</v>
      </c>
      <c r="S14" s="178">
        <v>51086</v>
      </c>
      <c r="T14" s="178">
        <v>58612</v>
      </c>
      <c r="U14" s="178">
        <v>67429</v>
      </c>
      <c r="V14" s="181"/>
      <c r="W14" s="278" t="s">
        <v>122</v>
      </c>
      <c r="X14" s="265"/>
      <c r="Y14" s="265"/>
      <c r="Z14" s="265"/>
      <c r="AA14" s="265"/>
      <c r="AB14" s="265"/>
      <c r="AC14" s="265"/>
      <c r="AD14" s="265"/>
      <c r="AE14" s="268">
        <f>SUM(AE11:AE13)</f>
        <v>1886072</v>
      </c>
    </row>
    <row r="15" spans="1:31">
      <c r="A15" s="180" t="s">
        <v>243</v>
      </c>
      <c r="B15" s="192">
        <v>67750</v>
      </c>
      <c r="C15" s="192">
        <v>80331</v>
      </c>
      <c r="D15" s="192">
        <v>87543</v>
      </c>
      <c r="E15" s="192">
        <v>99437</v>
      </c>
      <c r="F15" s="192">
        <v>98461</v>
      </c>
      <c r="G15" s="192">
        <v>86826</v>
      </c>
      <c r="H15" s="192">
        <v>78167</v>
      </c>
      <c r="I15" s="192">
        <v>111123</v>
      </c>
      <c r="J15" s="192">
        <v>79911</v>
      </c>
      <c r="K15" s="192">
        <v>66671</v>
      </c>
      <c r="L15" s="181">
        <v>70512</v>
      </c>
      <c r="M15" s="178">
        <v>86035</v>
      </c>
      <c r="N15" s="178">
        <v>79909</v>
      </c>
      <c r="O15" s="178">
        <v>61018</v>
      </c>
      <c r="P15" s="178">
        <v>56264</v>
      </c>
      <c r="Q15" s="178">
        <v>66464</v>
      </c>
      <c r="R15" s="178">
        <v>84923</v>
      </c>
      <c r="S15" s="178">
        <v>104057</v>
      </c>
      <c r="T15" s="178">
        <v>89797</v>
      </c>
      <c r="U15" s="178">
        <v>102930</v>
      </c>
      <c r="V15" s="181"/>
      <c r="W15" s="191"/>
    </row>
    <row r="16" spans="1:31">
      <c r="A16" s="180" t="s">
        <v>242</v>
      </c>
      <c r="B16" s="192">
        <v>20161</v>
      </c>
      <c r="C16" s="192">
        <v>28885</v>
      </c>
      <c r="D16" s="192">
        <v>23635</v>
      </c>
      <c r="E16" s="192">
        <v>22509</v>
      </c>
      <c r="F16" s="192">
        <v>29973</v>
      </c>
      <c r="G16" s="192">
        <v>39938</v>
      </c>
      <c r="H16" s="192">
        <v>55750</v>
      </c>
      <c r="I16" s="192">
        <v>56810</v>
      </c>
      <c r="J16" s="192">
        <v>31826</v>
      </c>
      <c r="K16" s="192">
        <v>32646</v>
      </c>
      <c r="L16" s="181">
        <v>32092</v>
      </c>
      <c r="M16" s="178">
        <v>34212</v>
      </c>
      <c r="N16" s="178">
        <v>31124</v>
      </c>
      <c r="O16" s="178">
        <v>21033</v>
      </c>
      <c r="P16" s="178">
        <v>21413</v>
      </c>
      <c r="Q16" s="178">
        <v>25994</v>
      </c>
      <c r="R16" s="178">
        <v>27785</v>
      </c>
      <c r="S16" s="178">
        <v>27670</v>
      </c>
      <c r="T16" s="178">
        <v>24601</v>
      </c>
      <c r="U16" s="178">
        <v>30527</v>
      </c>
      <c r="V16" s="181"/>
      <c r="W16" s="191"/>
    </row>
    <row r="17" spans="1:23">
      <c r="A17" s="180" t="s">
        <v>241</v>
      </c>
      <c r="B17" s="192">
        <v>7269</v>
      </c>
      <c r="C17" s="192">
        <v>8444</v>
      </c>
      <c r="D17" s="192">
        <v>10734</v>
      </c>
      <c r="E17" s="192">
        <v>11864</v>
      </c>
      <c r="F17" s="192">
        <v>11864</v>
      </c>
      <c r="G17" s="192">
        <v>14471</v>
      </c>
      <c r="H17" s="192">
        <v>12672</v>
      </c>
      <c r="I17" s="192">
        <v>17837</v>
      </c>
      <c r="J17" s="192">
        <v>14224</v>
      </c>
      <c r="K17" s="192">
        <v>12060</v>
      </c>
      <c r="L17" s="181">
        <v>12037</v>
      </c>
      <c r="M17" s="178">
        <v>13867</v>
      </c>
      <c r="N17" s="178">
        <v>16199</v>
      </c>
      <c r="O17" s="178">
        <v>12224</v>
      </c>
      <c r="P17" s="178">
        <v>14237</v>
      </c>
      <c r="Q17" s="178">
        <v>18232</v>
      </c>
      <c r="R17" s="178">
        <v>24507</v>
      </c>
      <c r="S17" s="178">
        <v>21342</v>
      </c>
      <c r="T17" s="178">
        <v>24876</v>
      </c>
      <c r="U17" s="178">
        <v>34070</v>
      </c>
      <c r="V17" s="181"/>
      <c r="W17" s="191"/>
    </row>
    <row r="18" spans="1:23">
      <c r="A18" s="175" t="s">
        <v>240</v>
      </c>
      <c r="B18" s="190">
        <v>2133884</v>
      </c>
      <c r="C18" s="190">
        <v>2254732</v>
      </c>
      <c r="D18" s="190">
        <v>2145071</v>
      </c>
      <c r="E18" s="190">
        <v>2009246</v>
      </c>
      <c r="F18" s="190">
        <v>2013709</v>
      </c>
      <c r="G18" s="190">
        <v>2067789</v>
      </c>
      <c r="H18" s="190">
        <v>2000549</v>
      </c>
      <c r="I18" s="190">
        <v>2064543</v>
      </c>
      <c r="J18" s="190">
        <v>2050283</v>
      </c>
      <c r="K18" s="190">
        <v>2269011</v>
      </c>
      <c r="L18" s="189">
        <v>2210186</v>
      </c>
      <c r="M18" s="188">
        <v>2160928</v>
      </c>
      <c r="N18" s="188">
        <v>1857013</v>
      </c>
      <c r="O18" s="188">
        <v>1756952</v>
      </c>
      <c r="P18" s="188">
        <v>1765855</v>
      </c>
      <c r="Q18" s="188">
        <v>1886229</v>
      </c>
      <c r="R18" s="188">
        <v>1984471</v>
      </c>
      <c r="S18" s="188">
        <v>2079515</v>
      </c>
      <c r="T18" s="188">
        <v>2138600</v>
      </c>
      <c r="U18" s="188">
        <v>2172967</v>
      </c>
      <c r="V18" s="245"/>
      <c r="W18" s="182"/>
    </row>
    <row r="19" spans="1:23">
      <c r="A19" s="187"/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1"/>
      <c r="M19" s="183"/>
      <c r="N19" s="183"/>
      <c r="O19" s="185"/>
      <c r="P19" s="183"/>
      <c r="Q19" s="183"/>
      <c r="R19" s="183"/>
      <c r="S19" s="183"/>
      <c r="T19" s="183"/>
      <c r="U19" s="183"/>
      <c r="V19" s="245"/>
    </row>
    <row r="20" spans="1:23">
      <c r="A20" s="177" t="s">
        <v>239</v>
      </c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1"/>
      <c r="M20" s="183"/>
      <c r="N20" s="183"/>
      <c r="O20" s="183"/>
      <c r="P20" s="183"/>
      <c r="Q20" s="183"/>
      <c r="R20" s="183"/>
      <c r="S20" s="183"/>
      <c r="T20" s="183"/>
      <c r="U20" s="183"/>
      <c r="V20" s="245"/>
    </row>
    <row r="21" spans="1:23">
      <c r="A21" s="177" t="s">
        <v>238</v>
      </c>
      <c r="B21" s="176">
        <v>1080849</v>
      </c>
      <c r="C21" s="176">
        <v>981301</v>
      </c>
      <c r="D21" s="176">
        <v>784799</v>
      </c>
      <c r="E21" s="176">
        <v>651324</v>
      </c>
      <c r="F21" s="176">
        <v>616780</v>
      </c>
      <c r="G21" s="176">
        <v>631877</v>
      </c>
      <c r="H21" s="176">
        <v>561831</v>
      </c>
      <c r="I21" s="176">
        <v>528483</v>
      </c>
      <c r="J21" s="176">
        <v>454669</v>
      </c>
      <c r="K21" s="176">
        <v>636072</v>
      </c>
      <c r="L21" s="176">
        <v>568176</v>
      </c>
      <c r="M21" s="178">
        <v>575078</v>
      </c>
      <c r="N21" s="178">
        <v>476266</v>
      </c>
      <c r="O21" s="178">
        <v>530292</v>
      </c>
      <c r="P21" s="178">
        <v>589776</v>
      </c>
      <c r="Q21" s="178">
        <v>736339</v>
      </c>
      <c r="R21" s="178">
        <v>875900</v>
      </c>
      <c r="S21" s="178">
        <v>993666</v>
      </c>
      <c r="T21" s="178">
        <v>1174623</v>
      </c>
      <c r="U21" s="178">
        <v>1267024</v>
      </c>
      <c r="V21" s="181"/>
      <c r="W21" s="182"/>
    </row>
    <row r="22" spans="1:23">
      <c r="A22" s="177" t="s">
        <v>237</v>
      </c>
      <c r="B22" s="176">
        <v>1046485</v>
      </c>
      <c r="C22" s="176">
        <v>1267761</v>
      </c>
      <c r="D22" s="176">
        <v>1354933</v>
      </c>
      <c r="E22" s="176">
        <v>1353914</v>
      </c>
      <c r="F22" s="176">
        <v>1392925</v>
      </c>
      <c r="G22" s="176">
        <v>1429037</v>
      </c>
      <c r="H22" s="176">
        <v>1427697</v>
      </c>
      <c r="I22" s="176">
        <v>1525439</v>
      </c>
      <c r="J22" s="176">
        <v>1584438</v>
      </c>
      <c r="K22" s="176">
        <v>1597832</v>
      </c>
      <c r="L22" s="181">
        <v>1556353</v>
      </c>
      <c r="M22" s="178">
        <v>1557403</v>
      </c>
      <c r="N22" s="178">
        <v>1345054</v>
      </c>
      <c r="O22" s="178">
        <v>1168193</v>
      </c>
      <c r="P22" s="178">
        <v>1119954</v>
      </c>
      <c r="Q22" s="178">
        <v>1070443</v>
      </c>
      <c r="R22" s="178">
        <v>1027912</v>
      </c>
      <c r="S22" s="178">
        <v>978184</v>
      </c>
      <c r="T22" s="178">
        <v>824472</v>
      </c>
      <c r="U22" s="178">
        <v>736158</v>
      </c>
      <c r="V22" s="181"/>
      <c r="W22" s="182"/>
    </row>
    <row r="23" spans="1:23">
      <c r="A23" s="177" t="s">
        <v>236</v>
      </c>
      <c r="B23" s="176"/>
      <c r="C23" s="176"/>
      <c r="D23" s="176"/>
      <c r="E23" s="176">
        <v>32</v>
      </c>
      <c r="F23" s="176">
        <v>669</v>
      </c>
      <c r="G23" s="176">
        <v>2855</v>
      </c>
      <c r="H23" s="176">
        <v>6413</v>
      </c>
      <c r="I23" s="176">
        <v>7159</v>
      </c>
      <c r="J23" s="176">
        <v>8446</v>
      </c>
      <c r="K23" s="176">
        <v>9869</v>
      </c>
      <c r="L23" s="176">
        <v>9659</v>
      </c>
      <c r="M23" s="178">
        <v>13636</v>
      </c>
      <c r="N23" s="178">
        <v>27827</v>
      </c>
      <c r="O23" s="178">
        <v>46730</v>
      </c>
      <c r="P23" s="178">
        <v>43178</v>
      </c>
      <c r="Q23" s="178">
        <v>60497</v>
      </c>
      <c r="R23" s="178">
        <v>58302</v>
      </c>
      <c r="S23" s="178">
        <v>81539</v>
      </c>
      <c r="T23" s="178">
        <v>106221</v>
      </c>
      <c r="U23" s="178">
        <v>125122</v>
      </c>
      <c r="V23" s="181"/>
      <c r="W23" s="182"/>
    </row>
    <row r="24" spans="1:23">
      <c r="A24" s="177" t="s">
        <v>235</v>
      </c>
      <c r="B24" s="176">
        <v>241</v>
      </c>
      <c r="C24" s="176">
        <v>407</v>
      </c>
      <c r="D24" s="176">
        <v>310</v>
      </c>
      <c r="E24" s="176">
        <v>113</v>
      </c>
      <c r="F24" s="176">
        <v>460</v>
      </c>
      <c r="G24" s="176">
        <v>6</v>
      </c>
      <c r="H24" s="176">
        <v>14</v>
      </c>
      <c r="I24" s="176">
        <v>6</v>
      </c>
      <c r="J24" s="176">
        <v>4</v>
      </c>
      <c r="K24" s="176">
        <v>12</v>
      </c>
      <c r="L24" s="176">
        <v>187</v>
      </c>
      <c r="M24" s="178">
        <v>2630</v>
      </c>
      <c r="N24" s="178">
        <v>5661</v>
      </c>
      <c r="O24" s="178">
        <v>8781</v>
      </c>
      <c r="P24" s="178">
        <v>10567</v>
      </c>
      <c r="Q24" s="178">
        <v>17269</v>
      </c>
      <c r="R24" s="178">
        <v>21758</v>
      </c>
      <c r="S24" s="178">
        <v>24910</v>
      </c>
      <c r="T24" s="178">
        <v>30945</v>
      </c>
      <c r="U24" s="178">
        <v>42262</v>
      </c>
      <c r="V24" s="181"/>
      <c r="W24" s="182"/>
    </row>
    <row r="25" spans="1:23">
      <c r="A25" s="177" t="s">
        <v>234</v>
      </c>
      <c r="B25" s="176">
        <v>6309</v>
      </c>
      <c r="C25" s="176">
        <v>5263</v>
      </c>
      <c r="D25" s="176">
        <v>5029</v>
      </c>
      <c r="E25" s="176">
        <v>3863</v>
      </c>
      <c r="F25" s="176">
        <v>2875</v>
      </c>
      <c r="G25" s="176">
        <v>4014</v>
      </c>
      <c r="H25" s="176">
        <v>4346</v>
      </c>
      <c r="I25" s="176">
        <v>2980</v>
      </c>
      <c r="J25" s="176">
        <v>2249</v>
      </c>
      <c r="K25" s="176">
        <v>24821</v>
      </c>
      <c r="L25" s="176">
        <v>75537</v>
      </c>
      <c r="M25" s="178">
        <v>11866</v>
      </c>
      <c r="N25" s="178">
        <v>1922</v>
      </c>
      <c r="O25" s="178">
        <v>2754</v>
      </c>
      <c r="P25" s="178">
        <v>2250</v>
      </c>
      <c r="Q25" s="178">
        <v>1524</v>
      </c>
      <c r="R25" s="178">
        <v>356</v>
      </c>
      <c r="S25" s="178">
        <v>943</v>
      </c>
      <c r="T25" s="178">
        <v>2167</v>
      </c>
      <c r="U25" s="178">
        <v>2038</v>
      </c>
      <c r="V25" s="181"/>
      <c r="W25" s="182"/>
    </row>
    <row r="26" spans="1:23">
      <c r="A26" s="177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81"/>
      <c r="M26" s="178"/>
      <c r="N26" s="178"/>
      <c r="O26" s="178"/>
      <c r="P26" s="178"/>
      <c r="Q26" s="178"/>
      <c r="R26" s="178"/>
      <c r="S26" s="178"/>
      <c r="T26" s="178"/>
      <c r="U26" s="178"/>
      <c r="V26" s="181"/>
    </row>
    <row r="27" spans="1:23">
      <c r="A27" s="180" t="s">
        <v>233</v>
      </c>
      <c r="B27" s="176"/>
      <c r="C27" s="176"/>
      <c r="D27" s="176"/>
      <c r="E27" s="176"/>
      <c r="F27" s="176"/>
      <c r="G27" s="176"/>
      <c r="H27" s="176"/>
      <c r="I27" s="176"/>
      <c r="J27" s="176"/>
      <c r="K27" s="179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81"/>
    </row>
    <row r="28" spans="1:23">
      <c r="A28" s="177" t="s">
        <v>232</v>
      </c>
      <c r="B28" s="176">
        <v>780094</v>
      </c>
      <c r="C28" s="176">
        <v>863898</v>
      </c>
      <c r="D28" s="176">
        <v>843607</v>
      </c>
      <c r="E28" s="176">
        <v>831062</v>
      </c>
      <c r="F28" s="176">
        <v>821221</v>
      </c>
      <c r="G28" s="176">
        <v>846799</v>
      </c>
      <c r="H28" s="176">
        <v>838028</v>
      </c>
      <c r="I28" s="176">
        <v>886928</v>
      </c>
      <c r="J28" s="176">
        <v>823775</v>
      </c>
      <c r="K28" s="176">
        <v>725483</v>
      </c>
      <c r="L28" s="176">
        <v>797297</v>
      </c>
      <c r="M28" s="176">
        <v>860062</v>
      </c>
      <c r="N28" s="176">
        <v>806578</v>
      </c>
      <c r="O28" s="176">
        <v>786133</v>
      </c>
      <c r="P28" s="176">
        <v>813443</v>
      </c>
      <c r="Q28" s="176">
        <v>902020</v>
      </c>
      <c r="R28" s="176">
        <v>989532</v>
      </c>
      <c r="S28" s="176">
        <v>1059696</v>
      </c>
      <c r="T28" s="176">
        <v>1078225</v>
      </c>
      <c r="U28" s="176">
        <v>1184674</v>
      </c>
      <c r="V28" s="246"/>
    </row>
    <row r="29" spans="1:23">
      <c r="A29" s="175" t="s">
        <v>231</v>
      </c>
      <c r="B29" s="174">
        <v>1353790</v>
      </c>
      <c r="C29" s="174">
        <v>1390834</v>
      </c>
      <c r="D29" s="174">
        <v>1301464</v>
      </c>
      <c r="E29" s="174">
        <v>1178184</v>
      </c>
      <c r="F29" s="174">
        <v>1192488</v>
      </c>
      <c r="G29" s="174">
        <v>1220990</v>
      </c>
      <c r="H29" s="174">
        <v>1162521</v>
      </c>
      <c r="I29" s="174">
        <v>1177615</v>
      </c>
      <c r="J29" s="174">
        <v>1226508</v>
      </c>
      <c r="K29" s="174">
        <v>1543528</v>
      </c>
      <c r="L29" s="174">
        <v>1412889</v>
      </c>
      <c r="M29" s="174">
        <v>1300866</v>
      </c>
      <c r="N29" s="174">
        <v>1050435</v>
      </c>
      <c r="O29" s="174">
        <v>970819</v>
      </c>
      <c r="P29" s="174">
        <v>952412</v>
      </c>
      <c r="Q29" s="174">
        <v>984209</v>
      </c>
      <c r="R29" s="174">
        <v>994939</v>
      </c>
      <c r="S29" s="174">
        <v>1019819</v>
      </c>
      <c r="T29" s="174">
        <v>1060375</v>
      </c>
      <c r="U29" s="174">
        <v>988293</v>
      </c>
      <c r="V29" s="246"/>
    </row>
    <row r="30" spans="1:23">
      <c r="Q30" s="204">
        <f>SUM(Q21:Q25)</f>
        <v>1886072</v>
      </c>
      <c r="R30" s="204">
        <f>R18-SUM(R21:R25)</f>
        <v>243</v>
      </c>
      <c r="S30" s="204">
        <f>S18-SUM(S21:S25)</f>
        <v>273</v>
      </c>
      <c r="T30" s="204">
        <f>T18-SUM(T21:T25)</f>
        <v>172</v>
      </c>
      <c r="U30" s="204">
        <f>U18-SUM(U21:U25)</f>
        <v>363</v>
      </c>
    </row>
    <row r="31" spans="1:23">
      <c r="A31" s="173" t="s">
        <v>230</v>
      </c>
      <c r="B31" s="170"/>
      <c r="C31" s="170"/>
      <c r="D31" s="170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>
        <f>Q18-Q30</f>
        <v>157</v>
      </c>
    </row>
    <row r="32" spans="1:23">
      <c r="A32" s="173"/>
      <c r="B32" s="170"/>
      <c r="C32" s="167"/>
      <c r="D32" s="167"/>
      <c r="E32" s="167"/>
      <c r="F32" s="167"/>
      <c r="G32" s="167"/>
      <c r="H32" s="167"/>
      <c r="I32" s="167"/>
      <c r="J32" s="167"/>
      <c r="K32" s="167"/>
      <c r="L32" s="172"/>
      <c r="M32" s="172"/>
      <c r="N32" s="172"/>
      <c r="O32" s="172"/>
      <c r="P32" s="172"/>
      <c r="Q32" s="172"/>
    </row>
    <row r="33" spans="1:15">
      <c r="A33" s="171" t="s">
        <v>229</v>
      </c>
      <c r="B33" s="170"/>
      <c r="C33" s="170"/>
      <c r="D33" s="170"/>
      <c r="E33" s="167"/>
      <c r="F33" s="167"/>
      <c r="G33" s="167"/>
      <c r="H33" s="167"/>
      <c r="I33" s="169"/>
      <c r="J33" s="167"/>
      <c r="K33" s="168"/>
      <c r="L33" s="168"/>
      <c r="M33" s="168"/>
      <c r="N33" s="168"/>
      <c r="O33" s="167"/>
    </row>
  </sheetData>
  <mergeCells count="1">
    <mergeCell ref="A1:S1"/>
  </mergeCells>
  <pageMargins left="0.78740157499999996" right="0.78740157499999996" top="0.984251969" bottom="0.984251969" header="0.4921259845" footer="0.4921259845"/>
  <pageSetup paperSize="9" scale="72" orientation="landscape" horizontalDpi="4294967295" verticalDpi="429496729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2"/>
  <sheetViews>
    <sheetView workbookViewId="0">
      <selection activeCell="N12" sqref="N12"/>
    </sheetView>
  </sheetViews>
  <sheetFormatPr baseColWidth="10" defaultColWidth="11.5" defaultRowHeight="15"/>
  <cols>
    <col min="2" max="2" width="20.5" customWidth="1"/>
    <col min="8" max="8" width="11.83203125" customWidth="1"/>
  </cols>
  <sheetData>
    <row r="1" spans="1:12"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</row>
    <row r="2" spans="1:12">
      <c r="A2" t="s">
        <v>1</v>
      </c>
      <c r="B2" t="s">
        <v>271</v>
      </c>
      <c r="C2" s="89">
        <v>0.29859999999999998</v>
      </c>
      <c r="D2" s="89">
        <v>0.22739999999999999</v>
      </c>
      <c r="E2" s="89">
        <v>0.2094</v>
      </c>
      <c r="F2" s="89">
        <v>0.28050000000000003</v>
      </c>
      <c r="G2" s="89">
        <v>0.30280000000000001</v>
      </c>
      <c r="H2" s="206">
        <v>0.28289999999999998</v>
      </c>
      <c r="I2" s="89">
        <v>0.25090000000000001</v>
      </c>
      <c r="J2" s="89">
        <v>0.247</v>
      </c>
      <c r="K2" s="89">
        <v>0.24809999999999999</v>
      </c>
      <c r="L2" s="89">
        <v>0.20309999999999997</v>
      </c>
    </row>
    <row r="3" spans="1:12">
      <c r="A3" t="s">
        <v>2</v>
      </c>
      <c r="B3" t="s">
        <v>272</v>
      </c>
      <c r="C3" s="89">
        <v>0.27060000000000001</v>
      </c>
      <c r="D3" s="89">
        <v>0.29239999999999999</v>
      </c>
      <c r="E3" s="89">
        <v>0.29520000000000002</v>
      </c>
      <c r="F3" s="89">
        <v>0.27129999999999999</v>
      </c>
      <c r="G3" s="89">
        <v>0.26729999999999998</v>
      </c>
      <c r="H3" s="206">
        <v>0.27160000000000001</v>
      </c>
      <c r="I3" s="89">
        <v>0.27539999999999998</v>
      </c>
      <c r="J3" s="89">
        <v>0.25190000000000001</v>
      </c>
      <c r="K3" s="89">
        <v>0.24059999999999998</v>
      </c>
      <c r="L3" s="89">
        <v>0.25140000000000001</v>
      </c>
    </row>
    <row r="4" spans="1:12">
      <c r="A4" t="s">
        <v>3</v>
      </c>
      <c r="B4" t="s">
        <v>273</v>
      </c>
      <c r="C4" s="89">
        <v>0.2087</v>
      </c>
      <c r="D4" s="89">
        <v>0.22270000000000001</v>
      </c>
      <c r="E4" s="89">
        <v>0.21059999999999998</v>
      </c>
      <c r="F4" s="89">
        <v>0.2014</v>
      </c>
      <c r="G4" s="89">
        <v>0.18899999999999997</v>
      </c>
      <c r="H4" s="206">
        <v>0.188</v>
      </c>
      <c r="I4" s="89">
        <v>0.18969999999999998</v>
      </c>
      <c r="J4" s="89">
        <v>0.2069</v>
      </c>
      <c r="K4" s="89">
        <v>0.2334</v>
      </c>
      <c r="L4" s="89">
        <v>0.24420000000000003</v>
      </c>
    </row>
    <row r="5" spans="1:12">
      <c r="A5" t="s">
        <v>4</v>
      </c>
      <c r="B5" t="s">
        <v>257</v>
      </c>
      <c r="C5" s="89">
        <v>6.9199999999999998E-2</v>
      </c>
      <c r="D5" s="89">
        <v>8.5800000000000001E-2</v>
      </c>
      <c r="E5" s="89">
        <v>8.7499999999999994E-2</v>
      </c>
      <c r="F5" s="89">
        <v>9.3399999999999997E-2</v>
      </c>
      <c r="G5" s="89">
        <v>9.6999999999999989E-2</v>
      </c>
      <c r="H5" s="206">
        <v>0.1042</v>
      </c>
      <c r="I5" s="89">
        <v>0.1125</v>
      </c>
      <c r="J5" s="89">
        <v>0.11210000000000001</v>
      </c>
      <c r="K5" s="89">
        <v>0.1104</v>
      </c>
      <c r="L5" s="89">
        <v>0.10980000000000001</v>
      </c>
    </row>
    <row r="6" spans="1:12">
      <c r="A6" t="s">
        <v>5</v>
      </c>
      <c r="B6" t="s">
        <v>258</v>
      </c>
      <c r="C6" s="89">
        <v>6.9900000000000004E-2</v>
      </c>
      <c r="D6" s="89">
        <v>6.4199999999999993E-2</v>
      </c>
      <c r="E6" s="89">
        <v>7.3700000000000002E-2</v>
      </c>
      <c r="F6" s="89">
        <v>6.9599999999999995E-2</v>
      </c>
      <c r="G6" s="89">
        <v>6.3600000000000004E-2</v>
      </c>
      <c r="H6" s="206">
        <v>6.4100000000000004E-2</v>
      </c>
      <c r="I6" s="89">
        <v>7.7499999999999999E-2</v>
      </c>
      <c r="J6" s="89">
        <v>8.4700000000000011E-2</v>
      </c>
      <c r="K6" s="89">
        <v>7.5700000000000003E-2</v>
      </c>
      <c r="L6" s="89">
        <v>8.3599999999999994E-2</v>
      </c>
    </row>
    <row r="7" spans="1:12">
      <c r="A7" t="s">
        <v>6</v>
      </c>
      <c r="B7" t="s">
        <v>259</v>
      </c>
      <c r="C7" s="89">
        <v>3.27E-2</v>
      </c>
      <c r="D7" s="89">
        <v>4.3799999999999999E-2</v>
      </c>
      <c r="E7" s="89">
        <v>4.6600000000000003E-2</v>
      </c>
      <c r="F7" s="89">
        <v>3.0699999999999998E-2</v>
      </c>
      <c r="G7" s="89">
        <v>2.8799999999999999E-2</v>
      </c>
      <c r="H7" s="206">
        <v>3.1E-2</v>
      </c>
      <c r="I7" s="89">
        <v>2.5499999999999998E-2</v>
      </c>
      <c r="J7" s="89">
        <v>2.46E-2</v>
      </c>
      <c r="K7" s="89">
        <v>2.7400000000000001E-2</v>
      </c>
      <c r="L7" s="89">
        <v>3.1300000000000001E-2</v>
      </c>
    </row>
    <row r="8" spans="1:12">
      <c r="A8" t="s">
        <v>7</v>
      </c>
      <c r="B8" t="s">
        <v>274</v>
      </c>
      <c r="C8" s="89">
        <v>2.0199999999999999E-2</v>
      </c>
      <c r="D8" s="89">
        <v>2.52E-2</v>
      </c>
      <c r="E8" s="89">
        <v>2.5899999999999999E-2</v>
      </c>
      <c r="F8" s="89">
        <v>2.1099999999999997E-2</v>
      </c>
      <c r="G8" s="89">
        <v>2.1400000000000002E-2</v>
      </c>
      <c r="H8" s="206">
        <v>2.1600000000000001E-2</v>
      </c>
      <c r="I8" s="89">
        <v>2.58E-2</v>
      </c>
      <c r="J8" s="89">
        <v>3.4500000000000003E-2</v>
      </c>
      <c r="K8" s="89">
        <v>2.75E-2</v>
      </c>
      <c r="L8" s="89">
        <v>3.1200000000000002E-2</v>
      </c>
    </row>
    <row r="9" spans="1:12">
      <c r="A9" t="s">
        <v>7</v>
      </c>
      <c r="B9" t="s">
        <v>275</v>
      </c>
      <c r="C9" s="89">
        <v>5.1000000000000004E-3</v>
      </c>
      <c r="D9" s="89">
        <v>5.5000000000000005E-3</v>
      </c>
      <c r="E9" s="89">
        <v>7.7000000000000002E-3</v>
      </c>
      <c r="F9" s="89">
        <v>7.6E-3</v>
      </c>
      <c r="G9" s="89">
        <v>6.8000000000000005E-3</v>
      </c>
      <c r="H9" s="206">
        <v>1.01E-2</v>
      </c>
      <c r="I9" s="89">
        <v>1.2500000000000001E-2</v>
      </c>
      <c r="J9" s="89">
        <v>1.18E-2</v>
      </c>
      <c r="K9" s="89">
        <v>1.1000000000000001E-2</v>
      </c>
      <c r="L9" s="89">
        <v>1.37E-2</v>
      </c>
    </row>
    <row r="10" spans="1:12">
      <c r="C10" s="89">
        <f>SUM(C2:C9)</f>
        <v>0.97499999999999987</v>
      </c>
      <c r="D10" s="89">
        <f t="shared" ref="D10:L10" si="0">SUM(D2:D9)</f>
        <v>0.96699999999999997</v>
      </c>
      <c r="E10" s="89">
        <f t="shared" si="0"/>
        <v>0.95660000000000012</v>
      </c>
      <c r="F10" s="89">
        <f t="shared" si="0"/>
        <v>0.97560000000000013</v>
      </c>
      <c r="G10" s="89">
        <f t="shared" si="0"/>
        <v>0.97670000000000001</v>
      </c>
      <c r="H10" s="207">
        <f>SUM(H2:H9)</f>
        <v>0.97349999999999992</v>
      </c>
      <c r="I10" s="89">
        <f t="shared" si="0"/>
        <v>0.9698</v>
      </c>
      <c r="J10" s="89">
        <f t="shared" si="0"/>
        <v>0.97349999999999992</v>
      </c>
      <c r="K10" s="89">
        <f t="shared" si="0"/>
        <v>0.97409999999999997</v>
      </c>
      <c r="L10" s="89">
        <f t="shared" si="0"/>
        <v>0.96830000000000016</v>
      </c>
    </row>
    <row r="11" spans="1:12">
      <c r="B11" t="s">
        <v>293</v>
      </c>
      <c r="H11" s="205">
        <f>1-H10</f>
        <v>2.6500000000000079E-2</v>
      </c>
    </row>
    <row r="12" spans="1:12">
      <c r="B12" t="s">
        <v>276</v>
      </c>
      <c r="L12" s="89"/>
    </row>
    <row r="14" spans="1:12">
      <c r="B14" s="72">
        <v>2015</v>
      </c>
      <c r="C14" s="279" t="s">
        <v>1</v>
      </c>
      <c r="D14" s="279" t="s">
        <v>2</v>
      </c>
      <c r="E14" s="279" t="s">
        <v>3</v>
      </c>
      <c r="F14" s="279" t="s">
        <v>4</v>
      </c>
      <c r="G14" s="279" t="s">
        <v>5</v>
      </c>
      <c r="H14" s="279" t="s">
        <v>6</v>
      </c>
      <c r="I14" s="279" t="s">
        <v>7</v>
      </c>
      <c r="J14" s="279" t="s">
        <v>292</v>
      </c>
    </row>
    <row r="15" spans="1:12">
      <c r="B15" t="s">
        <v>300</v>
      </c>
      <c r="C15" s="247">
        <f>H2</f>
        <v>0.28289999999999998</v>
      </c>
      <c r="D15" s="247">
        <f>H3</f>
        <v>0.27160000000000001</v>
      </c>
      <c r="E15" s="247">
        <f>H4</f>
        <v>0.188</v>
      </c>
      <c r="F15" s="247">
        <f>H5</f>
        <v>0.1042</v>
      </c>
      <c r="G15" s="247">
        <f>H6</f>
        <v>6.4100000000000004E-2</v>
      </c>
      <c r="H15" s="247">
        <f>H7</f>
        <v>3.1E-2</v>
      </c>
      <c r="I15" s="248">
        <f>H8+H9+H11</f>
        <v>5.8200000000000078E-2</v>
      </c>
      <c r="J15" s="242">
        <f>SUM(C15:I15)</f>
        <v>1</v>
      </c>
    </row>
    <row r="16" spans="1:12">
      <c r="B16" t="s">
        <v>301</v>
      </c>
      <c r="C16" s="247">
        <f>'immat. de VP par PF'!X9</f>
        <v>0.28483338979519451</v>
      </c>
      <c r="D16" s="247">
        <f>'immat. de VP par PF'!Y9</f>
        <v>0.27133237798803855</v>
      </c>
      <c r="E16" s="247">
        <f>'immat. de VP par PF'!Z9</f>
        <v>0.18694071610605076</v>
      </c>
      <c r="F16" s="247">
        <f>'immat. de VP par PF'!AA9</f>
        <v>0.10425987512650903</v>
      </c>
      <c r="G16" s="247">
        <f>'immat. de VP par PF'!AB9</f>
        <v>6.4236102827387342E-2</v>
      </c>
      <c r="H16" s="247">
        <f>'immat. de VP par PF'!AC9</f>
        <v>2.9714313585466029E-2</v>
      </c>
      <c r="I16" s="247">
        <f>'immat. de VP par PF'!AD9</f>
        <v>5.8683224571353741E-2</v>
      </c>
      <c r="J16" s="242">
        <f>SUM(C16:I16)</f>
        <v>1</v>
      </c>
    </row>
    <row r="17" spans="9:9">
      <c r="I17" s="206"/>
    </row>
    <row r="18" spans="9:9">
      <c r="I18" s="206"/>
    </row>
    <row r="19" spans="9:9">
      <c r="I19" s="206"/>
    </row>
    <row r="20" spans="9:9">
      <c r="I20" s="206"/>
    </row>
    <row r="21" spans="9:9">
      <c r="I21" s="206"/>
    </row>
    <row r="22" spans="9:9">
      <c r="I22" s="20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166"/>
  <sheetViews>
    <sheetView showGridLines="0" zoomScale="130" zoomScaleNormal="130" workbookViewId="0">
      <pane xSplit="1" ySplit="1" topLeftCell="I26" activePane="bottomRight" state="frozen"/>
      <selection activeCell="D1" sqref="D1"/>
      <selection pane="topRight" activeCell="D1" sqref="D1"/>
      <selection pane="bottomLeft" activeCell="D1" sqref="D1"/>
      <selection pane="bottomRight" activeCell="Q32" sqref="Q32"/>
    </sheetView>
  </sheetViews>
  <sheetFormatPr baseColWidth="10" defaultColWidth="11.5" defaultRowHeight="11.5" customHeight="1"/>
  <cols>
    <col min="1" max="1" width="50.6640625" style="93" customWidth="1"/>
    <col min="2" max="17" width="10.6640625" style="108" customWidth="1"/>
    <col min="18" max="19" width="11.5" style="93" customWidth="1"/>
    <col min="20" max="20" width="18.33203125" style="93" customWidth="1"/>
    <col min="21" max="21" width="19" style="93" customWidth="1"/>
    <col min="22" max="16384" width="11.5" style="93"/>
  </cols>
  <sheetData>
    <row r="1" spans="1:17" ht="13.5" customHeight="1">
      <c r="A1" s="91" t="s">
        <v>198</v>
      </c>
      <c r="B1" s="92">
        <v>2000</v>
      </c>
      <c r="C1" s="92">
        <v>2001</v>
      </c>
      <c r="D1" s="92">
        <v>2002</v>
      </c>
      <c r="E1" s="92">
        <v>2003</v>
      </c>
      <c r="F1" s="92">
        <v>2004</v>
      </c>
      <c r="G1" s="92">
        <v>2005</v>
      </c>
      <c r="H1" s="92">
        <v>2006</v>
      </c>
      <c r="I1" s="92">
        <v>2007</v>
      </c>
      <c r="J1" s="92">
        <v>2008</v>
      </c>
      <c r="K1" s="92">
        <v>2009</v>
      </c>
      <c r="L1" s="92">
        <v>2010</v>
      </c>
      <c r="M1" s="92">
        <v>2011</v>
      </c>
      <c r="N1" s="92">
        <v>2012</v>
      </c>
      <c r="O1" s="92">
        <v>2013</v>
      </c>
      <c r="P1" s="92">
        <v>2014</v>
      </c>
      <c r="Q1" s="92">
        <v>2015</v>
      </c>
    </row>
    <row r="2" spans="1:17" ht="11.5" customHeight="1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</row>
    <row r="3" spans="1:17" ht="11.5" customHeight="1">
      <c r="A3" s="96" t="s">
        <v>199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</row>
    <row r="4" spans="1:17" ht="11.5" customHeight="1">
      <c r="A4" s="150" t="s">
        <v>200</v>
      </c>
      <c r="B4" s="151">
        <v>42631.410120118366</v>
      </c>
      <c r="C4" s="151">
        <v>43334.267425793361</v>
      </c>
      <c r="D4" s="151">
        <v>43342.316262303189</v>
      </c>
      <c r="E4" s="151">
        <v>42864.107155830556</v>
      </c>
      <c r="F4" s="151">
        <v>42895.828732972594</v>
      </c>
      <c r="G4" s="151">
        <v>42422.277475822324</v>
      </c>
      <c r="H4" s="151">
        <v>42597.815422820895</v>
      </c>
      <c r="I4" s="151">
        <v>42992.468619789266</v>
      </c>
      <c r="J4" s="151">
        <v>41850.167621154134</v>
      </c>
      <c r="K4" s="151">
        <v>41592.926062128237</v>
      </c>
      <c r="L4" s="151">
        <v>41643.499877955561</v>
      </c>
      <c r="M4" s="151">
        <v>41431.303044497319</v>
      </c>
      <c r="N4" s="151">
        <v>41284.217027814855</v>
      </c>
      <c r="O4" s="151">
        <v>41037.933503867564</v>
      </c>
      <c r="P4" s="151">
        <v>41461.608298835345</v>
      </c>
      <c r="Q4" s="151">
        <v>41865.957544728539</v>
      </c>
    </row>
    <row r="5" spans="1:17" ht="11.5" customHeight="1">
      <c r="A5" s="152" t="s">
        <v>201</v>
      </c>
      <c r="B5" s="153">
        <v>42301.068975929637</v>
      </c>
      <c r="C5" s="153">
        <v>42981.172579999999</v>
      </c>
      <c r="D5" s="153">
        <v>42970.362280000001</v>
      </c>
      <c r="E5" s="153">
        <v>42506.791720000001</v>
      </c>
      <c r="F5" s="153">
        <v>42505.059289999997</v>
      </c>
      <c r="G5" s="153">
        <v>41788.852281216212</v>
      </c>
      <c r="H5" s="153">
        <v>41827.119160000002</v>
      </c>
      <c r="I5" s="153">
        <v>41509.666640000003</v>
      </c>
      <c r="J5" s="153">
        <v>39478.523480000003</v>
      </c>
      <c r="K5" s="153">
        <v>39054.964059999998</v>
      </c>
      <c r="L5" s="153">
        <v>39149.734464968613</v>
      </c>
      <c r="M5" s="153">
        <v>38916.885341324873</v>
      </c>
      <c r="N5" s="153">
        <v>38528.779154182863</v>
      </c>
      <c r="O5" s="153">
        <v>38238.263193206185</v>
      </c>
      <c r="P5" s="153">
        <v>38404.536512432875</v>
      </c>
      <c r="Q5" s="153">
        <v>38754.605779539299</v>
      </c>
    </row>
    <row r="6" spans="1:17" ht="11.5" customHeight="1">
      <c r="A6" s="104" t="s">
        <v>202</v>
      </c>
      <c r="B6" s="153">
        <v>238.41617908664827</v>
      </c>
      <c r="C6" s="153">
        <v>230.69955999999999</v>
      </c>
      <c r="D6" s="153">
        <v>206.59992</v>
      </c>
      <c r="E6" s="153">
        <v>182.39823000000001</v>
      </c>
      <c r="F6" s="153">
        <v>165.89479</v>
      </c>
      <c r="G6" s="153">
        <v>152.71806976123051</v>
      </c>
      <c r="H6" s="153">
        <v>142.80002999999999</v>
      </c>
      <c r="I6" s="153">
        <v>129.60301000000001</v>
      </c>
      <c r="J6" s="153">
        <v>121.99663</v>
      </c>
      <c r="K6" s="153">
        <v>108.79891000000001</v>
      </c>
      <c r="L6" s="153">
        <v>126.34949824461857</v>
      </c>
      <c r="M6" s="153">
        <v>139.53340657569797</v>
      </c>
      <c r="N6" s="153">
        <v>126.34941056877135</v>
      </c>
      <c r="O6" s="153">
        <v>112.06667818426504</v>
      </c>
      <c r="P6" s="153">
        <v>99.981047122215855</v>
      </c>
      <c r="Q6" s="153">
        <v>88.994217726176743</v>
      </c>
    </row>
    <row r="7" spans="1:17" ht="11.5" customHeight="1">
      <c r="A7" s="104" t="s">
        <v>203</v>
      </c>
      <c r="B7" s="153">
        <v>14395.069539109378</v>
      </c>
      <c r="C7" s="153">
        <v>14013.31336</v>
      </c>
      <c r="D7" s="153">
        <v>13501.79442</v>
      </c>
      <c r="E7" s="153">
        <v>12635.280290000001</v>
      </c>
      <c r="F7" s="153">
        <v>11951.085489999999</v>
      </c>
      <c r="G7" s="153">
        <v>11169.221954346103</v>
      </c>
      <c r="H7" s="153">
        <v>10412.14806</v>
      </c>
      <c r="I7" s="153">
        <v>9676.4018000000015</v>
      </c>
      <c r="J7" s="153">
        <v>8575.088240000001</v>
      </c>
      <c r="K7" s="153">
        <v>8246.867110000001</v>
      </c>
      <c r="L7" s="153">
        <v>7583.0734959137799</v>
      </c>
      <c r="M7" s="153">
        <v>7097.2767641513983</v>
      </c>
      <c r="N7" s="153">
        <v>6661.8749623761996</v>
      </c>
      <c r="O7" s="153">
        <v>6440.9570368324066</v>
      </c>
      <c r="P7" s="153">
        <v>6489.2031226000681</v>
      </c>
      <c r="Q7" s="153">
        <v>6566.4252577164953</v>
      </c>
    </row>
    <row r="8" spans="1:17" ht="11.5" customHeight="1">
      <c r="A8" s="104" t="s">
        <v>204</v>
      </c>
      <c r="B8" s="153">
        <v>27667.583257733611</v>
      </c>
      <c r="C8" s="153">
        <v>28737.159659999998</v>
      </c>
      <c r="D8" s="153">
        <v>29261.967939999999</v>
      </c>
      <c r="E8" s="153">
        <v>29689.1132</v>
      </c>
      <c r="F8" s="153">
        <v>30388.079009999998</v>
      </c>
      <c r="G8" s="153">
        <v>30466.912257108874</v>
      </c>
      <c r="H8" s="153">
        <v>31272.17107</v>
      </c>
      <c r="I8" s="153">
        <v>31703.661830000001</v>
      </c>
      <c r="J8" s="153">
        <v>30781.438610000001</v>
      </c>
      <c r="K8" s="153">
        <v>30699.298040000001</v>
      </c>
      <c r="L8" s="153">
        <v>31440.311470810218</v>
      </c>
      <c r="M8" s="153">
        <v>31680.075170597775</v>
      </c>
      <c r="N8" s="153">
        <v>31740.554781237894</v>
      </c>
      <c r="O8" s="153">
        <v>31685.239478189513</v>
      </c>
      <c r="P8" s="153">
        <v>31815.35234271059</v>
      </c>
      <c r="Q8" s="153">
        <v>32099.186304096631</v>
      </c>
    </row>
    <row r="9" spans="1:17" ht="11.5" customHeight="1">
      <c r="A9" s="152" t="s">
        <v>205</v>
      </c>
      <c r="B9" s="153">
        <v>1.8391148144667793</v>
      </c>
      <c r="C9" s="153">
        <v>23.19998</v>
      </c>
      <c r="D9" s="153">
        <v>27.099979999999999</v>
      </c>
      <c r="E9" s="153">
        <v>37.900039999999997</v>
      </c>
      <c r="F9" s="153">
        <v>42.599980000000002</v>
      </c>
      <c r="G9" s="153">
        <v>46.813808599103965</v>
      </c>
      <c r="H9" s="153">
        <v>61.899859999999997</v>
      </c>
      <c r="I9" s="153">
        <v>69.600250000000003</v>
      </c>
      <c r="J9" s="153">
        <v>85.099829999999997</v>
      </c>
      <c r="K9" s="153">
        <v>85.099559999999997</v>
      </c>
      <c r="L9" s="153">
        <v>88.994005335282637</v>
      </c>
      <c r="M9" s="153">
        <v>90.928610314200483</v>
      </c>
      <c r="N9" s="153">
        <v>91.143790999709438</v>
      </c>
      <c r="O9" s="153">
        <v>94.010127317766049</v>
      </c>
      <c r="P9" s="153">
        <v>129.45441828355391</v>
      </c>
      <c r="Q9" s="153">
        <v>131.24569580361205</v>
      </c>
    </row>
    <row r="10" spans="1:17" ht="11.5" customHeight="1">
      <c r="A10" s="152" t="s">
        <v>206</v>
      </c>
      <c r="B10" s="153">
        <v>324.59118944719745</v>
      </c>
      <c r="C10" s="153">
        <v>325.59980999999999</v>
      </c>
      <c r="D10" s="153">
        <v>340.19862000000001</v>
      </c>
      <c r="E10" s="153">
        <v>314.50897999999995</v>
      </c>
      <c r="F10" s="153">
        <v>343.00256999999999</v>
      </c>
      <c r="G10" s="153">
        <v>581.5183941681471</v>
      </c>
      <c r="H10" s="153">
        <v>703.79030999999998</v>
      </c>
      <c r="I10" s="153">
        <v>1408.1892200000002</v>
      </c>
      <c r="J10" s="153">
        <v>2281.8733700000003</v>
      </c>
      <c r="K10" s="153">
        <v>2448.2230500000001</v>
      </c>
      <c r="L10" s="153">
        <v>2400.4725720218366</v>
      </c>
      <c r="M10" s="153">
        <v>2418.2191027688368</v>
      </c>
      <c r="N10" s="153">
        <v>2655.4647935649182</v>
      </c>
      <c r="O10" s="153">
        <v>2690.217254341489</v>
      </c>
      <c r="P10" s="153">
        <v>2906.2054005612513</v>
      </c>
      <c r="Q10" s="153">
        <v>2949.0780190372589</v>
      </c>
    </row>
    <row r="11" spans="1:17" ht="11.5" customHeight="1">
      <c r="A11" s="104" t="s">
        <v>207</v>
      </c>
      <c r="B11" s="153">
        <v>0</v>
      </c>
      <c r="C11" s="153">
        <v>0</v>
      </c>
      <c r="D11" s="153">
        <v>0</v>
      </c>
      <c r="E11" s="153">
        <v>0</v>
      </c>
      <c r="F11" s="153">
        <v>0</v>
      </c>
      <c r="G11" s="153">
        <v>0</v>
      </c>
      <c r="H11" s="153">
        <v>0</v>
      </c>
      <c r="I11" s="153">
        <v>0</v>
      </c>
      <c r="J11" s="153">
        <v>0</v>
      </c>
      <c r="K11" s="153">
        <v>0</v>
      </c>
      <c r="L11" s="153">
        <v>0</v>
      </c>
      <c r="M11" s="153">
        <v>0</v>
      </c>
      <c r="N11" s="153">
        <v>0</v>
      </c>
      <c r="O11" s="153">
        <v>0</v>
      </c>
      <c r="P11" s="153">
        <v>0</v>
      </c>
      <c r="Q11" s="153">
        <v>0</v>
      </c>
    </row>
    <row r="12" spans="1:17" ht="11.5" customHeight="1">
      <c r="A12" s="104" t="s">
        <v>208</v>
      </c>
      <c r="B12" s="153">
        <v>58.254518766812119</v>
      </c>
      <c r="C12" s="153">
        <v>53.099970000000006</v>
      </c>
      <c r="D12" s="153">
        <v>56.299869999999999</v>
      </c>
      <c r="E12" s="153">
        <v>47.389870000000002</v>
      </c>
      <c r="F12" s="153">
        <v>51.200469999999996</v>
      </c>
      <c r="G12" s="153">
        <v>99.861575828148389</v>
      </c>
      <c r="H12" s="153">
        <v>142.12067999999999</v>
      </c>
      <c r="I12" s="153">
        <v>261.10122000000001</v>
      </c>
      <c r="J12" s="153">
        <v>433.39861000000002</v>
      </c>
      <c r="K12" s="153">
        <v>399.40377999999998</v>
      </c>
      <c r="L12" s="153">
        <v>395.57651902004363</v>
      </c>
      <c r="M12" s="153">
        <v>390.47013955283876</v>
      </c>
      <c r="N12" s="153">
        <v>400.06687660370716</v>
      </c>
      <c r="O12" s="153">
        <v>391.75509712014099</v>
      </c>
      <c r="P12" s="153">
        <v>406.46795066476199</v>
      </c>
      <c r="Q12" s="153">
        <v>421.20451624202116</v>
      </c>
    </row>
    <row r="13" spans="1:17" ht="11.5" customHeight="1">
      <c r="A13" s="104" t="s">
        <v>209</v>
      </c>
      <c r="B13" s="153">
        <v>266.33667068038534</v>
      </c>
      <c r="C13" s="153">
        <v>272.49984000000001</v>
      </c>
      <c r="D13" s="153">
        <v>283.89875000000001</v>
      </c>
      <c r="E13" s="153">
        <v>267.11910999999998</v>
      </c>
      <c r="F13" s="153">
        <v>291.8021</v>
      </c>
      <c r="G13" s="153">
        <v>481.65681833999872</v>
      </c>
      <c r="H13" s="153">
        <v>561.66962999999998</v>
      </c>
      <c r="I13" s="153">
        <v>1147.0880000000002</v>
      </c>
      <c r="J13" s="153">
        <v>1848.4747600000001</v>
      </c>
      <c r="K13" s="153">
        <v>2048.81927</v>
      </c>
      <c r="L13" s="153">
        <v>2004.8960530017932</v>
      </c>
      <c r="M13" s="153">
        <v>2027.7489632159982</v>
      </c>
      <c r="N13" s="153">
        <v>2255.3979169612112</v>
      </c>
      <c r="O13" s="153">
        <v>2298.4621572213482</v>
      </c>
      <c r="P13" s="153">
        <v>2499.7374498964891</v>
      </c>
      <c r="Q13" s="153">
        <v>2527.8735027952375</v>
      </c>
    </row>
    <row r="14" spans="1:17" ht="11.5" customHeight="1">
      <c r="A14" s="104" t="s">
        <v>210</v>
      </c>
      <c r="B14" s="153">
        <v>0</v>
      </c>
      <c r="C14" s="153">
        <v>0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0</v>
      </c>
      <c r="J14" s="153">
        <v>0</v>
      </c>
      <c r="K14" s="153">
        <v>0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</row>
    <row r="15" spans="1:17" ht="11.5" customHeight="1">
      <c r="A15" s="154" t="s">
        <v>126</v>
      </c>
      <c r="B15" s="155">
        <v>3.9108399270596683</v>
      </c>
      <c r="C15" s="155">
        <v>4.2950557933671973</v>
      </c>
      <c r="D15" s="155">
        <v>4.6553823031878379</v>
      </c>
      <c r="E15" s="155">
        <v>4.9064158305547174</v>
      </c>
      <c r="F15" s="155">
        <v>5.1668929725972212</v>
      </c>
      <c r="G15" s="155">
        <v>5.0929918388624325</v>
      </c>
      <c r="H15" s="155">
        <v>5.0060928208957183</v>
      </c>
      <c r="I15" s="155">
        <v>5.0125097892613883</v>
      </c>
      <c r="J15" s="155">
        <v>4.6709411541341348</v>
      </c>
      <c r="K15" s="155">
        <v>4.6393921282362394</v>
      </c>
      <c r="L15" s="155">
        <v>4.2988356298298411</v>
      </c>
      <c r="M15" s="155">
        <v>5.2699900894106682</v>
      </c>
      <c r="N15" s="155">
        <v>8.8292890673629358</v>
      </c>
      <c r="O15" s="155">
        <v>15.442929002124636</v>
      </c>
      <c r="P15" s="155">
        <v>21.411967557668987</v>
      </c>
      <c r="Q15" s="155">
        <v>31.02805034836674</v>
      </c>
    </row>
    <row r="17" spans="1:17" ht="11.5" customHeight="1">
      <c r="A17" s="96" t="s">
        <v>211</v>
      </c>
      <c r="B17" s="117">
        <v>42631.410120118358</v>
      </c>
      <c r="C17" s="117">
        <v>43334.267425793369</v>
      </c>
      <c r="D17" s="117">
        <v>43342.316262303197</v>
      </c>
      <c r="E17" s="117">
        <v>42864.107155830556</v>
      </c>
      <c r="F17" s="117">
        <v>42895.828732972586</v>
      </c>
      <c r="G17" s="117">
        <v>42422.277475822317</v>
      </c>
      <c r="H17" s="117">
        <v>42597.815422820902</v>
      </c>
      <c r="I17" s="117">
        <v>42992.468619789259</v>
      </c>
      <c r="J17" s="117">
        <v>41850.167621154134</v>
      </c>
      <c r="K17" s="117">
        <v>41592.926062128237</v>
      </c>
      <c r="L17" s="117">
        <v>41643.499877955561</v>
      </c>
      <c r="M17" s="117">
        <v>41431.303044497319</v>
      </c>
      <c r="N17" s="117">
        <v>41284.217027814855</v>
      </c>
      <c r="O17" s="117">
        <v>41037.933503867564</v>
      </c>
      <c r="P17" s="117">
        <v>41461.608298835345</v>
      </c>
      <c r="Q17" s="117">
        <v>41865.957544728546</v>
      </c>
    </row>
    <row r="18" spans="1:17" ht="11.5" customHeight="1">
      <c r="A18" s="98" t="s">
        <v>178</v>
      </c>
      <c r="B18" s="118">
        <v>26205.672846706479</v>
      </c>
      <c r="C18" s="118">
        <v>26653.658597533402</v>
      </c>
      <c r="D18" s="118">
        <v>26508.534829770106</v>
      </c>
      <c r="E18" s="118">
        <v>26030.232249438461</v>
      </c>
      <c r="F18" s="118">
        <v>25503.607798213205</v>
      </c>
      <c r="G18" s="118">
        <v>24984.208560303192</v>
      </c>
      <c r="H18" s="118">
        <v>25037.4358707133</v>
      </c>
      <c r="I18" s="118">
        <v>25199.4394587143</v>
      </c>
      <c r="J18" s="118">
        <v>24717.044792887609</v>
      </c>
      <c r="K18" s="118">
        <v>25261.618181460886</v>
      </c>
      <c r="L18" s="118">
        <v>24574.347214650508</v>
      </c>
      <c r="M18" s="118">
        <v>24171.345621589171</v>
      </c>
      <c r="N18" s="118">
        <v>24478.955963302858</v>
      </c>
      <c r="O18" s="118">
        <v>24117.049026341989</v>
      </c>
      <c r="P18" s="118">
        <v>24517.838304818997</v>
      </c>
      <c r="Q18" s="118">
        <v>25000.209048542525</v>
      </c>
    </row>
    <row r="19" spans="1:17" ht="11.5" customHeight="1">
      <c r="A19" s="156" t="s">
        <v>212</v>
      </c>
      <c r="B19" s="157">
        <v>361.71767894041511</v>
      </c>
      <c r="C19" s="157">
        <v>396.59471317318707</v>
      </c>
      <c r="D19" s="157">
        <v>436.90221147083855</v>
      </c>
      <c r="E19" s="157">
        <v>438.03303274285992</v>
      </c>
      <c r="F19" s="157">
        <v>467.44215717013299</v>
      </c>
      <c r="G19" s="157">
        <v>480.34115042217479</v>
      </c>
      <c r="H19" s="157">
        <v>481.4062603339645</v>
      </c>
      <c r="I19" s="157">
        <v>496.8767004072547</v>
      </c>
      <c r="J19" s="157">
        <v>522.96048589854706</v>
      </c>
      <c r="K19" s="157">
        <v>552.70204968610915</v>
      </c>
      <c r="L19" s="157">
        <v>553.29332534734624</v>
      </c>
      <c r="M19" s="157">
        <v>553.43492929723698</v>
      </c>
      <c r="N19" s="157">
        <v>554.59404906497934</v>
      </c>
      <c r="O19" s="157">
        <v>555.88929233427893</v>
      </c>
      <c r="P19" s="157">
        <v>557.21720172737969</v>
      </c>
      <c r="Q19" s="157">
        <v>558.97260657158677</v>
      </c>
    </row>
    <row r="20" spans="1:17" ht="11.5" customHeight="1">
      <c r="A20" s="158" t="s">
        <v>213</v>
      </c>
      <c r="B20" s="159">
        <v>1.457913019298791</v>
      </c>
      <c r="C20" s="159">
        <v>1.4971241692963135</v>
      </c>
      <c r="D20" s="159">
        <v>1.8142326777195408</v>
      </c>
      <c r="E20" s="159">
        <v>1.6367474842056347</v>
      </c>
      <c r="F20" s="159">
        <v>1.9940583172811424</v>
      </c>
      <c r="G20" s="159">
        <v>4.2565683436301871</v>
      </c>
      <c r="H20" s="159">
        <v>6.4824751728768337</v>
      </c>
      <c r="I20" s="159">
        <v>13.055101709635373</v>
      </c>
      <c r="J20" s="159">
        <v>25.159646836067132</v>
      </c>
      <c r="K20" s="159">
        <v>25.531386960555864</v>
      </c>
      <c r="L20" s="159">
        <v>27.431939893122767</v>
      </c>
      <c r="M20" s="159">
        <v>28.860459208256838</v>
      </c>
      <c r="N20" s="159">
        <v>31.418371044596292</v>
      </c>
      <c r="O20" s="159">
        <v>31.872038428829015</v>
      </c>
      <c r="P20" s="159">
        <v>32.84537960915916</v>
      </c>
      <c r="Q20" s="159">
        <v>33.694084254573809</v>
      </c>
    </row>
    <row r="21" spans="1:17" ht="11.5" customHeight="1">
      <c r="A21" s="102" t="s">
        <v>164</v>
      </c>
      <c r="B21" s="120">
        <v>24247.943446617308</v>
      </c>
      <c r="C21" s="120">
        <v>24672.85143897637</v>
      </c>
      <c r="D21" s="120">
        <v>24479.629601452889</v>
      </c>
      <c r="E21" s="120">
        <v>23989.910466648096</v>
      </c>
      <c r="F21" s="120">
        <v>23378.231810987611</v>
      </c>
      <c r="G21" s="120">
        <v>22782.534213145624</v>
      </c>
      <c r="H21" s="120">
        <v>22764.597416192333</v>
      </c>
      <c r="I21" s="120">
        <v>22829.212305913981</v>
      </c>
      <c r="J21" s="120">
        <v>22312.158877869522</v>
      </c>
      <c r="K21" s="120">
        <v>22856.69583886287</v>
      </c>
      <c r="L21" s="120">
        <v>22208.508699363756</v>
      </c>
      <c r="M21" s="120">
        <v>21781.89617999598</v>
      </c>
      <c r="N21" s="120">
        <v>22106.507252205462</v>
      </c>
      <c r="O21" s="120">
        <v>21679.37867555553</v>
      </c>
      <c r="P21" s="120">
        <v>22066.925378096865</v>
      </c>
      <c r="Q21" s="120">
        <v>22524.113554854383</v>
      </c>
    </row>
    <row r="22" spans="1:17" ht="11.5" customHeight="1">
      <c r="A22" s="104" t="s">
        <v>165</v>
      </c>
      <c r="B22" s="121">
        <v>12962.961143528117</v>
      </c>
      <c r="C22" s="121">
        <v>12695.230782026603</v>
      </c>
      <c r="D22" s="121">
        <v>12289.693979723539</v>
      </c>
      <c r="E22" s="121">
        <v>11565.481312404107</v>
      </c>
      <c r="F22" s="121">
        <v>10992.060992390278</v>
      </c>
      <c r="G22" s="121">
        <v>10328.761713759774</v>
      </c>
      <c r="H22" s="121">
        <v>9677.2829068163064</v>
      </c>
      <c r="I22" s="121">
        <v>9094.4557911938064</v>
      </c>
      <c r="J22" s="121">
        <v>8173.0996364333823</v>
      </c>
      <c r="K22" s="121">
        <v>7804.7326731940111</v>
      </c>
      <c r="L22" s="121">
        <v>7154.0684645501533</v>
      </c>
      <c r="M22" s="121">
        <v>6678.6309812805184</v>
      </c>
      <c r="N22" s="121">
        <v>6265.4824422358661</v>
      </c>
      <c r="O22" s="121">
        <v>6047.3811354963636</v>
      </c>
      <c r="P22" s="121">
        <v>6137.2545590436594</v>
      </c>
      <c r="Q22" s="121">
        <v>6247.8525529058779</v>
      </c>
    </row>
    <row r="23" spans="1:17" ht="11.5" customHeight="1">
      <c r="A23" s="160" t="s">
        <v>213</v>
      </c>
      <c r="B23" s="121">
        <v>52.247570191135594</v>
      </c>
      <c r="C23" s="121">
        <v>47.923828047265921</v>
      </c>
      <c r="D23" s="121">
        <v>51.032848614170391</v>
      </c>
      <c r="E23" s="121">
        <v>43.21539935737475</v>
      </c>
      <c r="F23" s="121">
        <v>46.890958185356268</v>
      </c>
      <c r="G23" s="121">
        <v>91.528864643489655</v>
      </c>
      <c r="H23" s="121">
        <v>130.31144659569375</v>
      </c>
      <c r="I23" s="121">
        <v>238.95072006899048</v>
      </c>
      <c r="J23" s="121">
        <v>393.20810262621779</v>
      </c>
      <c r="K23" s="121">
        <v>360.52996386783252</v>
      </c>
      <c r="L23" s="121">
        <v>354.69427719487339</v>
      </c>
      <c r="M23" s="121">
        <v>348.27645816826652</v>
      </c>
      <c r="N23" s="121">
        <v>354.94656402363529</v>
      </c>
      <c r="O23" s="121">
        <v>346.72796652541365</v>
      </c>
      <c r="P23" s="121">
        <v>361.76280115712501</v>
      </c>
      <c r="Q23" s="121">
        <v>376.61178357012091</v>
      </c>
    </row>
    <row r="24" spans="1:17" ht="11.5" customHeight="1">
      <c r="A24" s="104" t="s">
        <v>166</v>
      </c>
      <c r="B24" s="121">
        <v>11065.179580108337</v>
      </c>
      <c r="C24" s="121">
        <v>11767.205015236959</v>
      </c>
      <c r="D24" s="121">
        <v>12004.594860745046</v>
      </c>
      <c r="E24" s="121">
        <v>12264.041479187435</v>
      </c>
      <c r="F24" s="121">
        <v>12242.921903980647</v>
      </c>
      <c r="G24" s="121">
        <v>12324.778516892067</v>
      </c>
      <c r="H24" s="121">
        <v>12969.868298072211</v>
      </c>
      <c r="I24" s="121">
        <v>13625.518268238569</v>
      </c>
      <c r="J24" s="121">
        <v>14035.831540459549</v>
      </c>
      <c r="K24" s="121">
        <v>14961.016777732299</v>
      </c>
      <c r="L24" s="121">
        <v>14945.226219861197</v>
      </c>
      <c r="M24" s="121">
        <v>14978.798719283646</v>
      </c>
      <c r="N24" s="121">
        <v>15726.295331983691</v>
      </c>
      <c r="O24" s="121">
        <v>15526.872509563358</v>
      </c>
      <c r="P24" s="121">
        <v>15830.794825888934</v>
      </c>
      <c r="Q24" s="121">
        <v>16178.284911999919</v>
      </c>
    </row>
    <row r="25" spans="1:17" ht="11.5" customHeight="1">
      <c r="A25" s="160" t="s">
        <v>213</v>
      </c>
      <c r="B25" s="121">
        <v>105.51961645388054</v>
      </c>
      <c r="C25" s="121">
        <v>110.55027517039518</v>
      </c>
      <c r="D25" s="121">
        <v>115.36764955431984</v>
      </c>
      <c r="E25" s="121">
        <v>109.37239591187299</v>
      </c>
      <c r="F25" s="121">
        <v>116.46254500875641</v>
      </c>
      <c r="G25" s="121">
        <v>191.8848358902907</v>
      </c>
      <c r="H25" s="121">
        <v>229.01189591546532</v>
      </c>
      <c r="I25" s="121">
        <v>476.42261185347638</v>
      </c>
      <c r="J25" s="121">
        <v>796.85590437870724</v>
      </c>
      <c r="K25" s="121">
        <v>937.68042643475212</v>
      </c>
      <c r="L25" s="121">
        <v>897.79127297378238</v>
      </c>
      <c r="M25" s="121">
        <v>903.0585266394603</v>
      </c>
      <c r="N25" s="121">
        <v>1045.541775789276</v>
      </c>
      <c r="O25" s="121">
        <v>1052.3211290102588</v>
      </c>
      <c r="P25" s="121">
        <v>1155.3171103633251</v>
      </c>
      <c r="Q25" s="121">
        <v>1183.2415251242835</v>
      </c>
    </row>
    <row r="26" spans="1:17" ht="11.5" customHeight="1">
      <c r="A26" s="104" t="s">
        <v>167</v>
      </c>
      <c r="B26" s="121">
        <v>219.8027229808545</v>
      </c>
      <c r="C26" s="121">
        <v>210.41564171280703</v>
      </c>
      <c r="D26" s="121">
        <v>185.3407609843002</v>
      </c>
      <c r="E26" s="121">
        <v>160.38767505655511</v>
      </c>
      <c r="F26" s="121">
        <v>143.24891461668656</v>
      </c>
      <c r="G26" s="121">
        <v>128.99398249378422</v>
      </c>
      <c r="H26" s="121">
        <v>117.44114295769005</v>
      </c>
      <c r="I26" s="121">
        <v>108.49108576276009</v>
      </c>
      <c r="J26" s="121">
        <v>101.86169150549883</v>
      </c>
      <c r="K26" s="121">
        <v>89.080726900628349</v>
      </c>
      <c r="L26" s="121">
        <v>107.18182975243113</v>
      </c>
      <c r="M26" s="121">
        <v>121.34570264304416</v>
      </c>
      <c r="N26" s="121">
        <v>109.3985407708998</v>
      </c>
      <c r="O26" s="121">
        <v>96.075244049998062</v>
      </c>
      <c r="P26" s="121">
        <v>85.357112715195242</v>
      </c>
      <c r="Q26" s="121">
        <v>75.618013146346414</v>
      </c>
    </row>
    <row r="27" spans="1:17" ht="11.5" customHeight="1">
      <c r="A27" s="104" t="s">
        <v>168</v>
      </c>
      <c r="B27" s="121">
        <v>0</v>
      </c>
      <c r="C27" s="121">
        <v>0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  <c r="I27" s="121">
        <v>0.73989914583633676</v>
      </c>
      <c r="J27" s="121">
        <v>1.3576363323857956</v>
      </c>
      <c r="K27" s="121">
        <v>1.8528717855480357</v>
      </c>
      <c r="L27" s="121">
        <v>1.9644357986628427</v>
      </c>
      <c r="M27" s="121">
        <v>2.0703809829429516</v>
      </c>
      <c r="N27" s="121">
        <v>2.2310559344873253</v>
      </c>
      <c r="O27" s="121">
        <v>2.1530843534005406</v>
      </c>
      <c r="P27" s="121">
        <v>2.2410528151129752</v>
      </c>
      <c r="Q27" s="121">
        <v>2.4035700099774631</v>
      </c>
    </row>
    <row r="28" spans="1:17" ht="11.5" customHeight="1">
      <c r="A28" s="160" t="s">
        <v>214</v>
      </c>
      <c r="B28" s="121">
        <v>0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</row>
    <row r="29" spans="1:17" ht="11.5" customHeight="1">
      <c r="A29" s="104" t="s">
        <v>215</v>
      </c>
      <c r="B29" s="121">
        <v>0</v>
      </c>
      <c r="C29" s="121">
        <v>0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  <c r="I29" s="121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1">
        <v>0.19402395954734886</v>
      </c>
      <c r="P29" s="121">
        <v>0.81106972925174992</v>
      </c>
      <c r="Q29" s="121">
        <v>2.9635706616123141</v>
      </c>
    </row>
    <row r="30" spans="1:17" ht="11.5" customHeight="1">
      <c r="A30" s="160" t="s">
        <v>213</v>
      </c>
      <c r="B30" s="121">
        <v>0</v>
      </c>
      <c r="C30" s="121">
        <v>0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  <c r="I30" s="121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7.2762776361809441E-3</v>
      </c>
      <c r="P30" s="121">
        <v>3.1103161228664192E-2</v>
      </c>
      <c r="Q30" s="121">
        <v>0.115818110645309</v>
      </c>
    </row>
    <row r="31" spans="1:17" ht="11.5" customHeight="1">
      <c r="A31" s="160" t="s">
        <v>216</v>
      </c>
      <c r="B31" s="121">
        <v>0</v>
      </c>
      <c r="C31" s="121">
        <v>0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  <c r="I31" s="121">
        <v>0</v>
      </c>
      <c r="J31" s="121">
        <v>0</v>
      </c>
      <c r="K31" s="121">
        <v>0</v>
      </c>
      <c r="L31" s="121">
        <v>0</v>
      </c>
      <c r="M31" s="121">
        <v>0</v>
      </c>
      <c r="N31" s="121">
        <v>0</v>
      </c>
      <c r="O31" s="121">
        <v>6.7116330622499706E-2</v>
      </c>
      <c r="P31" s="121">
        <v>0.28340901499168808</v>
      </c>
      <c r="Q31" s="121">
        <v>1.0421903176186418</v>
      </c>
    </row>
    <row r="32" spans="1:17" ht="11.5" customHeight="1">
      <c r="A32" s="104" t="s">
        <v>170</v>
      </c>
      <c r="B32" s="121">
        <v>0</v>
      </c>
      <c r="C32" s="121">
        <v>0</v>
      </c>
      <c r="D32" s="121">
        <v>0</v>
      </c>
      <c r="E32" s="121">
        <v>0</v>
      </c>
      <c r="F32" s="121">
        <v>0</v>
      </c>
      <c r="G32" s="121">
        <v>0</v>
      </c>
      <c r="H32" s="121">
        <v>5.0683461247514284E-3</v>
      </c>
      <c r="I32" s="121">
        <v>7.2615730125739483E-3</v>
      </c>
      <c r="J32" s="121">
        <v>8.3731387061095688E-3</v>
      </c>
      <c r="K32" s="121">
        <v>1.2789250385935756E-2</v>
      </c>
      <c r="L32" s="121">
        <v>6.7749401313325255E-2</v>
      </c>
      <c r="M32" s="121">
        <v>1.0503958058287717</v>
      </c>
      <c r="N32" s="121">
        <v>3.0998812805163833</v>
      </c>
      <c r="O32" s="121">
        <v>6.7026781328627143</v>
      </c>
      <c r="P32" s="121">
        <v>10.466757904712505</v>
      </c>
      <c r="Q32" s="121">
        <v>16.990936130646745</v>
      </c>
    </row>
    <row r="33" spans="1:17" ht="11.5" customHeight="1">
      <c r="A33" s="102" t="s">
        <v>171</v>
      </c>
      <c r="B33" s="120">
        <v>1596.0117211487564</v>
      </c>
      <c r="C33" s="120">
        <v>1584.2124453838449</v>
      </c>
      <c r="D33" s="120">
        <v>1592.0030168463766</v>
      </c>
      <c r="E33" s="120">
        <v>1602.288750047504</v>
      </c>
      <c r="F33" s="120">
        <v>1657.9338300554621</v>
      </c>
      <c r="G33" s="120">
        <v>1721.3331967353959</v>
      </c>
      <c r="H33" s="120">
        <v>1791.432194187001</v>
      </c>
      <c r="I33" s="120">
        <v>1873.3504523930649</v>
      </c>
      <c r="J33" s="120">
        <v>1881.9254291195407</v>
      </c>
      <c r="K33" s="120">
        <v>1852.2202929119078</v>
      </c>
      <c r="L33" s="120">
        <v>1812.545189939407</v>
      </c>
      <c r="M33" s="120">
        <v>1836.0145122959532</v>
      </c>
      <c r="N33" s="120">
        <v>1817.8546620324159</v>
      </c>
      <c r="O33" s="120">
        <v>1881.7810584521796</v>
      </c>
      <c r="P33" s="120">
        <v>1893.6957249947523</v>
      </c>
      <c r="Q33" s="120">
        <v>1917.1228871165565</v>
      </c>
    </row>
    <row r="34" spans="1:17" ht="11.5" customHeight="1">
      <c r="A34" s="104" t="s">
        <v>165</v>
      </c>
      <c r="B34" s="121">
        <v>3.7419069049704712</v>
      </c>
      <c r="C34" s="121">
        <v>3.5227038176280758</v>
      </c>
      <c r="D34" s="121">
        <v>3.4287359868156582</v>
      </c>
      <c r="E34" s="121">
        <v>3.2134337513670483</v>
      </c>
      <c r="F34" s="121">
        <v>3.0782236313459941</v>
      </c>
      <c r="G34" s="121">
        <v>2.9241413827043137</v>
      </c>
      <c r="H34" s="121">
        <v>2.7526033766917819</v>
      </c>
      <c r="I34" s="121">
        <v>2.569098317366342</v>
      </c>
      <c r="J34" s="121">
        <v>2.3719241202937176</v>
      </c>
      <c r="K34" s="121">
        <v>2.1639272704518633</v>
      </c>
      <c r="L34" s="121">
        <v>1.9540388516741822</v>
      </c>
      <c r="M34" s="121">
        <v>1.7025748359722943</v>
      </c>
      <c r="N34" s="121">
        <v>1.4462052932499523</v>
      </c>
      <c r="O34" s="121">
        <v>1.2124628897523997</v>
      </c>
      <c r="P34" s="121">
        <v>1.0072777722942567</v>
      </c>
      <c r="Q34" s="121">
        <v>0.83193706050440919</v>
      </c>
    </row>
    <row r="35" spans="1:17" ht="11.5" customHeight="1">
      <c r="A35" s="160" t="s">
        <v>213</v>
      </c>
      <c r="B35" s="121">
        <v>1.5081858342509006E-2</v>
      </c>
      <c r="C35" s="121">
        <v>1.3298021510287607E-2</v>
      </c>
      <c r="D35" s="121">
        <v>1.4237796713393655E-2</v>
      </c>
      <c r="E35" s="121">
        <v>1.2007267066771745E-2</v>
      </c>
      <c r="F35" s="121">
        <v>1.3131373241337238E-2</v>
      </c>
      <c r="G35" s="121">
        <v>2.5912432509641554E-2</v>
      </c>
      <c r="H35" s="121">
        <v>3.7065747831785095E-2</v>
      </c>
      <c r="I35" s="121">
        <v>6.7501333445058806E-2</v>
      </c>
      <c r="J35" s="121">
        <v>0.11411335043029674</v>
      </c>
      <c r="K35" s="121">
        <v>9.9959941396603219E-2</v>
      </c>
      <c r="L35" s="121">
        <v>9.6880034282542424E-2</v>
      </c>
      <c r="M35" s="121">
        <v>8.8785671090507903E-2</v>
      </c>
      <c r="N35" s="121">
        <v>8.1929141840940467E-2</v>
      </c>
      <c r="O35" s="121">
        <v>6.9516834284477538E-2</v>
      </c>
      <c r="P35" s="121">
        <v>5.9374370892196E-2</v>
      </c>
      <c r="Q35" s="121">
        <v>5.0147998455713418E-2</v>
      </c>
    </row>
    <row r="36" spans="1:17" ht="11.5" customHeight="1">
      <c r="A36" s="104" t="s">
        <v>166</v>
      </c>
      <c r="B36" s="121">
        <v>1586.9892778151118</v>
      </c>
      <c r="C36" s="121">
        <v>1553.6655507180078</v>
      </c>
      <c r="D36" s="121">
        <v>1557.410320554922</v>
      </c>
      <c r="E36" s="121">
        <v>1557.0003178777292</v>
      </c>
      <c r="F36" s="121">
        <v>1607.7852656460084</v>
      </c>
      <c r="G36" s="121">
        <v>1667.0786803969727</v>
      </c>
      <c r="H36" s="121">
        <v>1723.0854610950007</v>
      </c>
      <c r="I36" s="121">
        <v>1797.9410651337903</v>
      </c>
      <c r="J36" s="121">
        <v>1791.9861802366131</v>
      </c>
      <c r="K36" s="121">
        <v>1763.3534487117324</v>
      </c>
      <c r="L36" s="121">
        <v>1720.2673802349464</v>
      </c>
      <c r="M36" s="121">
        <v>1742.5983968492351</v>
      </c>
      <c r="N36" s="121">
        <v>1724.994731589682</v>
      </c>
      <c r="O36" s="121">
        <v>1785.6609114211271</v>
      </c>
      <c r="P36" s="121">
        <v>1762.3837194008397</v>
      </c>
      <c r="Q36" s="121">
        <v>1784.1401088559264</v>
      </c>
    </row>
    <row r="37" spans="1:17" ht="11.5" customHeight="1">
      <c r="A37" s="160" t="s">
        <v>213</v>
      </c>
      <c r="B37" s="121">
        <v>15.1311874008584</v>
      </c>
      <c r="C37" s="121">
        <v>14.5942269581827</v>
      </c>
      <c r="D37" s="121">
        <v>14.964758692471561</v>
      </c>
      <c r="E37" s="121">
        <v>13.883737675146341</v>
      </c>
      <c r="F37" s="121">
        <v>15.291943890385239</v>
      </c>
      <c r="G37" s="121">
        <v>25.944957721764411</v>
      </c>
      <c r="H37" s="121">
        <v>30.401726110085697</v>
      </c>
      <c r="I37" s="121">
        <v>62.780701414086252</v>
      </c>
      <c r="J37" s="121">
        <v>101.51515502329818</v>
      </c>
      <c r="K37" s="121">
        <v>110.32030772943429</v>
      </c>
      <c r="L37" s="121">
        <v>103.12223668005225</v>
      </c>
      <c r="M37" s="121">
        <v>104.82839003821944</v>
      </c>
      <c r="N37" s="121">
        <v>114.44100714175721</v>
      </c>
      <c r="O37" s="121">
        <v>120.77128162747914</v>
      </c>
      <c r="P37" s="121">
        <v>128.38317719251154</v>
      </c>
      <c r="Q37" s="121">
        <v>130.24674115842882</v>
      </c>
    </row>
    <row r="38" spans="1:17" ht="11.5" customHeight="1">
      <c r="A38" s="104" t="s">
        <v>167</v>
      </c>
      <c r="B38" s="121">
        <v>1.5346340461413031</v>
      </c>
      <c r="C38" s="121">
        <v>1.7511921719579195</v>
      </c>
      <c r="D38" s="121">
        <v>1.7703150635454292</v>
      </c>
      <c r="E38" s="121">
        <v>1.8562259702643766</v>
      </c>
      <c r="F38" s="121">
        <v>1.9590462748556343</v>
      </c>
      <c r="G38" s="121">
        <v>2.0329908518555246</v>
      </c>
      <c r="H38" s="121">
        <v>1.6717579388515285</v>
      </c>
      <c r="I38" s="121">
        <v>2.0110757135296664</v>
      </c>
      <c r="J38" s="121">
        <v>1.9693449213969609</v>
      </c>
      <c r="K38" s="121">
        <v>1.9304651442441338</v>
      </c>
      <c r="L38" s="121">
        <v>1.8759312711399951</v>
      </c>
      <c r="M38" s="121">
        <v>1.7737173412846057</v>
      </c>
      <c r="N38" s="121">
        <v>1.6433264199802198</v>
      </c>
      <c r="O38" s="121">
        <v>1.6212961780758319</v>
      </c>
      <c r="P38" s="121">
        <v>1.5756777316054158</v>
      </c>
      <c r="Q38" s="121">
        <v>1.5234502055932211</v>
      </c>
    </row>
    <row r="39" spans="1:17" ht="11.5" customHeight="1">
      <c r="A39" s="104" t="s">
        <v>168</v>
      </c>
      <c r="B39" s="121">
        <v>1.5927766103211682</v>
      </c>
      <c r="C39" s="121">
        <v>22.965813371081879</v>
      </c>
      <c r="D39" s="121">
        <v>26.854160021578291</v>
      </c>
      <c r="E39" s="121">
        <v>37.502502852391494</v>
      </c>
      <c r="F39" s="121">
        <v>42.218025475840861</v>
      </c>
      <c r="G39" s="121">
        <v>46.441185963381933</v>
      </c>
      <c r="H39" s="121">
        <v>61.141187024356071</v>
      </c>
      <c r="I39" s="121">
        <v>68.138949441057648</v>
      </c>
      <c r="J39" s="121">
        <v>82.999871412838615</v>
      </c>
      <c r="K39" s="121">
        <v>82.316447811643954</v>
      </c>
      <c r="L39" s="121">
        <v>86.127520870685572</v>
      </c>
      <c r="M39" s="121">
        <v>87.763463569189312</v>
      </c>
      <c r="N39" s="121">
        <v>87.400020582059909</v>
      </c>
      <c r="O39" s="121">
        <v>89.912580274779955</v>
      </c>
      <c r="P39" s="121">
        <v>124.84962774462856</v>
      </c>
      <c r="Q39" s="121">
        <v>126.13175842471385</v>
      </c>
    </row>
    <row r="40" spans="1:17" ht="11.5" customHeight="1">
      <c r="A40" s="160" t="s">
        <v>214</v>
      </c>
      <c r="B40" s="121">
        <v>0</v>
      </c>
      <c r="C40" s="121">
        <v>0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  <c r="I40" s="121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</row>
    <row r="41" spans="1:17" ht="11.5" customHeight="1">
      <c r="A41" s="104" t="s">
        <v>170</v>
      </c>
      <c r="B41" s="121">
        <v>2.1531257722117165</v>
      </c>
      <c r="C41" s="121">
        <v>2.3071853051692863</v>
      </c>
      <c r="D41" s="121">
        <v>2.5394852195152864</v>
      </c>
      <c r="E41" s="121">
        <v>2.7162695957517884</v>
      </c>
      <c r="F41" s="121">
        <v>2.8932690274111428</v>
      </c>
      <c r="G41" s="121">
        <v>2.8561981404812924</v>
      </c>
      <c r="H41" s="121">
        <v>2.7811847521010429</v>
      </c>
      <c r="I41" s="121">
        <v>2.6902637873210153</v>
      </c>
      <c r="J41" s="121">
        <v>2.5981084283984699</v>
      </c>
      <c r="K41" s="121">
        <v>2.456003973835267</v>
      </c>
      <c r="L41" s="121">
        <v>2.3203187109610282</v>
      </c>
      <c r="M41" s="121">
        <v>2.1763597002720809</v>
      </c>
      <c r="N41" s="121">
        <v>2.3703781474440286</v>
      </c>
      <c r="O41" s="121">
        <v>3.3738076884442028</v>
      </c>
      <c r="P41" s="121">
        <v>3.8794223453844321</v>
      </c>
      <c r="Q41" s="121">
        <v>4.4956325698184436</v>
      </c>
    </row>
    <row r="42" spans="1:17" ht="11.5" customHeight="1">
      <c r="A42" s="98" t="s">
        <v>179</v>
      </c>
      <c r="B42" s="118">
        <v>16425.73727341188</v>
      </c>
      <c r="C42" s="118">
        <v>16680.608828259963</v>
      </c>
      <c r="D42" s="118">
        <v>16833.781432533087</v>
      </c>
      <c r="E42" s="118">
        <v>16833.874906392091</v>
      </c>
      <c r="F42" s="118">
        <v>17392.220934759385</v>
      </c>
      <c r="G42" s="118">
        <v>17438.068915519125</v>
      </c>
      <c r="H42" s="118">
        <v>17560.379552107599</v>
      </c>
      <c r="I42" s="118">
        <v>17793.029161074959</v>
      </c>
      <c r="J42" s="118">
        <v>17133.122828266525</v>
      </c>
      <c r="K42" s="118">
        <v>16331.307880667351</v>
      </c>
      <c r="L42" s="118">
        <v>17069.152663305056</v>
      </c>
      <c r="M42" s="118">
        <v>17259.957422908148</v>
      </c>
      <c r="N42" s="118">
        <v>16805.261064512</v>
      </c>
      <c r="O42" s="118">
        <v>16920.884477525575</v>
      </c>
      <c r="P42" s="118">
        <v>16943.769994016351</v>
      </c>
      <c r="Q42" s="118">
        <v>16865.748496186017</v>
      </c>
    </row>
    <row r="43" spans="1:17" ht="11.5" customHeight="1">
      <c r="A43" s="100" t="s">
        <v>173</v>
      </c>
      <c r="B43" s="119">
        <v>6963.1007966079023</v>
      </c>
      <c r="C43" s="119">
        <v>7106.9811337882447</v>
      </c>
      <c r="D43" s="119">
        <v>7214.2287898862387</v>
      </c>
      <c r="E43" s="119">
        <v>7262.5352387636931</v>
      </c>
      <c r="F43" s="119">
        <v>7120.8500263453716</v>
      </c>
      <c r="G43" s="119">
        <v>7126.4530496161469</v>
      </c>
      <c r="H43" s="119">
        <v>7129.6368845006546</v>
      </c>
      <c r="I43" s="119">
        <v>7109.7910303501949</v>
      </c>
      <c r="J43" s="119">
        <v>7054.485281748227</v>
      </c>
      <c r="K43" s="119">
        <v>7364.8884392347654</v>
      </c>
      <c r="L43" s="119">
        <v>7698.9794597895889</v>
      </c>
      <c r="M43" s="119">
        <v>7808.1503111820775</v>
      </c>
      <c r="N43" s="119">
        <v>7877.4103938812068</v>
      </c>
      <c r="O43" s="119">
        <v>7902.004156625987</v>
      </c>
      <c r="P43" s="119">
        <v>7980.7241613249553</v>
      </c>
      <c r="Q43" s="119">
        <v>8118.6098138995203</v>
      </c>
    </row>
    <row r="44" spans="1:17" ht="11.5" customHeight="1">
      <c r="A44" s="104" t="s">
        <v>165</v>
      </c>
      <c r="B44" s="121">
        <v>1124.903328502686</v>
      </c>
      <c r="C44" s="121">
        <v>971.06513098258279</v>
      </c>
      <c r="D44" s="121">
        <v>828.06936281880519</v>
      </c>
      <c r="E44" s="121">
        <v>675.94238110166827</v>
      </c>
      <c r="F44" s="121">
        <v>539.70458680824299</v>
      </c>
      <c r="G44" s="121">
        <v>457.05652460959732</v>
      </c>
      <c r="H44" s="121">
        <v>392.82696947303776</v>
      </c>
      <c r="I44" s="121">
        <v>343.60143008157524</v>
      </c>
      <c r="J44" s="121">
        <v>310.05480354777757</v>
      </c>
      <c r="K44" s="121">
        <v>286.67223984942871</v>
      </c>
      <c r="L44" s="121">
        <v>269.33418618464918</v>
      </c>
      <c r="M44" s="121">
        <v>253.97841829051066</v>
      </c>
      <c r="N44" s="121">
        <v>240.41914238581091</v>
      </c>
      <c r="O44" s="121">
        <v>228.10233560322757</v>
      </c>
      <c r="P44" s="121">
        <v>199.66437400723655</v>
      </c>
      <c r="Q44" s="121">
        <v>178.05129707655288</v>
      </c>
    </row>
    <row r="45" spans="1:17" ht="11.5" customHeight="1">
      <c r="A45" s="160" t="s">
        <v>213</v>
      </c>
      <c r="B45" s="121">
        <v>4.5339536980352184</v>
      </c>
      <c r="C45" s="121">
        <v>3.6657197619274871</v>
      </c>
      <c r="D45" s="121">
        <v>3.4385509113966752</v>
      </c>
      <c r="E45" s="121">
        <v>2.5257158913528439</v>
      </c>
      <c r="F45" s="121">
        <v>2.3023221241212481</v>
      </c>
      <c r="G45" s="121">
        <v>4.0502304085189005</v>
      </c>
      <c r="H45" s="121">
        <v>5.2896924835976238</v>
      </c>
      <c r="I45" s="121">
        <v>9.0278968879290957</v>
      </c>
      <c r="J45" s="121">
        <v>14.916747187284827</v>
      </c>
      <c r="K45" s="121">
        <v>13.242469230214974</v>
      </c>
      <c r="L45" s="121">
        <v>13.353421897764937</v>
      </c>
      <c r="M45" s="121">
        <v>13.244436505224879</v>
      </c>
      <c r="N45" s="121">
        <v>13.620012393634637</v>
      </c>
      <c r="O45" s="121">
        <v>13.07829905397768</v>
      </c>
      <c r="P45" s="121">
        <v>11.769292366356922</v>
      </c>
      <c r="Q45" s="121">
        <v>10.732682308225435</v>
      </c>
    </row>
    <row r="46" spans="1:17" ht="11.5" customHeight="1">
      <c r="A46" s="104" t="s">
        <v>166</v>
      </c>
      <c r="B46" s="121">
        <v>5819.1145936865696</v>
      </c>
      <c r="C46" s="121">
        <v>6115.1612395733109</v>
      </c>
      <c r="D46" s="121">
        <v>6364.3088660531848</v>
      </c>
      <c r="E46" s="121">
        <v>6563.8508453064323</v>
      </c>
      <c r="F46" s="121">
        <v>6557.8030319593254</v>
      </c>
      <c r="G46" s="121">
        <v>6645.0960122568558</v>
      </c>
      <c r="H46" s="121">
        <v>6710.1442732258438</v>
      </c>
      <c r="I46" s="121">
        <v>6744.0523659028768</v>
      </c>
      <c r="J46" s="121">
        <v>6723.4581027855393</v>
      </c>
      <c r="K46" s="121">
        <v>7057.3276421233868</v>
      </c>
      <c r="L46" s="121">
        <v>7409.5407202004017</v>
      </c>
      <c r="M46" s="121">
        <v>7534.6199059548198</v>
      </c>
      <c r="N46" s="121">
        <v>7616.81196399494</v>
      </c>
      <c r="O46" s="121">
        <v>7652.2878935267881</v>
      </c>
      <c r="P46" s="121">
        <v>7758.8654146259105</v>
      </c>
      <c r="Q46" s="121">
        <v>7917.4961037495259</v>
      </c>
    </row>
    <row r="47" spans="1:17" ht="11.5" customHeight="1">
      <c r="A47" s="160" t="s">
        <v>213</v>
      </c>
      <c r="B47" s="121">
        <v>55.463682811998517</v>
      </c>
      <c r="C47" s="121">
        <v>57.425543515843813</v>
      </c>
      <c r="D47" s="121">
        <v>61.13345908576337</v>
      </c>
      <c r="E47" s="121">
        <v>58.514545830606032</v>
      </c>
      <c r="F47" s="121">
        <v>62.352989034384692</v>
      </c>
      <c r="G47" s="121">
        <v>103.33870357820922</v>
      </c>
      <c r="H47" s="121">
        <v>118.19826613922771</v>
      </c>
      <c r="I47" s="121">
        <v>234.76695004534517</v>
      </c>
      <c r="J47" s="121">
        <v>378.97058042863188</v>
      </c>
      <c r="K47" s="121">
        <v>439.68547858734348</v>
      </c>
      <c r="L47" s="121">
        <v>442.10338333836</v>
      </c>
      <c r="M47" s="121">
        <v>451.09974997100051</v>
      </c>
      <c r="N47" s="121">
        <v>502.93365198343929</v>
      </c>
      <c r="O47" s="121">
        <v>515.20616319114288</v>
      </c>
      <c r="P47" s="121">
        <v>562.95110919528179</v>
      </c>
      <c r="Q47" s="121">
        <v>575.65533144013443</v>
      </c>
    </row>
    <row r="48" spans="1:17" ht="11.5" customHeight="1">
      <c r="A48" s="104" t="s">
        <v>167</v>
      </c>
      <c r="B48" s="121">
        <v>17.078822059652492</v>
      </c>
      <c r="C48" s="121">
        <v>18.532726115235061</v>
      </c>
      <c r="D48" s="121">
        <v>19.488843952154362</v>
      </c>
      <c r="E48" s="121">
        <v>20.154328973180526</v>
      </c>
      <c r="F48" s="121">
        <v>20.686829108457811</v>
      </c>
      <c r="G48" s="121">
        <v>21.691096415590767</v>
      </c>
      <c r="H48" s="121">
        <v>23.687129103458417</v>
      </c>
      <c r="I48" s="121">
        <v>19.100848523710262</v>
      </c>
      <c r="J48" s="121">
        <v>18.165593573104207</v>
      </c>
      <c r="K48" s="121">
        <v>17.787717955127519</v>
      </c>
      <c r="L48" s="121">
        <v>17.291737221047452</v>
      </c>
      <c r="M48" s="121">
        <v>16.413986591369188</v>
      </c>
      <c r="N48" s="121">
        <v>15.307543377891328</v>
      </c>
      <c r="O48" s="121">
        <v>14.370137956191138</v>
      </c>
      <c r="P48" s="121">
        <v>13.04825667541521</v>
      </c>
      <c r="Q48" s="121">
        <v>11.852754374237112</v>
      </c>
    </row>
    <row r="49" spans="1:22" ht="11.5" customHeight="1">
      <c r="A49" s="104" t="s">
        <v>168</v>
      </c>
      <c r="B49" s="121">
        <v>0.246338204145611</v>
      </c>
      <c r="C49" s="121">
        <v>0.23416662891812109</v>
      </c>
      <c r="D49" s="121">
        <v>0.245819978421707</v>
      </c>
      <c r="E49" s="121">
        <v>0.39753714760850284</v>
      </c>
      <c r="F49" s="121">
        <v>0.38195452415914327</v>
      </c>
      <c r="G49" s="121">
        <v>0.3726226357220313</v>
      </c>
      <c r="H49" s="121">
        <v>0.75867297564392655</v>
      </c>
      <c r="I49" s="121">
        <v>0.72140141310602646</v>
      </c>
      <c r="J49" s="121">
        <v>0.742322254775587</v>
      </c>
      <c r="K49" s="121">
        <v>0.93024040280801079</v>
      </c>
      <c r="L49" s="121">
        <v>0.90204866593422195</v>
      </c>
      <c r="M49" s="121">
        <v>1.0947657620682174</v>
      </c>
      <c r="N49" s="121">
        <v>1.5127144831621979</v>
      </c>
      <c r="O49" s="121">
        <v>1.9444626895855537</v>
      </c>
      <c r="P49" s="121">
        <v>2.3637377238123687</v>
      </c>
      <c r="Q49" s="121">
        <v>2.7103673689207421</v>
      </c>
    </row>
    <row r="50" spans="1:22" ht="11.5" customHeight="1">
      <c r="A50" s="160" t="s">
        <v>214</v>
      </c>
      <c r="B50" s="121">
        <v>0</v>
      </c>
      <c r="C50" s="121">
        <v>0</v>
      </c>
      <c r="D50" s="121">
        <v>0</v>
      </c>
      <c r="E50" s="121">
        <v>0</v>
      </c>
      <c r="F50" s="121">
        <v>0</v>
      </c>
      <c r="G50" s="121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</row>
    <row r="51" spans="1:22" ht="11.5" customHeight="1">
      <c r="A51" s="104" t="s">
        <v>170</v>
      </c>
      <c r="B51" s="121">
        <v>1.7577141548479518</v>
      </c>
      <c r="C51" s="121">
        <v>1.987870488197911</v>
      </c>
      <c r="D51" s="121">
        <v>2.1158970836725515</v>
      </c>
      <c r="E51" s="121">
        <v>2.1901462348029286</v>
      </c>
      <c r="F51" s="121">
        <v>2.2736239451860789</v>
      </c>
      <c r="G51" s="121">
        <v>2.2367936983811401</v>
      </c>
      <c r="H51" s="121">
        <v>2.2198397226699238</v>
      </c>
      <c r="I51" s="121">
        <v>2.3149844289277985</v>
      </c>
      <c r="J51" s="121">
        <v>2.064459587029555</v>
      </c>
      <c r="K51" s="121">
        <v>2.1705989040150366</v>
      </c>
      <c r="L51" s="121">
        <v>1.9107675175554879</v>
      </c>
      <c r="M51" s="121">
        <v>2.043234583309816</v>
      </c>
      <c r="N51" s="121">
        <v>3.3590296394025234</v>
      </c>
      <c r="O51" s="121">
        <v>5.299326850195218</v>
      </c>
      <c r="P51" s="121">
        <v>6.7823782925803586</v>
      </c>
      <c r="Q51" s="121">
        <v>8.4992913302829081</v>
      </c>
    </row>
    <row r="52" spans="1:22" ht="11.5" customHeight="1">
      <c r="A52" s="102" t="s">
        <v>217</v>
      </c>
      <c r="B52" s="120">
        <v>9462.6364768039784</v>
      </c>
      <c r="C52" s="120">
        <v>9573.6276944717174</v>
      </c>
      <c r="D52" s="120">
        <v>9619.5526426468496</v>
      </c>
      <c r="E52" s="120">
        <v>9571.3396676283992</v>
      </c>
      <c r="F52" s="120">
        <v>10271.370908414014</v>
      </c>
      <c r="G52" s="120">
        <v>10311.615865902979</v>
      </c>
      <c r="H52" s="120">
        <v>10430.742667606944</v>
      </c>
      <c r="I52" s="120">
        <v>10683.238130724765</v>
      </c>
      <c r="J52" s="120">
        <v>10078.637546518299</v>
      </c>
      <c r="K52" s="120">
        <v>8966.4194414325848</v>
      </c>
      <c r="L52" s="120">
        <v>9370.1732035154673</v>
      </c>
      <c r="M52" s="120">
        <v>9451.8071117260697</v>
      </c>
      <c r="N52" s="120">
        <v>8927.8506706307926</v>
      </c>
      <c r="O52" s="120">
        <v>9018.8803208995887</v>
      </c>
      <c r="P52" s="120">
        <v>8963.045832691394</v>
      </c>
      <c r="Q52" s="120">
        <v>8747.1386822864988</v>
      </c>
    </row>
    <row r="53" spans="1:22" ht="11.5" customHeight="1">
      <c r="A53" s="104" t="s">
        <v>175</v>
      </c>
      <c r="B53" s="121">
        <v>6476.4124405291277</v>
      </c>
      <c r="C53" s="121">
        <v>6537.8430672116465</v>
      </c>
      <c r="D53" s="121">
        <v>6514.4788208487416</v>
      </c>
      <c r="E53" s="121">
        <v>6480.9231393513473</v>
      </c>
      <c r="F53" s="121">
        <v>6779.9583863694324</v>
      </c>
      <c r="G53" s="121">
        <v>6730.9192136337933</v>
      </c>
      <c r="H53" s="121">
        <v>6777.1784635718723</v>
      </c>
      <c r="I53" s="121">
        <v>6975.835137740597</v>
      </c>
      <c r="J53" s="121">
        <v>6473.450592161239</v>
      </c>
      <c r="K53" s="121">
        <v>5675.3052297979502</v>
      </c>
      <c r="L53" s="121">
        <v>6006.8316476953005</v>
      </c>
      <c r="M53" s="121">
        <v>6236.4153452999208</v>
      </c>
      <c r="N53" s="121">
        <v>5759.7846264100335</v>
      </c>
      <c r="O53" s="121">
        <v>5698.4648905867616</v>
      </c>
      <c r="P53" s="121">
        <v>5614.5807762107797</v>
      </c>
      <c r="Q53" s="121">
        <v>5328.4645754220128</v>
      </c>
    </row>
    <row r="54" spans="1:22" ht="11.5" customHeight="1">
      <c r="A54" s="160" t="s">
        <v>213</v>
      </c>
      <c r="B54" s="121">
        <v>61.749817441475997</v>
      </c>
      <c r="C54" s="121">
        <v>61.413176000451344</v>
      </c>
      <c r="D54" s="121">
        <v>62.596679789194937</v>
      </c>
      <c r="E54" s="121">
        <v>57.790929783781344</v>
      </c>
      <c r="F54" s="121">
        <v>64.486569328363913</v>
      </c>
      <c r="G54" s="121">
        <v>104.7589377298805</v>
      </c>
      <c r="H54" s="121">
        <v>119.58804888295781</v>
      </c>
      <c r="I54" s="121">
        <v>243.63472818325025</v>
      </c>
      <c r="J54" s="121">
        <v>366.83549913355796</v>
      </c>
      <c r="K54" s="121">
        <v>355.16979717669153</v>
      </c>
      <c r="L54" s="121">
        <v>360.19755955629978</v>
      </c>
      <c r="M54" s="121">
        <v>375.27616382902397</v>
      </c>
      <c r="N54" s="121">
        <v>382.2382180911103</v>
      </c>
      <c r="O54" s="121">
        <v>385.52410429699228</v>
      </c>
      <c r="P54" s="121">
        <v>409.1024934656964</v>
      </c>
      <c r="Q54" s="121">
        <v>389.09291324408707</v>
      </c>
    </row>
    <row r="55" spans="1:22" ht="11.5" customHeight="1">
      <c r="A55" s="104" t="s">
        <v>176</v>
      </c>
      <c r="B55" s="121">
        <v>2986.2240362748498</v>
      </c>
      <c r="C55" s="121">
        <v>3035.7846272600718</v>
      </c>
      <c r="D55" s="121">
        <v>3105.073821798107</v>
      </c>
      <c r="E55" s="121">
        <v>3090.4165282770527</v>
      </c>
      <c r="F55" s="121">
        <v>3491.4125220445821</v>
      </c>
      <c r="G55" s="121">
        <v>3580.6966522691846</v>
      </c>
      <c r="H55" s="121">
        <v>3653.5642040350731</v>
      </c>
      <c r="I55" s="121">
        <v>3707.4029929841681</v>
      </c>
      <c r="J55" s="121">
        <v>3605.1869543570606</v>
      </c>
      <c r="K55" s="121">
        <v>3291.114211634635</v>
      </c>
      <c r="L55" s="121">
        <v>3363.3415558201664</v>
      </c>
      <c r="M55" s="121">
        <v>3215.391766426148</v>
      </c>
      <c r="N55" s="121">
        <v>3168.0660442207595</v>
      </c>
      <c r="O55" s="121">
        <v>3320.4154303128262</v>
      </c>
      <c r="P55" s="121">
        <v>3348.4650564806152</v>
      </c>
      <c r="Q55" s="121">
        <v>3418.674106864486</v>
      </c>
    </row>
    <row r="56" spans="1:22" ht="11.5" customHeight="1">
      <c r="A56" s="161" t="s">
        <v>213</v>
      </c>
      <c r="B56" s="122">
        <v>28.472366572171865</v>
      </c>
      <c r="C56" s="122">
        <v>28.516618355126976</v>
      </c>
      <c r="D56" s="122">
        <v>29.836202878250305</v>
      </c>
      <c r="E56" s="122">
        <v>27.557500798593274</v>
      </c>
      <c r="F56" s="122">
        <v>33.208052738109771</v>
      </c>
      <c r="G56" s="122">
        <v>55.729383419853896</v>
      </c>
      <c r="H56" s="122">
        <v>64.469692952263458</v>
      </c>
      <c r="I56" s="122">
        <v>129.48300850384211</v>
      </c>
      <c r="J56" s="122">
        <v>204.29762103580492</v>
      </c>
      <c r="K56" s="122">
        <v>205.96326007177868</v>
      </c>
      <c r="L56" s="122">
        <v>201.68160045329864</v>
      </c>
      <c r="M56" s="122">
        <v>193.48613273829389</v>
      </c>
      <c r="N56" s="122">
        <v>210.24326395562852</v>
      </c>
      <c r="O56" s="122">
        <v>224.6394790954752</v>
      </c>
      <c r="P56" s="122">
        <v>243.9835596796743</v>
      </c>
      <c r="Q56" s="122">
        <v>249.63699182830365</v>
      </c>
    </row>
    <row r="58" spans="1:22" ht="11.5" customHeight="1">
      <c r="A58" s="115" t="s">
        <v>183</v>
      </c>
      <c r="B58" s="162"/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3"/>
      <c r="N58" s="163"/>
      <c r="O58" s="163"/>
      <c r="P58" s="163"/>
      <c r="Q58" s="163"/>
    </row>
    <row r="60" spans="1:22" ht="11.5" customHeight="1">
      <c r="A60" s="96" t="s">
        <v>218</v>
      </c>
      <c r="B60" s="117">
        <v>8.9455223591892334</v>
      </c>
      <c r="C60" s="117">
        <v>8.6956329137277084</v>
      </c>
      <c r="D60" s="117">
        <v>8.5996111032517142</v>
      </c>
      <c r="E60" s="117">
        <v>8.4896446967161427</v>
      </c>
      <c r="F60" s="117">
        <v>8.448287630465849</v>
      </c>
      <c r="G60" s="117">
        <v>8.3938477052440934</v>
      </c>
      <c r="H60" s="117">
        <v>8.2891831972262562</v>
      </c>
      <c r="I60" s="117">
        <v>8.1865679268910814</v>
      </c>
      <c r="J60" s="117">
        <v>7.9812411388224032</v>
      </c>
      <c r="K60" s="117">
        <v>7.7300692518497165</v>
      </c>
      <c r="L60" s="117">
        <v>7.7427308868522555</v>
      </c>
      <c r="M60" s="117">
        <v>7.702869687912643</v>
      </c>
      <c r="N60" s="117">
        <v>7.4998810046122859</v>
      </c>
      <c r="O60" s="117">
        <v>7.4278417352124109</v>
      </c>
      <c r="P60" s="117">
        <v>7.2777065024980523</v>
      </c>
      <c r="Q60" s="117">
        <v>7.1171092381478367</v>
      </c>
    </row>
    <row r="61" spans="1:22" ht="11.5" customHeight="1">
      <c r="A61" s="98" t="s">
        <v>178</v>
      </c>
      <c r="B61" s="118">
        <v>6.9515991919741182</v>
      </c>
      <c r="C61" s="118">
        <v>6.7591773123238896</v>
      </c>
      <c r="D61" s="118">
        <v>6.6720106487468183</v>
      </c>
      <c r="E61" s="118">
        <v>6.5726985300599754</v>
      </c>
      <c r="F61" s="118">
        <v>6.4363307332815411</v>
      </c>
      <c r="G61" s="118">
        <v>6.3651188094451223</v>
      </c>
      <c r="H61" s="118">
        <v>6.2722347129039333</v>
      </c>
      <c r="I61" s="118">
        <v>6.1660382952853023</v>
      </c>
      <c r="J61" s="118">
        <v>6.0439702422507375</v>
      </c>
      <c r="K61" s="118">
        <v>5.9993639800742624</v>
      </c>
      <c r="L61" s="118">
        <v>5.9236731162472775</v>
      </c>
      <c r="M61" s="118">
        <v>5.8618964773316664</v>
      </c>
      <c r="N61" s="118">
        <v>5.7711580538367322</v>
      </c>
      <c r="O61" s="118">
        <v>5.6990196177739696</v>
      </c>
      <c r="P61" s="118">
        <v>5.6063909052538357</v>
      </c>
      <c r="Q61" s="118">
        <v>5.5233462170825067</v>
      </c>
    </row>
    <row r="62" spans="1:22" ht="11.5" customHeight="1">
      <c r="A62" s="100" t="s">
        <v>163</v>
      </c>
      <c r="B62" s="119">
        <v>3.6907116888042553</v>
      </c>
      <c r="C62" s="119">
        <v>3.6861486248099142</v>
      </c>
      <c r="D62" s="119">
        <v>3.6491376113163541</v>
      </c>
      <c r="E62" s="119">
        <v>3.6480928036366462</v>
      </c>
      <c r="F62" s="119">
        <v>3.6460130122843686</v>
      </c>
      <c r="G62" s="119">
        <v>3.6440483418978959</v>
      </c>
      <c r="H62" s="119">
        <v>3.6341496192335025</v>
      </c>
      <c r="I62" s="119">
        <v>3.6083147896379777</v>
      </c>
      <c r="J62" s="119">
        <v>3.5849978501998425</v>
      </c>
      <c r="K62" s="119">
        <v>3.6432396941331935</v>
      </c>
      <c r="L62" s="119">
        <v>3.6471371990554524</v>
      </c>
      <c r="M62" s="119">
        <v>3.6444047318774868</v>
      </c>
      <c r="N62" s="119">
        <v>3.6188372684531318</v>
      </c>
      <c r="O62" s="119">
        <v>3.5625159725700781</v>
      </c>
      <c r="P62" s="119">
        <v>3.4778689144002528</v>
      </c>
      <c r="Q62" s="119">
        <v>3.4587491867617266</v>
      </c>
    </row>
    <row r="63" spans="1:22" ht="11.5" customHeight="1">
      <c r="A63" s="102" t="s">
        <v>164</v>
      </c>
      <c r="B63" s="120">
        <v>6.6554265434375797</v>
      </c>
      <c r="C63" s="120">
        <v>6.4804897459086162</v>
      </c>
      <c r="D63" s="120">
        <v>6.4005171053833649</v>
      </c>
      <c r="E63" s="120">
        <v>6.2944538021688023</v>
      </c>
      <c r="F63" s="120">
        <v>6.1454606124946336</v>
      </c>
      <c r="G63" s="120">
        <v>6.0558709697598943</v>
      </c>
      <c r="H63" s="120">
        <v>5.9490264209062982</v>
      </c>
      <c r="I63" s="120">
        <v>5.8315119116027407</v>
      </c>
      <c r="J63" s="120">
        <v>5.7079739124707523</v>
      </c>
      <c r="K63" s="120">
        <v>5.679386856203072</v>
      </c>
      <c r="L63" s="120">
        <v>5.6042155671893044</v>
      </c>
      <c r="M63" s="120">
        <v>5.532568147612694</v>
      </c>
      <c r="N63" s="120">
        <v>5.4530695406801204</v>
      </c>
      <c r="O63" s="120">
        <v>5.3659959773527612</v>
      </c>
      <c r="P63" s="120">
        <v>5.2832808909866369</v>
      </c>
      <c r="Q63" s="120">
        <v>5.2044118784477957</v>
      </c>
      <c r="S63" s="251" t="s">
        <v>311</v>
      </c>
      <c r="T63" s="96" t="s">
        <v>177</v>
      </c>
      <c r="U63" s="96" t="s">
        <v>211</v>
      </c>
      <c r="V63" s="258" t="s">
        <v>310</v>
      </c>
    </row>
    <row r="64" spans="1:22" ht="11.5" customHeight="1">
      <c r="A64" s="104" t="s">
        <v>165</v>
      </c>
      <c r="B64" s="121">
        <v>7.2544697481351825</v>
      </c>
      <c r="C64" s="121">
        <v>7.1583899831807907</v>
      </c>
      <c r="D64" s="121">
        <v>7.1298117993811791</v>
      </c>
      <c r="E64" s="121">
        <v>7.1057576019478637</v>
      </c>
      <c r="F64" s="121">
        <v>7.0811371010234154</v>
      </c>
      <c r="G64" s="121">
        <v>7.0494322409156842</v>
      </c>
      <c r="H64" s="121">
        <v>7.0165811303700352</v>
      </c>
      <c r="I64" s="121">
        <v>6.9437192718069296</v>
      </c>
      <c r="J64" s="121">
        <v>6.8766569941114017</v>
      </c>
      <c r="K64" s="121">
        <v>6.7671733685747375</v>
      </c>
      <c r="L64" s="121">
        <v>6.6523154101626858</v>
      </c>
      <c r="M64" s="121">
        <v>6.5245815719326901</v>
      </c>
      <c r="N64" s="121">
        <v>6.3904764625199642</v>
      </c>
      <c r="O64" s="121">
        <v>6.2941444608108439</v>
      </c>
      <c r="P64" s="121">
        <v>6.1179483116003697</v>
      </c>
      <c r="Q64" s="121">
        <v>5.9425281512454999</v>
      </c>
      <c r="S64" s="251" t="s">
        <v>304</v>
      </c>
      <c r="T64" s="249">
        <f>JRC_TrRoad_act!Q34</f>
        <v>105137.95465312831</v>
      </c>
      <c r="U64" s="250">
        <f>Q22</f>
        <v>6247.8525529058779</v>
      </c>
      <c r="V64" s="259">
        <f>U64/T64</f>
        <v>5.9425281512454999E-2</v>
      </c>
    </row>
    <row r="65" spans="1:22" ht="11.5" customHeight="1">
      <c r="A65" s="104" t="s">
        <v>166</v>
      </c>
      <c r="B65" s="121">
        <v>6.0581636546606816</v>
      </c>
      <c r="C65" s="121">
        <v>5.8690108096530507</v>
      </c>
      <c r="D65" s="121">
        <v>5.7836566451851343</v>
      </c>
      <c r="E65" s="121">
        <v>5.6731202479725775</v>
      </c>
      <c r="F65" s="121">
        <v>5.4843266766106709</v>
      </c>
      <c r="G65" s="121">
        <v>5.4071680157012123</v>
      </c>
      <c r="H65" s="121">
        <v>5.3341431906229326</v>
      </c>
      <c r="I65" s="121">
        <v>5.2602671907165313</v>
      </c>
      <c r="J65" s="121">
        <v>5.1860509810908555</v>
      </c>
      <c r="K65" s="121">
        <v>5.2321632079198546</v>
      </c>
      <c r="L65" s="121">
        <v>5.2070977592954373</v>
      </c>
      <c r="M65" s="121">
        <v>5.1744190121567986</v>
      </c>
      <c r="N65" s="121">
        <v>5.1464602074042487</v>
      </c>
      <c r="O65" s="121">
        <v>5.0706781620095214</v>
      </c>
      <c r="P65" s="121">
        <v>5.0156886256989219</v>
      </c>
      <c r="Q65" s="121">
        <v>4.9664289454153572</v>
      </c>
      <c r="S65" s="251" t="s">
        <v>305</v>
      </c>
      <c r="T65" s="249">
        <f>JRC_TrRoad_act!Q35</f>
        <v>325752.87172757246</v>
      </c>
      <c r="U65" s="250">
        <f>Q24</f>
        <v>16178.284911999919</v>
      </c>
      <c r="V65" s="259">
        <f t="shared" ref="V65:V70" si="0">U65/T65</f>
        <v>4.9664289454153576E-2</v>
      </c>
    </row>
    <row r="66" spans="1:22" ht="11.5" customHeight="1">
      <c r="A66" s="104" t="s">
        <v>167</v>
      </c>
      <c r="B66" s="121">
        <v>7.3388532546359464</v>
      </c>
      <c r="C66" s="121">
        <v>7.3053659532788373</v>
      </c>
      <c r="D66" s="121">
        <v>7.3195186435215245</v>
      </c>
      <c r="E66" s="121">
        <v>7.3317485578257502</v>
      </c>
      <c r="F66" s="121">
        <v>7.3470760065309655</v>
      </c>
      <c r="G66" s="121">
        <v>7.3601280530606914</v>
      </c>
      <c r="H66" s="121">
        <v>7.3751493286849064</v>
      </c>
      <c r="I66" s="121">
        <v>7.3864646357614223</v>
      </c>
      <c r="J66" s="121">
        <v>7.4010873418235867</v>
      </c>
      <c r="K66" s="121">
        <v>7.7660148193191318</v>
      </c>
      <c r="L66" s="121">
        <v>6.3351194198309386</v>
      </c>
      <c r="M66" s="121">
        <v>6.760050958884511</v>
      </c>
      <c r="N66" s="121">
        <v>6.7109897093292235</v>
      </c>
      <c r="O66" s="121">
        <v>6.6533461127983529</v>
      </c>
      <c r="P66" s="121">
        <v>6.5869992337787675</v>
      </c>
      <c r="Q66" s="121">
        <v>6.5150998249769083</v>
      </c>
      <c r="S66" s="251" t="s">
        <v>306</v>
      </c>
      <c r="T66" s="249">
        <f>JRC_TrRoad_act!Q36</f>
        <v>1160.6577823481689</v>
      </c>
      <c r="U66" s="250">
        <f>Q26</f>
        <v>75.618013146346414</v>
      </c>
      <c r="V66" s="259">
        <f t="shared" si="0"/>
        <v>6.5150998249769082E-2</v>
      </c>
    </row>
    <row r="67" spans="1:22" ht="11.5" customHeight="1">
      <c r="A67" s="104" t="s">
        <v>168</v>
      </c>
      <c r="B67" s="121" t="s">
        <v>186</v>
      </c>
      <c r="C67" s="121" t="s">
        <v>186</v>
      </c>
      <c r="D67" s="121" t="s">
        <v>186</v>
      </c>
      <c r="E67" s="121" t="s">
        <v>186</v>
      </c>
      <c r="F67" s="121" t="s">
        <v>186</v>
      </c>
      <c r="G67" s="121" t="s">
        <v>186</v>
      </c>
      <c r="H67" s="121" t="s">
        <v>186</v>
      </c>
      <c r="I67" s="121">
        <v>7.2841910021942455</v>
      </c>
      <c r="J67" s="121">
        <v>7.0405339401017288</v>
      </c>
      <c r="K67" s="121">
        <v>6.8487375474069117</v>
      </c>
      <c r="L67" s="121">
        <v>6.8034147623384635</v>
      </c>
      <c r="M67" s="121">
        <v>6.7447729205105365</v>
      </c>
      <c r="N67" s="121">
        <v>6.6813832672843247</v>
      </c>
      <c r="O67" s="121">
        <v>6.623955135556975</v>
      </c>
      <c r="P67" s="121">
        <v>6.5499078273289575</v>
      </c>
      <c r="Q67" s="121">
        <v>6.4286352401634401</v>
      </c>
      <c r="S67" s="251" t="s">
        <v>307</v>
      </c>
      <c r="T67" s="249">
        <f>JRC_TrRoad_act!Q37</f>
        <v>37.38849569440427</v>
      </c>
      <c r="U67" s="250">
        <f>Q27</f>
        <v>2.4035700099774631</v>
      </c>
      <c r="V67" s="259">
        <f t="shared" si="0"/>
        <v>6.4286352401634397E-2</v>
      </c>
    </row>
    <row r="68" spans="1:22" ht="11.5" customHeight="1">
      <c r="A68" s="104" t="s">
        <v>169</v>
      </c>
      <c r="B68" s="121" t="s">
        <v>186</v>
      </c>
      <c r="C68" s="121" t="s">
        <v>186</v>
      </c>
      <c r="D68" s="121" t="s">
        <v>186</v>
      </c>
      <c r="E68" s="121" t="s">
        <v>186</v>
      </c>
      <c r="F68" s="121" t="s">
        <v>186</v>
      </c>
      <c r="G68" s="121" t="s">
        <v>186</v>
      </c>
      <c r="H68" s="121" t="s">
        <v>186</v>
      </c>
      <c r="I68" s="121" t="s">
        <v>186</v>
      </c>
      <c r="J68" s="121" t="s">
        <v>186</v>
      </c>
      <c r="K68" s="121" t="s">
        <v>186</v>
      </c>
      <c r="L68" s="121" t="s">
        <v>186</v>
      </c>
      <c r="M68" s="121" t="s">
        <v>186</v>
      </c>
      <c r="N68" s="121" t="s">
        <v>186</v>
      </c>
      <c r="O68" s="121">
        <v>3.3692871522374386</v>
      </c>
      <c r="P68" s="121">
        <v>3.1893499414525253</v>
      </c>
      <c r="Q68" s="121">
        <v>3.2938512045902848</v>
      </c>
      <c r="S68" s="251" t="s">
        <v>308</v>
      </c>
      <c r="T68" s="249">
        <f>JRC_TrRoad_act!Q38</f>
        <v>89.972815331861554</v>
      </c>
      <c r="U68" s="250">
        <f>Q29</f>
        <v>2.9635706616123141</v>
      </c>
      <c r="V68" s="259">
        <f t="shared" si="0"/>
        <v>3.2938512045902847E-2</v>
      </c>
    </row>
    <row r="69" spans="1:22" ht="11.5" customHeight="1">
      <c r="A69" s="104" t="s">
        <v>170</v>
      </c>
      <c r="B69" s="121" t="s">
        <v>186</v>
      </c>
      <c r="C69" s="121" t="s">
        <v>186</v>
      </c>
      <c r="D69" s="121" t="s">
        <v>186</v>
      </c>
      <c r="E69" s="121" t="s">
        <v>186</v>
      </c>
      <c r="F69" s="121" t="s">
        <v>186</v>
      </c>
      <c r="G69" s="121" t="s">
        <v>186</v>
      </c>
      <c r="H69" s="121">
        <v>2.6973804050358217</v>
      </c>
      <c r="I69" s="121">
        <v>2.7024120569456076</v>
      </c>
      <c r="J69" s="121">
        <v>2.7078896449256846</v>
      </c>
      <c r="K69" s="121">
        <v>2.7126429989734846</v>
      </c>
      <c r="L69" s="121">
        <v>2.7181418619256972</v>
      </c>
      <c r="M69" s="121">
        <v>2.7293107311633356</v>
      </c>
      <c r="N69" s="121">
        <v>2.7413551735687602</v>
      </c>
      <c r="O69" s="121">
        <v>2.7546608244005508</v>
      </c>
      <c r="P69" s="121">
        <v>2.768600269036638</v>
      </c>
      <c r="Q69" s="121">
        <v>2.7854456564332097</v>
      </c>
      <c r="S69" s="252" t="s">
        <v>309</v>
      </c>
      <c r="T69" s="249">
        <f>JRC_TrRoad_act!Q39</f>
        <v>609.98986253437818</v>
      </c>
      <c r="U69" s="250">
        <f>Q32</f>
        <v>16.990936130646745</v>
      </c>
      <c r="V69" s="259">
        <f t="shared" si="0"/>
        <v>2.7854456564332098E-2</v>
      </c>
    </row>
    <row r="70" spans="1:22" ht="11.5" customHeight="1">
      <c r="A70" s="102" t="s">
        <v>171</v>
      </c>
      <c r="B70" s="120">
        <v>56.215051729559598</v>
      </c>
      <c r="C70" s="120">
        <v>55.611358254690138</v>
      </c>
      <c r="D70" s="120">
        <v>55.403359369242331</v>
      </c>
      <c r="E70" s="120">
        <v>55.236857179826323</v>
      </c>
      <c r="F70" s="120">
        <v>55.09473618469606</v>
      </c>
      <c r="G70" s="120">
        <v>54.989629709911391</v>
      </c>
      <c r="H70" s="120">
        <v>54.762982996598907</v>
      </c>
      <c r="I70" s="120">
        <v>54.605258092330985</v>
      </c>
      <c r="J70" s="120">
        <v>54.206645063445769</v>
      </c>
      <c r="K70" s="120">
        <v>53.673166867921687</v>
      </c>
      <c r="L70" s="120">
        <v>53.357232556355825</v>
      </c>
      <c r="M70" s="120">
        <v>53.097726428965373</v>
      </c>
      <c r="N70" s="120">
        <v>52.854640508349881</v>
      </c>
      <c r="O70" s="120">
        <v>52.844174626570606</v>
      </c>
      <c r="P70" s="120">
        <v>52.268719983294297</v>
      </c>
      <c r="Q70" s="120">
        <v>52.124058921059181</v>
      </c>
      <c r="S70" s="254" t="s">
        <v>122</v>
      </c>
      <c r="T70" s="255">
        <f>SUM(T64:T69)</f>
        <v>432788.83533660963</v>
      </c>
      <c r="U70" s="255">
        <f>SUM(U64:U69)</f>
        <v>22524.113554854383</v>
      </c>
      <c r="V70" s="256">
        <f t="shared" si="0"/>
        <v>5.2044118784477955E-2</v>
      </c>
    </row>
    <row r="71" spans="1:22" ht="11.5" customHeight="1">
      <c r="A71" s="104" t="s">
        <v>165</v>
      </c>
      <c r="B71" s="121">
        <v>18.023502400711358</v>
      </c>
      <c r="C71" s="121">
        <v>18.052853307290789</v>
      </c>
      <c r="D71" s="121">
        <v>18.088469331245712</v>
      </c>
      <c r="E71" s="121">
        <v>18.129545638080018</v>
      </c>
      <c r="F71" s="121">
        <v>18.169941426209693</v>
      </c>
      <c r="G71" s="121">
        <v>18.21226628602917</v>
      </c>
      <c r="H71" s="121">
        <v>18.254026217076795</v>
      </c>
      <c r="I71" s="121">
        <v>18.295104717805785</v>
      </c>
      <c r="J71" s="121">
        <v>18.335308905837298</v>
      </c>
      <c r="K71" s="121">
        <v>18.374295884305322</v>
      </c>
      <c r="L71" s="121">
        <v>18.411808568426977</v>
      </c>
      <c r="M71" s="121">
        <v>18.447115406383819</v>
      </c>
      <c r="N71" s="121">
        <v>18.465053262493491</v>
      </c>
      <c r="O71" s="121">
        <v>18.491441122975711</v>
      </c>
      <c r="P71" s="121">
        <v>18.511788576664411</v>
      </c>
      <c r="Q71" s="121">
        <v>18.525023012520865</v>
      </c>
      <c r="S71" s="253"/>
      <c r="V71" s="260"/>
    </row>
    <row r="72" spans="1:22" ht="11.5" customHeight="1">
      <c r="A72" s="104" t="s">
        <v>166</v>
      </c>
      <c r="B72" s="121">
        <v>56.579299257594982</v>
      </c>
      <c r="C72" s="121">
        <v>56.179678976124158</v>
      </c>
      <c r="D72" s="121">
        <v>56.029346291531454</v>
      </c>
      <c r="E72" s="121">
        <v>55.920018207197231</v>
      </c>
      <c r="F72" s="121">
        <v>55.807276829952123</v>
      </c>
      <c r="G72" s="121">
        <v>55.665697511957369</v>
      </c>
      <c r="H72" s="121">
        <v>55.508315642433736</v>
      </c>
      <c r="I72" s="121">
        <v>55.345665122566515</v>
      </c>
      <c r="J72" s="121">
        <v>55.030075886698107</v>
      </c>
      <c r="K72" s="121">
        <v>54.554191993778886</v>
      </c>
      <c r="L72" s="121">
        <v>54.119194523457573</v>
      </c>
      <c r="M72" s="121">
        <v>53.817591597928541</v>
      </c>
      <c r="N72" s="121">
        <v>53.548805940966496</v>
      </c>
      <c r="O72" s="121">
        <v>53.491688662570027</v>
      </c>
      <c r="P72" s="121">
        <v>53.170272605936354</v>
      </c>
      <c r="Q72" s="121">
        <v>52.900603272207569</v>
      </c>
      <c r="S72" s="251" t="s">
        <v>302</v>
      </c>
      <c r="T72" s="249">
        <f>SUM(T64:T66,T68)</f>
        <v>432141.45697838085</v>
      </c>
      <c r="U72" s="250">
        <f>SUM(U64:U66,U68)</f>
        <v>22504.71904871376</v>
      </c>
      <c r="V72" s="259">
        <f>U72/T72</f>
        <v>5.2077204547953435E-2</v>
      </c>
    </row>
    <row r="73" spans="1:22" ht="11.5" customHeight="1">
      <c r="A73" s="104" t="s">
        <v>167</v>
      </c>
      <c r="B73" s="121">
        <v>47.114407734992945</v>
      </c>
      <c r="C73" s="121">
        <v>46.056279220730637</v>
      </c>
      <c r="D73" s="121">
        <v>46.135553439625035</v>
      </c>
      <c r="E73" s="121">
        <v>46.100738752793859</v>
      </c>
      <c r="F73" s="121">
        <v>46.129866516649642</v>
      </c>
      <c r="G73" s="121">
        <v>46.106446378017665</v>
      </c>
      <c r="H73" s="121">
        <v>45.819080628320521</v>
      </c>
      <c r="I73" s="121">
        <v>45.346944503949089</v>
      </c>
      <c r="J73" s="121">
        <v>45.323223949417887</v>
      </c>
      <c r="K73" s="121">
        <v>45.233633130957983</v>
      </c>
      <c r="L73" s="121">
        <v>45.173795049367996</v>
      </c>
      <c r="M73" s="121">
        <v>45.330340621349677</v>
      </c>
      <c r="N73" s="121">
        <v>45.248970780309669</v>
      </c>
      <c r="O73" s="121">
        <v>45.337416245191541</v>
      </c>
      <c r="P73" s="121">
        <v>45.464798288579196</v>
      </c>
      <c r="Q73" s="121">
        <v>45.566875230055679</v>
      </c>
      <c r="S73" s="251" t="s">
        <v>303</v>
      </c>
      <c r="T73" s="249">
        <f>T67</f>
        <v>37.38849569440427</v>
      </c>
      <c r="U73" s="250">
        <f>U67</f>
        <v>2.4035700099774631</v>
      </c>
      <c r="V73" s="259">
        <f>U73/T73</f>
        <v>6.4286352401634397E-2</v>
      </c>
    </row>
    <row r="74" spans="1:22" ht="11.5" customHeight="1">
      <c r="A74" s="104" t="s">
        <v>168</v>
      </c>
      <c r="B74" s="121">
        <v>44.21347918116377</v>
      </c>
      <c r="C74" s="121">
        <v>43.742591776896035</v>
      </c>
      <c r="D74" s="121">
        <v>42.750913522226938</v>
      </c>
      <c r="E74" s="121">
        <v>43.729747702076068</v>
      </c>
      <c r="F74" s="121">
        <v>43.303159144230655</v>
      </c>
      <c r="G74" s="121">
        <v>44.020981895629305</v>
      </c>
      <c r="H74" s="121">
        <v>43.979761084292136</v>
      </c>
      <c r="I74" s="121">
        <v>44.066593597604097</v>
      </c>
      <c r="J74" s="121">
        <v>43.840138227522672</v>
      </c>
      <c r="K74" s="121">
        <v>42.377159862129027</v>
      </c>
      <c r="L74" s="121">
        <v>44.004139640668257</v>
      </c>
      <c r="M74" s="121">
        <v>44.036593388895113</v>
      </c>
      <c r="N74" s="121">
        <v>44.070847967953014</v>
      </c>
      <c r="O74" s="121">
        <v>44.79586290367768</v>
      </c>
      <c r="P74" s="121">
        <v>43.703942798630052</v>
      </c>
      <c r="Q74" s="121">
        <v>44.816170258212757</v>
      </c>
      <c r="S74" s="252" t="s">
        <v>299</v>
      </c>
      <c r="T74" s="249">
        <f>T69</f>
        <v>609.98986253437818</v>
      </c>
      <c r="U74" s="250">
        <f>U69</f>
        <v>16.990936130646745</v>
      </c>
      <c r="V74" s="259">
        <f>U74/T74</f>
        <v>2.7854456564332098E-2</v>
      </c>
    </row>
    <row r="75" spans="1:22" ht="11.5" customHeight="1">
      <c r="A75" s="104" t="s">
        <v>170</v>
      </c>
      <c r="B75" s="121">
        <v>32.60679869210405</v>
      </c>
      <c r="C75" s="121">
        <v>31.288784069569669</v>
      </c>
      <c r="D75" s="121">
        <v>30.833150567588589</v>
      </c>
      <c r="E75" s="121">
        <v>30.469439774766993</v>
      </c>
      <c r="F75" s="121">
        <v>30.139170518911762</v>
      </c>
      <c r="G75" s="121">
        <v>30.003324096340219</v>
      </c>
      <c r="H75" s="121">
        <v>29.892536235212653</v>
      </c>
      <c r="I75" s="121">
        <v>29.750755025725713</v>
      </c>
      <c r="J75" s="121">
        <v>29.590926232770382</v>
      </c>
      <c r="K75" s="121">
        <v>29.464744439583733</v>
      </c>
      <c r="L75" s="121">
        <v>29.579542665360108</v>
      </c>
      <c r="M75" s="121">
        <v>29.443090381391308</v>
      </c>
      <c r="N75" s="121">
        <v>28.851228823503263</v>
      </c>
      <c r="O75" s="121">
        <v>28.236849638047023</v>
      </c>
      <c r="P75" s="121">
        <v>28.074741939395437</v>
      </c>
      <c r="Q75" s="121">
        <v>27.929915541787675</v>
      </c>
      <c r="S75" s="254" t="s">
        <v>122</v>
      </c>
      <c r="T75" s="255">
        <f>SUM(T72:T74)</f>
        <v>432788.83533660963</v>
      </c>
      <c r="U75" s="257">
        <f>SUM(U72:U74)</f>
        <v>22524.113554854383</v>
      </c>
      <c r="V75" s="256">
        <f>U75/T75</f>
        <v>5.2044118784477955E-2</v>
      </c>
    </row>
    <row r="76" spans="1:22" ht="11.5" customHeight="1">
      <c r="A76" s="98" t="s">
        <v>179</v>
      </c>
      <c r="B76" s="118">
        <v>16.492742460598407</v>
      </c>
      <c r="C76" s="118">
        <v>16.037150459043939</v>
      </c>
      <c r="D76" s="118">
        <v>15.777675465947727</v>
      </c>
      <c r="E76" s="118">
        <v>15.463354279109295</v>
      </c>
      <c r="F76" s="118">
        <v>15.598220152303616</v>
      </c>
      <c r="G76" s="118">
        <v>15.448362816848919</v>
      </c>
      <c r="H76" s="118">
        <v>15.307492704286545</v>
      </c>
      <c r="I76" s="118">
        <v>15.27594517286853</v>
      </c>
      <c r="J76" s="118">
        <v>14.8463593927573</v>
      </c>
      <c r="K76" s="118">
        <v>13.958971779521853</v>
      </c>
      <c r="L76" s="118">
        <v>13.878473541638531</v>
      </c>
      <c r="M76" s="118">
        <v>13.750591674617374</v>
      </c>
      <c r="N76" s="118">
        <v>13.305327474249703</v>
      </c>
      <c r="O76" s="118">
        <v>13.085611860512211</v>
      </c>
      <c r="P76" s="118">
        <v>12.798607074327897</v>
      </c>
      <c r="Q76" s="118">
        <v>12.436409662561596</v>
      </c>
    </row>
    <row r="77" spans="1:22" ht="11.5" customHeight="1">
      <c r="A77" s="100" t="s">
        <v>173</v>
      </c>
      <c r="B77" s="119">
        <v>8.7437523297004738</v>
      </c>
      <c r="C77" s="119">
        <v>8.5295560197888953</v>
      </c>
      <c r="D77" s="119">
        <v>8.4212157018787099</v>
      </c>
      <c r="E77" s="119">
        <v>8.2835970732003457</v>
      </c>
      <c r="F77" s="119">
        <v>8.0655076038649689</v>
      </c>
      <c r="G77" s="119">
        <v>7.9690241266073576</v>
      </c>
      <c r="H77" s="119">
        <v>7.8467182970234752</v>
      </c>
      <c r="I77" s="119">
        <v>7.736411603275366</v>
      </c>
      <c r="J77" s="119">
        <v>7.6619289703152553</v>
      </c>
      <c r="K77" s="119">
        <v>7.6338099716183745</v>
      </c>
      <c r="L77" s="119">
        <v>7.5731280004336545</v>
      </c>
      <c r="M77" s="119">
        <v>7.5038477337910967</v>
      </c>
      <c r="N77" s="119">
        <v>7.4281677350173183</v>
      </c>
      <c r="O77" s="119">
        <v>7.2659514335685644</v>
      </c>
      <c r="P77" s="119">
        <v>7.125987896809324</v>
      </c>
      <c r="Q77" s="119">
        <v>7.0111907670033409</v>
      </c>
    </row>
    <row r="78" spans="1:22" ht="11.5" customHeight="1">
      <c r="A78" s="104" t="s">
        <v>165</v>
      </c>
      <c r="B78" s="121">
        <v>9.6790425993538491</v>
      </c>
      <c r="C78" s="121">
        <v>9.6464949844149501</v>
      </c>
      <c r="D78" s="121">
        <v>9.6363736728635025</v>
      </c>
      <c r="E78" s="121">
        <v>9.6168135614769952</v>
      </c>
      <c r="F78" s="121">
        <v>9.5813907267437539</v>
      </c>
      <c r="G78" s="121">
        <v>9.5385430912484832</v>
      </c>
      <c r="H78" s="121">
        <v>9.485067462455623</v>
      </c>
      <c r="I78" s="121">
        <v>9.4337974936388225</v>
      </c>
      <c r="J78" s="121">
        <v>9.3986354776395515</v>
      </c>
      <c r="K78" s="121">
        <v>9.3313478269462991</v>
      </c>
      <c r="L78" s="121">
        <v>9.2523737966871096</v>
      </c>
      <c r="M78" s="121">
        <v>9.1789064093660517</v>
      </c>
      <c r="N78" s="121">
        <v>9.1990865313242747</v>
      </c>
      <c r="O78" s="121">
        <v>9.1035387367067973</v>
      </c>
      <c r="P78" s="121">
        <v>8.9628315810953048</v>
      </c>
      <c r="Q78" s="121">
        <v>8.8143612537851013</v>
      </c>
    </row>
    <row r="79" spans="1:22" ht="11.5" customHeight="1">
      <c r="A79" s="104" t="s">
        <v>166</v>
      </c>
      <c r="B79" s="121">
        <v>8.5802993290891507</v>
      </c>
      <c r="C79" s="121">
        <v>8.3725536359523129</v>
      </c>
      <c r="D79" s="121">
        <v>8.2821089874075344</v>
      </c>
      <c r="E79" s="121">
        <v>8.1635462951504518</v>
      </c>
      <c r="F79" s="121">
        <v>7.9578938793080551</v>
      </c>
      <c r="G79" s="121">
        <v>7.8754757852132498</v>
      </c>
      <c r="H79" s="121">
        <v>7.7629605999769442</v>
      </c>
      <c r="I79" s="121">
        <v>7.6624134947040012</v>
      </c>
      <c r="J79" s="121">
        <v>7.5935075358292501</v>
      </c>
      <c r="K79" s="121">
        <v>7.5745210382492862</v>
      </c>
      <c r="L79" s="121">
        <v>7.5204068528500274</v>
      </c>
      <c r="M79" s="121">
        <v>7.4552495056870711</v>
      </c>
      <c r="N79" s="121">
        <v>7.3818325798352999</v>
      </c>
      <c r="O79" s="121">
        <v>7.2222573002321155</v>
      </c>
      <c r="P79" s="121">
        <v>7.0893661327446207</v>
      </c>
      <c r="Q79" s="121">
        <v>6.9808458739739994</v>
      </c>
    </row>
    <row r="80" spans="1:22" ht="11.5" customHeight="1">
      <c r="A80" s="104" t="s">
        <v>167</v>
      </c>
      <c r="B80" s="121">
        <v>11.085763267793023</v>
      </c>
      <c r="C80" s="121">
        <v>10.830082195790848</v>
      </c>
      <c r="D80" s="121">
        <v>10.770849037958673</v>
      </c>
      <c r="E80" s="121">
        <v>10.715964877882071</v>
      </c>
      <c r="F80" s="121">
        <v>10.655820596832319</v>
      </c>
      <c r="G80" s="121">
        <v>10.613474712842901</v>
      </c>
      <c r="H80" s="121">
        <v>10.56403533084266</v>
      </c>
      <c r="I80" s="121">
        <v>10.403252502236251</v>
      </c>
      <c r="J80" s="121">
        <v>10.3530080381137</v>
      </c>
      <c r="K80" s="121">
        <v>10.302910157816772</v>
      </c>
      <c r="L80" s="121">
        <v>10.235034416035031</v>
      </c>
      <c r="M80" s="121">
        <v>10.158742745834044</v>
      </c>
      <c r="N80" s="121">
        <v>10.078858156116302</v>
      </c>
      <c r="O80" s="121">
        <v>10.101267020589928</v>
      </c>
      <c r="P80" s="121">
        <v>10.000861672792858</v>
      </c>
      <c r="Q80" s="121">
        <v>9.892372940056843</v>
      </c>
    </row>
    <row r="81" spans="1:17" ht="11.5" customHeight="1">
      <c r="A81" s="104" t="s">
        <v>168</v>
      </c>
      <c r="B81" s="121">
        <v>10.224749949855779</v>
      </c>
      <c r="C81" s="121">
        <v>10.246748977380841</v>
      </c>
      <c r="D81" s="121">
        <v>10.261108940255147</v>
      </c>
      <c r="E81" s="121">
        <v>10.076171504536813</v>
      </c>
      <c r="F81" s="121">
        <v>10.081787156808259</v>
      </c>
      <c r="G81" s="121">
        <v>10.092554349211042</v>
      </c>
      <c r="H81" s="121">
        <v>9.8386866559977353</v>
      </c>
      <c r="I81" s="121">
        <v>9.8133648845091752</v>
      </c>
      <c r="J81" s="121">
        <v>9.76202526306019</v>
      </c>
      <c r="K81" s="121">
        <v>9.4580551355253881</v>
      </c>
      <c r="L81" s="121">
        <v>9.0224804838839052</v>
      </c>
      <c r="M81" s="121">
        <v>8.7467502974525431</v>
      </c>
      <c r="N81" s="121">
        <v>8.5049808067686943</v>
      </c>
      <c r="O81" s="121">
        <v>8.2285422821739083</v>
      </c>
      <c r="P81" s="121">
        <v>8.0616188294451057</v>
      </c>
      <c r="Q81" s="121">
        <v>8.0127177010474888</v>
      </c>
    </row>
    <row r="82" spans="1:17" ht="11.5" customHeight="1">
      <c r="A82" s="104" t="s">
        <v>170</v>
      </c>
      <c r="B82" s="121">
        <v>4.7311759226968588</v>
      </c>
      <c r="C82" s="121">
        <v>4.5471089171539081</v>
      </c>
      <c r="D82" s="121">
        <v>4.5262554703812823</v>
      </c>
      <c r="E82" s="121">
        <v>4.5152191988604802</v>
      </c>
      <c r="F82" s="121">
        <v>4.4884281647369111</v>
      </c>
      <c r="G82" s="121">
        <v>4.4643828927618552</v>
      </c>
      <c r="H82" s="121">
        <v>4.4427823248475944</v>
      </c>
      <c r="I82" s="121">
        <v>4.4137267208668973</v>
      </c>
      <c r="J82" s="121">
        <v>4.3254010136959096</v>
      </c>
      <c r="K82" s="121">
        <v>4.283539992359616</v>
      </c>
      <c r="L82" s="121">
        <v>4.1446726579663524</v>
      </c>
      <c r="M82" s="121">
        <v>4.1200409093423884</v>
      </c>
      <c r="N82" s="121">
        <v>4.1245996969029228</v>
      </c>
      <c r="O82" s="121">
        <v>4.1367459398607842</v>
      </c>
      <c r="P82" s="121">
        <v>4.1498000712838667</v>
      </c>
      <c r="Q82" s="121">
        <v>4.1676955980528634</v>
      </c>
    </row>
    <row r="83" spans="1:17" ht="11.5" customHeight="1">
      <c r="A83" s="102" t="s">
        <v>174</v>
      </c>
      <c r="B83" s="120">
        <v>47.411387040038832</v>
      </c>
      <c r="C83" s="120">
        <v>46.270687532895224</v>
      </c>
      <c r="D83" s="120">
        <v>45.749955982428538</v>
      </c>
      <c r="E83" s="120">
        <v>45.17055743137486</v>
      </c>
      <c r="F83" s="120">
        <v>44.247152883120194</v>
      </c>
      <c r="G83" s="120">
        <v>43.967528139363232</v>
      </c>
      <c r="H83" s="120">
        <v>43.723479629496261</v>
      </c>
      <c r="I83" s="120">
        <v>43.468326192119036</v>
      </c>
      <c r="J83" s="120">
        <v>43.198602402807687</v>
      </c>
      <c r="K83" s="120">
        <v>43.700616320203025</v>
      </c>
      <c r="L83" s="120">
        <v>43.933023501705733</v>
      </c>
      <c r="M83" s="120">
        <v>44.030961610110175</v>
      </c>
      <c r="N83" s="120">
        <v>44.073074162833663</v>
      </c>
      <c r="O83" s="120">
        <v>43.87639176850108</v>
      </c>
      <c r="P83" s="120">
        <v>43.951635696844171</v>
      </c>
      <c r="Q83" s="120">
        <v>44.130939100198383</v>
      </c>
    </row>
    <row r="84" spans="1:17" ht="11.5" customHeight="1">
      <c r="A84" s="104" t="s">
        <v>175</v>
      </c>
      <c r="B84" s="121">
        <v>47.090907005955998</v>
      </c>
      <c r="C84" s="121">
        <v>46.397296623459276</v>
      </c>
      <c r="D84" s="121">
        <v>46.172505640716857</v>
      </c>
      <c r="E84" s="121">
        <v>45.840452251742448</v>
      </c>
      <c r="F84" s="121">
        <v>45.214794173854166</v>
      </c>
      <c r="G84" s="121">
        <v>44.950709320380618</v>
      </c>
      <c r="H84" s="121">
        <v>44.695498671581298</v>
      </c>
      <c r="I84" s="121">
        <v>44.429241053057751</v>
      </c>
      <c r="J84" s="121">
        <v>44.157234598644195</v>
      </c>
      <c r="K84" s="121">
        <v>44.494748959607605</v>
      </c>
      <c r="L84" s="121">
        <v>44.663779074245674</v>
      </c>
      <c r="M84" s="121">
        <v>44.660665606559157</v>
      </c>
      <c r="N84" s="121">
        <v>44.611452454573879</v>
      </c>
      <c r="O84" s="121">
        <v>44.397856568654163</v>
      </c>
      <c r="P84" s="121">
        <v>44.422666161965182</v>
      </c>
      <c r="Q84" s="121">
        <v>44.541206849636481</v>
      </c>
    </row>
    <row r="85" spans="1:17" ht="11.5" customHeight="1">
      <c r="A85" s="106" t="s">
        <v>176</v>
      </c>
      <c r="B85" s="122">
        <v>48.121645646768222</v>
      </c>
      <c r="C85" s="122">
        <v>46.000355856187383</v>
      </c>
      <c r="D85" s="122">
        <v>44.88810276266895</v>
      </c>
      <c r="E85" s="122">
        <v>43.827410900160935</v>
      </c>
      <c r="F85" s="122">
        <v>42.481678716538035</v>
      </c>
      <c r="G85" s="122">
        <v>42.231178977965605</v>
      </c>
      <c r="H85" s="122">
        <v>42.028040108724731</v>
      </c>
      <c r="I85" s="122">
        <v>41.768549682948532</v>
      </c>
      <c r="J85" s="122">
        <v>41.577837269607834</v>
      </c>
      <c r="K85" s="122">
        <v>42.395788312121432</v>
      </c>
      <c r="L85" s="122">
        <v>42.685715463064582</v>
      </c>
      <c r="M85" s="122">
        <v>42.858892188605573</v>
      </c>
      <c r="N85" s="122">
        <v>43.126835291680415</v>
      </c>
      <c r="O85" s="122">
        <v>43.009445285825251</v>
      </c>
      <c r="P85" s="122">
        <v>43.183854722538371</v>
      </c>
      <c r="Q85" s="122">
        <v>43.506338618437852</v>
      </c>
    </row>
    <row r="87" spans="1:17" ht="11.5" customHeight="1">
      <c r="A87" s="96" t="s">
        <v>219</v>
      </c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1.5" customHeight="1">
      <c r="A88" s="98" t="s">
        <v>220</v>
      </c>
      <c r="B88" s="99">
        <v>34.717272888073246</v>
      </c>
      <c r="C88" s="99">
        <v>34.216358557708546</v>
      </c>
      <c r="D88" s="99">
        <v>33.742564963224751</v>
      </c>
      <c r="E88" s="99">
        <v>33.0480683480097</v>
      </c>
      <c r="F88" s="99">
        <v>32.438721540824638</v>
      </c>
      <c r="G88" s="99">
        <v>32.175500215126462</v>
      </c>
      <c r="H88" s="99">
        <v>32.299253358773868</v>
      </c>
      <c r="I88" s="99">
        <v>32.202849127424471</v>
      </c>
      <c r="J88" s="99">
        <v>32.098611498628181</v>
      </c>
      <c r="K88" s="99">
        <v>32.738729687047822</v>
      </c>
      <c r="L88" s="99">
        <v>31.502261752380662</v>
      </c>
      <c r="M88" s="99">
        <v>30.917819821278503</v>
      </c>
      <c r="N88" s="99">
        <v>31.250617024007951</v>
      </c>
      <c r="O88" s="99">
        <v>30.682243984696463</v>
      </c>
      <c r="P88" s="99">
        <v>30.850011948098558</v>
      </c>
      <c r="Q88" s="99">
        <v>30.748457145694271</v>
      </c>
    </row>
    <row r="89" spans="1:17" ht="11.5" customHeight="1">
      <c r="A89" s="100" t="s">
        <v>163</v>
      </c>
      <c r="B89" s="101">
        <v>31.955672689299686</v>
      </c>
      <c r="C89" s="101">
        <v>31.916776008994578</v>
      </c>
      <c r="D89" s="101">
        <v>31.601804785732991</v>
      </c>
      <c r="E89" s="101">
        <v>31.465556770140886</v>
      </c>
      <c r="F89" s="101">
        <v>31.344668037914676</v>
      </c>
      <c r="G89" s="101">
        <v>31.157760191791816</v>
      </c>
      <c r="H89" s="101">
        <v>31.066449253689282</v>
      </c>
      <c r="I89" s="101">
        <v>31.004698185730845</v>
      </c>
      <c r="J89" s="101">
        <v>30.617538049710156</v>
      </c>
      <c r="K89" s="101">
        <v>31.380866770295494</v>
      </c>
      <c r="L89" s="101">
        <v>31.468500352665011</v>
      </c>
      <c r="M89" s="101">
        <v>31.117238096268991</v>
      </c>
      <c r="N89" s="101">
        <v>30.873568532463068</v>
      </c>
      <c r="O89" s="101">
        <v>30.584906718500125</v>
      </c>
      <c r="P89" s="101">
        <v>30.017079788367941</v>
      </c>
      <c r="Q89" s="101">
        <v>30.013433032860345</v>
      </c>
    </row>
    <row r="90" spans="1:17" ht="11.5" customHeight="1">
      <c r="A90" s="102" t="s">
        <v>164</v>
      </c>
      <c r="B90" s="103">
        <v>35.257646569108651</v>
      </c>
      <c r="C90" s="103">
        <v>34.642310553929356</v>
      </c>
      <c r="D90" s="103">
        <v>34.1474824617801</v>
      </c>
      <c r="E90" s="103">
        <v>33.398355938748836</v>
      </c>
      <c r="F90" s="103">
        <v>32.698371768254511</v>
      </c>
      <c r="G90" s="103">
        <v>32.333283154301903</v>
      </c>
      <c r="H90" s="103">
        <v>32.478437337799186</v>
      </c>
      <c r="I90" s="103">
        <v>32.365804796974125</v>
      </c>
      <c r="J90" s="103">
        <v>32.352107659115262</v>
      </c>
      <c r="K90" s="103">
        <v>33.119384547804962</v>
      </c>
      <c r="L90" s="103">
        <v>31.9146784675787</v>
      </c>
      <c r="M90" s="103">
        <v>31.300564037268447</v>
      </c>
      <c r="N90" s="103">
        <v>31.728733427495463</v>
      </c>
      <c r="O90" s="103">
        <v>31.014124087870293</v>
      </c>
      <c r="P90" s="103">
        <v>31.21453039134397</v>
      </c>
      <c r="Q90" s="103">
        <v>31.106231232515455</v>
      </c>
    </row>
    <row r="91" spans="1:17" ht="11.5" customHeight="1">
      <c r="A91" s="104" t="s">
        <v>165</v>
      </c>
      <c r="B91" s="105">
        <v>39.194964328419971</v>
      </c>
      <c r="C91" s="105">
        <v>39.065776805969108</v>
      </c>
      <c r="D91" s="105">
        <v>38.858112518097492</v>
      </c>
      <c r="E91" s="105">
        <v>38.552980396321566</v>
      </c>
      <c r="F91" s="105">
        <v>38.555878685624819</v>
      </c>
      <c r="G91" s="105">
        <v>38.545005607099206</v>
      </c>
      <c r="H91" s="105">
        <v>39.27511810068858</v>
      </c>
      <c r="I91" s="105">
        <v>39.553519858478921</v>
      </c>
      <c r="J91" s="105">
        <v>40.050241946040195</v>
      </c>
      <c r="K91" s="105">
        <v>40.579069833190424</v>
      </c>
      <c r="L91" s="105">
        <v>38.975635030765417</v>
      </c>
      <c r="M91" s="105">
        <v>37.993151447905433</v>
      </c>
      <c r="N91" s="105">
        <v>38.2982544360232</v>
      </c>
      <c r="O91" s="105">
        <v>37.474859198688158</v>
      </c>
      <c r="P91" s="105">
        <v>37.231112409958179</v>
      </c>
      <c r="Q91" s="105">
        <v>36.57869338697968</v>
      </c>
    </row>
    <row r="92" spans="1:17" ht="11.5" customHeight="1">
      <c r="A92" s="104" t="s">
        <v>166</v>
      </c>
      <c r="B92" s="105">
        <v>31.477964798317554</v>
      </c>
      <c r="C92" s="105">
        <v>30.802577850149898</v>
      </c>
      <c r="D92" s="105">
        <v>30.31427475173745</v>
      </c>
      <c r="E92" s="105">
        <v>29.601287624135939</v>
      </c>
      <c r="F92" s="105">
        <v>28.717852635989416</v>
      </c>
      <c r="G92" s="105">
        <v>28.433143829602425</v>
      </c>
      <c r="H92" s="105">
        <v>28.714262277825174</v>
      </c>
      <c r="I92" s="105">
        <v>28.816539869700168</v>
      </c>
      <c r="J92" s="105">
        <v>29.04728916180202</v>
      </c>
      <c r="K92" s="105">
        <v>30.172904083024534</v>
      </c>
      <c r="L92" s="105">
        <v>29.339799615420723</v>
      </c>
      <c r="M92" s="105">
        <v>28.977124870575611</v>
      </c>
      <c r="N92" s="105">
        <v>29.661656713250014</v>
      </c>
      <c r="O92" s="105">
        <v>29.034235464941219</v>
      </c>
      <c r="P92" s="105">
        <v>29.354306281959182</v>
      </c>
      <c r="Q92" s="105">
        <v>29.399653471371238</v>
      </c>
    </row>
    <row r="93" spans="1:17" ht="11.5" customHeight="1">
      <c r="A93" s="104" t="s">
        <v>167</v>
      </c>
      <c r="B93" s="105">
        <v>40.080570542774232</v>
      </c>
      <c r="C93" s="105">
        <v>40.259582316220786</v>
      </c>
      <c r="D93" s="105">
        <v>40.258205751522624</v>
      </c>
      <c r="E93" s="105">
        <v>40.105401325941827</v>
      </c>
      <c r="F93" s="105">
        <v>40.300875991168219</v>
      </c>
      <c r="G93" s="105">
        <v>40.512293317888386</v>
      </c>
      <c r="H93" s="105">
        <v>41.509577371501379</v>
      </c>
      <c r="I93" s="105">
        <v>42.263954688376828</v>
      </c>
      <c r="J93" s="105">
        <v>43.245845730921921</v>
      </c>
      <c r="K93" s="105">
        <v>46.688216748540135</v>
      </c>
      <c r="L93" s="105">
        <v>37.192786139425216</v>
      </c>
      <c r="M93" s="105">
        <v>39.427898244047675</v>
      </c>
      <c r="N93" s="105">
        <v>40.25562172354919</v>
      </c>
      <c r="O93" s="105">
        <v>39.644008405639681</v>
      </c>
      <c r="P93" s="105">
        <v>40.120744481269405</v>
      </c>
      <c r="Q93" s="105">
        <v>40.14440974824938</v>
      </c>
    </row>
    <row r="94" spans="1:17" ht="11.5" customHeight="1">
      <c r="A94" s="104" t="s">
        <v>168</v>
      </c>
      <c r="B94" s="105" t="s">
        <v>186</v>
      </c>
      <c r="C94" s="105" t="s">
        <v>186</v>
      </c>
      <c r="D94" s="105" t="s">
        <v>186</v>
      </c>
      <c r="E94" s="105" t="s">
        <v>186</v>
      </c>
      <c r="F94" s="105" t="s">
        <v>186</v>
      </c>
      <c r="G94" s="105" t="s">
        <v>186</v>
      </c>
      <c r="H94" s="105" t="s">
        <v>186</v>
      </c>
      <c r="I94" s="105">
        <v>41.678764285654047</v>
      </c>
      <c r="J94" s="105">
        <v>41.139069244106302</v>
      </c>
      <c r="K94" s="105">
        <v>41.173671504174763</v>
      </c>
      <c r="L94" s="105">
        <v>39.942096352812804</v>
      </c>
      <c r="M94" s="105">
        <v>39.338789308916624</v>
      </c>
      <c r="N94" s="105">
        <v>40.078028584062942</v>
      </c>
      <c r="O94" s="105">
        <v>39.468882066343156</v>
      </c>
      <c r="P94" s="105">
        <v>39.8948244852578</v>
      </c>
      <c r="Q94" s="105">
        <v>39.611636680343778</v>
      </c>
    </row>
    <row r="95" spans="1:17" ht="11.5" customHeight="1">
      <c r="A95" s="104" t="s">
        <v>169</v>
      </c>
      <c r="B95" s="105" t="s">
        <v>186</v>
      </c>
      <c r="C95" s="105" t="s">
        <v>186</v>
      </c>
      <c r="D95" s="105" t="s">
        <v>186</v>
      </c>
      <c r="E95" s="105" t="s">
        <v>186</v>
      </c>
      <c r="F95" s="105" t="s">
        <v>186</v>
      </c>
      <c r="G95" s="105" t="s">
        <v>186</v>
      </c>
      <c r="H95" s="105" t="s">
        <v>186</v>
      </c>
      <c r="I95" s="105" t="s">
        <v>186</v>
      </c>
      <c r="J95" s="105" t="s">
        <v>186</v>
      </c>
      <c r="K95" s="105" t="s">
        <v>186</v>
      </c>
      <c r="L95" s="105" t="s">
        <v>186</v>
      </c>
      <c r="M95" s="105" t="s">
        <v>186</v>
      </c>
      <c r="N95" s="105" t="s">
        <v>186</v>
      </c>
      <c r="O95" s="105">
        <v>20.075920584888269</v>
      </c>
      <c r="P95" s="105">
        <v>19.42600712721838</v>
      </c>
      <c r="Q95" s="105">
        <v>20.295884323968259</v>
      </c>
    </row>
    <row r="96" spans="1:17" ht="11.5" customHeight="1">
      <c r="A96" s="104" t="s">
        <v>170</v>
      </c>
      <c r="B96" s="105" t="s">
        <v>186</v>
      </c>
      <c r="C96" s="105" t="s">
        <v>186</v>
      </c>
      <c r="D96" s="105" t="s">
        <v>186</v>
      </c>
      <c r="E96" s="105" t="s">
        <v>186</v>
      </c>
      <c r="F96" s="105" t="s">
        <v>186</v>
      </c>
      <c r="G96" s="105" t="s">
        <v>186</v>
      </c>
      <c r="H96" s="105">
        <v>16.362472008546259</v>
      </c>
      <c r="I96" s="105">
        <v>16.665344814316992</v>
      </c>
      <c r="J96" s="105">
        <v>17.05332432313838</v>
      </c>
      <c r="K96" s="105">
        <v>17.576440888311076</v>
      </c>
      <c r="L96" s="105">
        <v>17.199081360686716</v>
      </c>
      <c r="M96" s="105">
        <v>17.156783259314832</v>
      </c>
      <c r="N96" s="105">
        <v>17.722888179130926</v>
      </c>
      <c r="O96" s="105">
        <v>17.690283818600236</v>
      </c>
      <c r="P96" s="105">
        <v>18.174850695681688</v>
      </c>
      <c r="Q96" s="105">
        <v>18.498133826593715</v>
      </c>
    </row>
    <row r="97" spans="1:17" ht="11.5" customHeight="1">
      <c r="A97" s="102" t="s">
        <v>171</v>
      </c>
      <c r="B97" s="103">
        <v>28.614729167802054</v>
      </c>
      <c r="C97" s="103">
        <v>29.158545178074458</v>
      </c>
      <c r="D97" s="103">
        <v>28.994840939121211</v>
      </c>
      <c r="E97" s="103">
        <v>28.906299742141293</v>
      </c>
      <c r="F97" s="103">
        <v>29.432741862408445</v>
      </c>
      <c r="G97" s="103">
        <v>30.484455699167015</v>
      </c>
      <c r="H97" s="103">
        <v>30.486998796830825</v>
      </c>
      <c r="I97" s="103">
        <v>30.637110542919007</v>
      </c>
      <c r="J97" s="103">
        <v>29.735912675995642</v>
      </c>
      <c r="K97" s="103">
        <v>29.000076913686456</v>
      </c>
      <c r="L97" s="103">
        <v>27.20385452695885</v>
      </c>
      <c r="M97" s="103">
        <v>26.955349886955169</v>
      </c>
      <c r="N97" s="103">
        <v>26.494278026556223</v>
      </c>
      <c r="O97" s="103">
        <v>27.337700601356197</v>
      </c>
      <c r="P97" s="103">
        <v>27.351361897487134</v>
      </c>
      <c r="Q97" s="103">
        <v>27.259467280689268</v>
      </c>
    </row>
    <row r="98" spans="1:17" ht="11.5" customHeight="1">
      <c r="A98" s="104" t="s">
        <v>165</v>
      </c>
      <c r="B98" s="105">
        <v>23.853359951797877</v>
      </c>
      <c r="C98" s="105">
        <v>24.610563088421333</v>
      </c>
      <c r="D98" s="105">
        <v>24.612730570184496</v>
      </c>
      <c r="E98" s="105">
        <v>24.667424589570555</v>
      </c>
      <c r="F98" s="105">
        <v>25.237567233932666</v>
      </c>
      <c r="G98" s="105">
        <v>26.250343419976407</v>
      </c>
      <c r="H98" s="105">
        <v>26.421629295010138</v>
      </c>
      <c r="I98" s="105">
        <v>26.688341554643792</v>
      </c>
      <c r="J98" s="105">
        <v>26.151121768750272</v>
      </c>
      <c r="K98" s="105">
        <v>25.812257128341709</v>
      </c>
      <c r="L98" s="105">
        <v>24.406581047774022</v>
      </c>
      <c r="M98" s="105">
        <v>24.348424262727807</v>
      </c>
      <c r="N98" s="105">
        <v>24.065388592878666</v>
      </c>
      <c r="O98" s="105">
        <v>24.871900453880485</v>
      </c>
      <c r="P98" s="105">
        <v>25.185978059517296</v>
      </c>
      <c r="Q98" s="105">
        <v>25.189018272088045</v>
      </c>
    </row>
    <row r="99" spans="1:17" ht="11.5" customHeight="1">
      <c r="A99" s="104" t="s">
        <v>166</v>
      </c>
      <c r="B99" s="105">
        <v>28.670171882467841</v>
      </c>
      <c r="C99" s="105">
        <v>29.332035485414753</v>
      </c>
      <c r="D99" s="105">
        <v>29.203108621181826</v>
      </c>
      <c r="E99" s="105">
        <v>29.153509862480931</v>
      </c>
      <c r="F99" s="105">
        <v>29.709884136933681</v>
      </c>
      <c r="G99" s="105">
        <v>30.761647876525636</v>
      </c>
      <c r="H99" s="105">
        <v>30.814115357174476</v>
      </c>
      <c r="I99" s="105">
        <v>30.974186171121747</v>
      </c>
      <c r="J99" s="105">
        <v>30.118298286647203</v>
      </c>
      <c r="K99" s="105">
        <v>29.414117842022026</v>
      </c>
      <c r="L99" s="105">
        <v>27.53922340467674</v>
      </c>
      <c r="M99" s="105">
        <v>27.275870893693249</v>
      </c>
      <c r="N99" s="105">
        <v>26.804591492371969</v>
      </c>
      <c r="O99" s="105">
        <v>27.641298448398114</v>
      </c>
      <c r="P99" s="105">
        <v>27.797399783026652</v>
      </c>
      <c r="Q99" s="105">
        <v>27.644781423355493</v>
      </c>
    </row>
    <row r="100" spans="1:17" ht="11.5" customHeight="1">
      <c r="A100" s="104" t="s">
        <v>167</v>
      </c>
      <c r="B100" s="105">
        <v>23.874070298274273</v>
      </c>
      <c r="C100" s="105">
        <v>24.046495833533896</v>
      </c>
      <c r="D100" s="105">
        <v>24.046355482811457</v>
      </c>
      <c r="E100" s="105">
        <v>24.03429728719674</v>
      </c>
      <c r="F100" s="105">
        <v>24.557962103005078</v>
      </c>
      <c r="G100" s="105">
        <v>25.479071164316721</v>
      </c>
      <c r="H100" s="105">
        <v>25.435368011084616</v>
      </c>
      <c r="I100" s="105">
        <v>25.378404943662748</v>
      </c>
      <c r="J100" s="105">
        <v>24.805678644376407</v>
      </c>
      <c r="K100" s="105">
        <v>24.388729201387765</v>
      </c>
      <c r="L100" s="105">
        <v>22.987245927365024</v>
      </c>
      <c r="M100" s="105">
        <v>22.974356184357067</v>
      </c>
      <c r="N100" s="105">
        <v>22.649994820679751</v>
      </c>
      <c r="O100" s="105">
        <v>23.427659224179418</v>
      </c>
      <c r="P100" s="105">
        <v>23.768980525053781</v>
      </c>
      <c r="Q100" s="105">
        <v>23.812324018278314</v>
      </c>
    </row>
    <row r="101" spans="1:17" ht="11.5" customHeight="1">
      <c r="A101" s="104" t="s">
        <v>168</v>
      </c>
      <c r="B101" s="105">
        <v>22.404095919864542</v>
      </c>
      <c r="C101" s="105">
        <v>22.83849387550282</v>
      </c>
      <c r="D101" s="105">
        <v>22.282244107371334</v>
      </c>
      <c r="E101" s="105">
        <v>22.798197707886178</v>
      </c>
      <c r="F101" s="105">
        <v>23.053119844181378</v>
      </c>
      <c r="G101" s="105">
        <v>24.326614140806846</v>
      </c>
      <c r="H101" s="105">
        <v>24.414313706834221</v>
      </c>
      <c r="I101" s="105">
        <v>24.661856913213224</v>
      </c>
      <c r="J101" s="105">
        <v>23.993976726162181</v>
      </c>
      <c r="K101" s="105">
        <v>22.848597485176075</v>
      </c>
      <c r="L101" s="105">
        <v>22.392052264741146</v>
      </c>
      <c r="M101" s="105">
        <v>22.318658271579011</v>
      </c>
      <c r="N101" s="105">
        <v>22.060269239349743</v>
      </c>
      <c r="O101" s="105">
        <v>23.147816917593453</v>
      </c>
      <c r="P101" s="105">
        <v>22.848405895372672</v>
      </c>
      <c r="Q101" s="105">
        <v>23.420020838799704</v>
      </c>
    </row>
    <row r="102" spans="1:17" ht="11.5" customHeight="1">
      <c r="A102" s="104" t="s">
        <v>170</v>
      </c>
      <c r="B102" s="105">
        <v>16.52269531977565</v>
      </c>
      <c r="C102" s="105">
        <v>16.336222302269451</v>
      </c>
      <c r="D102" s="105">
        <v>16.070575595750583</v>
      </c>
      <c r="E102" s="105">
        <v>15.885029037125923</v>
      </c>
      <c r="F102" s="105">
        <v>16.045062847782102</v>
      </c>
      <c r="G102" s="105">
        <v>16.580259158319862</v>
      </c>
      <c r="H102" s="105">
        <v>16.59412737010182</v>
      </c>
      <c r="I102" s="105">
        <v>16.650001817803282</v>
      </c>
      <c r="J102" s="105">
        <v>16.19529554514353</v>
      </c>
      <c r="K102" s="105">
        <v>15.886578711124734</v>
      </c>
      <c r="L102" s="105">
        <v>15.051917177304585</v>
      </c>
      <c r="M102" s="105">
        <v>14.922368469292147</v>
      </c>
      <c r="N102" s="105">
        <v>14.441879498106964</v>
      </c>
      <c r="O102" s="105">
        <v>14.591111396973803</v>
      </c>
      <c r="P102" s="105">
        <v>14.677465193352221</v>
      </c>
      <c r="Q102" s="105">
        <v>14.595606903620082</v>
      </c>
    </row>
    <row r="103" spans="1:17" ht="11.5" customHeight="1">
      <c r="A103" s="98" t="s">
        <v>221</v>
      </c>
      <c r="B103" s="99">
        <v>61.00074265216977</v>
      </c>
      <c r="C103" s="99">
        <v>59.344094387423532</v>
      </c>
      <c r="D103" s="99">
        <v>58.450276458971871</v>
      </c>
      <c r="E103" s="99">
        <v>57.810289419628219</v>
      </c>
      <c r="F103" s="99">
        <v>55.260113067473434</v>
      </c>
      <c r="G103" s="99">
        <v>55.036227355582781</v>
      </c>
      <c r="H103" s="99">
        <v>53.769524152255102</v>
      </c>
      <c r="I103" s="99">
        <v>52.603361248584697</v>
      </c>
      <c r="J103" s="99">
        <v>52.810863058078269</v>
      </c>
      <c r="K103" s="99">
        <v>57.17068441125852</v>
      </c>
      <c r="L103" s="99">
        <v>56.879343512713469</v>
      </c>
      <c r="M103" s="99">
        <v>57.766294582671541</v>
      </c>
      <c r="N103" s="99">
        <v>58.99418207746735</v>
      </c>
      <c r="O103" s="99">
        <v>58.333981417054225</v>
      </c>
      <c r="P103" s="99">
        <v>59.063222694670735</v>
      </c>
      <c r="Q103" s="99">
        <v>60.584368333388518</v>
      </c>
    </row>
    <row r="104" spans="1:17" ht="11.5" customHeight="1">
      <c r="A104" s="100" t="s">
        <v>173</v>
      </c>
      <c r="B104" s="101">
        <v>352.28270434945182</v>
      </c>
      <c r="C104" s="101">
        <v>344.12683184423213</v>
      </c>
      <c r="D104" s="101">
        <v>339.53598894302337</v>
      </c>
      <c r="E104" s="101">
        <v>333.49373644258367</v>
      </c>
      <c r="F104" s="101">
        <v>323.52330708489717</v>
      </c>
      <c r="G104" s="101">
        <v>319.43885076049099</v>
      </c>
      <c r="H104" s="101">
        <v>314.69728534652614</v>
      </c>
      <c r="I104" s="101">
        <v>310.17749262414856</v>
      </c>
      <c r="J104" s="101">
        <v>306.74961400367181</v>
      </c>
      <c r="K104" s="101">
        <v>308.02293868241389</v>
      </c>
      <c r="L104" s="101">
        <v>308.40267152592367</v>
      </c>
      <c r="M104" s="101">
        <v>307.25778427207575</v>
      </c>
      <c r="N104" s="101">
        <v>305.25770497110835</v>
      </c>
      <c r="O104" s="101">
        <v>299.8414924055985</v>
      </c>
      <c r="P104" s="101">
        <v>294.77757519665704</v>
      </c>
      <c r="Q104" s="101">
        <v>291.47117140635766</v>
      </c>
    </row>
    <row r="105" spans="1:17" ht="11.5" customHeight="1">
      <c r="A105" s="104" t="s">
        <v>165</v>
      </c>
      <c r="B105" s="105">
        <v>510.53719548935948</v>
      </c>
      <c r="C105" s="105">
        <v>512.6850277207534</v>
      </c>
      <c r="D105" s="105">
        <v>514.39929774647908</v>
      </c>
      <c r="E105" s="105">
        <v>515.09670709000079</v>
      </c>
      <c r="F105" s="105">
        <v>513.18093462552349</v>
      </c>
      <c r="G105" s="105">
        <v>511.80833111954826</v>
      </c>
      <c r="H105" s="105">
        <v>510.05130497988802</v>
      </c>
      <c r="I105" s="105">
        <v>506.35090391423796</v>
      </c>
      <c r="J105" s="105">
        <v>499.49221825691575</v>
      </c>
      <c r="K105" s="105">
        <v>495.55449154262379</v>
      </c>
      <c r="L105" s="105">
        <v>491.76349685991238</v>
      </c>
      <c r="M105" s="105">
        <v>486.16770561213235</v>
      </c>
      <c r="N105" s="105">
        <v>484.45362538473955</v>
      </c>
      <c r="O105" s="105">
        <v>476.91231381943527</v>
      </c>
      <c r="P105" s="105">
        <v>466.51948884715722</v>
      </c>
      <c r="Q105" s="105">
        <v>456.90596658115572</v>
      </c>
    </row>
    <row r="106" spans="1:17" ht="11.5" customHeight="1">
      <c r="A106" s="104" t="s">
        <v>166</v>
      </c>
      <c r="B106" s="105">
        <v>332.09867884527324</v>
      </c>
      <c r="C106" s="105">
        <v>326.77730638323629</v>
      </c>
      <c r="D106" s="105">
        <v>324.86779595436485</v>
      </c>
      <c r="E106" s="105">
        <v>321.50874090413157</v>
      </c>
      <c r="F106" s="105">
        <v>313.65181653919484</v>
      </c>
      <c r="G106" s="105">
        <v>311.0465469989249</v>
      </c>
      <c r="H106" s="105">
        <v>307.40881548884016</v>
      </c>
      <c r="I106" s="105">
        <v>303.86999522306547</v>
      </c>
      <c r="J106" s="105">
        <v>301.09307468848209</v>
      </c>
      <c r="K106" s="105">
        <v>303.08420113958522</v>
      </c>
      <c r="L106" s="105">
        <v>304.0217355742094</v>
      </c>
      <c r="M106" s="105">
        <v>303.25357929940981</v>
      </c>
      <c r="N106" s="105">
        <v>301.53164095223741</v>
      </c>
      <c r="O106" s="105">
        <v>296.38772898976043</v>
      </c>
      <c r="P106" s="105">
        <v>291.87180916653523</v>
      </c>
      <c r="Q106" s="105">
        <v>289.00999589321344</v>
      </c>
    </row>
    <row r="107" spans="1:17" ht="11.5" customHeight="1">
      <c r="A107" s="104" t="s">
        <v>167</v>
      </c>
      <c r="B107" s="105">
        <v>527.94762110676743</v>
      </c>
      <c r="C107" s="105">
        <v>519.68848570069804</v>
      </c>
      <c r="D107" s="105">
        <v>519.11899887762945</v>
      </c>
      <c r="E107" s="105">
        <v>518.22589295310775</v>
      </c>
      <c r="F107" s="105">
        <v>515.29877796510561</v>
      </c>
      <c r="G107" s="105">
        <v>514.6773211909366</v>
      </c>
      <c r="H107" s="105">
        <v>514.43248155845458</v>
      </c>
      <c r="I107" s="105">
        <v>508.21515618387826</v>
      </c>
      <c r="J107" s="105">
        <v>506.70445836666869</v>
      </c>
      <c r="K107" s="105">
        <v>509.84953328358284</v>
      </c>
      <c r="L107" s="105">
        <v>512.90663978125167</v>
      </c>
      <c r="M107" s="105">
        <v>513.32432435223859</v>
      </c>
      <c r="N107" s="105">
        <v>512.37316594827189</v>
      </c>
      <c r="O107" s="105">
        <v>516.87139904633864</v>
      </c>
      <c r="P107" s="105">
        <v>514.45945678282203</v>
      </c>
      <c r="Q107" s="105">
        <v>512.78635964880527</v>
      </c>
    </row>
    <row r="108" spans="1:17" ht="11.5" customHeight="1">
      <c r="A108" s="104" t="s">
        <v>168</v>
      </c>
      <c r="B108" s="105">
        <v>486.94278256156258</v>
      </c>
      <c r="C108" s="105">
        <v>491.69686463504871</v>
      </c>
      <c r="D108" s="105">
        <v>494.55122633944961</v>
      </c>
      <c r="E108" s="105">
        <v>487.28537607145284</v>
      </c>
      <c r="F108" s="105">
        <v>487.5394207698991</v>
      </c>
      <c r="G108" s="105">
        <v>489.41642364685214</v>
      </c>
      <c r="H108" s="105">
        <v>479.11047561000913</v>
      </c>
      <c r="I108" s="105">
        <v>479.39822343042817</v>
      </c>
      <c r="J108" s="105">
        <v>477.78014904177417</v>
      </c>
      <c r="K108" s="105">
        <v>468.04106051137808</v>
      </c>
      <c r="L108" s="105">
        <v>452.14211886094898</v>
      </c>
      <c r="M108" s="105">
        <v>441.97592153407186</v>
      </c>
      <c r="N108" s="105">
        <v>432.36286043463178</v>
      </c>
      <c r="O108" s="105">
        <v>421.04600866701907</v>
      </c>
      <c r="P108" s="105">
        <v>414.70187064674138</v>
      </c>
      <c r="Q108" s="105">
        <v>415.35154059710129</v>
      </c>
    </row>
    <row r="109" spans="1:17" ht="11.5" customHeight="1">
      <c r="A109" s="104" t="s">
        <v>170</v>
      </c>
      <c r="B109" s="105">
        <v>244.50089971371941</v>
      </c>
      <c r="C109" s="105">
        <v>235.07324515110221</v>
      </c>
      <c r="D109" s="105">
        <v>234.04407619273661</v>
      </c>
      <c r="E109" s="105">
        <v>233.5110676158065</v>
      </c>
      <c r="F109" s="105">
        <v>232.1259280973886</v>
      </c>
      <c r="G109" s="105">
        <v>230.90222166876993</v>
      </c>
      <c r="H109" s="105">
        <v>229.80890898728936</v>
      </c>
      <c r="I109" s="105">
        <v>228.31866014524212</v>
      </c>
      <c r="J109" s="105">
        <v>223.75119180099972</v>
      </c>
      <c r="K109" s="105">
        <v>221.68102392338355</v>
      </c>
      <c r="L109" s="105">
        <v>214.60245600500139</v>
      </c>
      <c r="M109" s="105">
        <v>213.39093959078795</v>
      </c>
      <c r="N109" s="105">
        <v>213.66805455771831</v>
      </c>
      <c r="O109" s="105">
        <v>214.3432978442589</v>
      </c>
      <c r="P109" s="105">
        <v>215.05350465272346</v>
      </c>
      <c r="Q109" s="105">
        <v>216.03890864203481</v>
      </c>
    </row>
    <row r="110" spans="1:17" ht="11.5" customHeight="1">
      <c r="A110" s="102" t="s">
        <v>174</v>
      </c>
      <c r="B110" s="103">
        <v>37.925571570890256</v>
      </c>
      <c r="C110" s="103">
        <v>36.760754564819386</v>
      </c>
      <c r="D110" s="103">
        <v>36.061454829071572</v>
      </c>
      <c r="E110" s="103">
        <v>35.526439750900778</v>
      </c>
      <c r="F110" s="103">
        <v>35.088997868318806</v>
      </c>
      <c r="G110" s="103">
        <v>35.009480924367949</v>
      </c>
      <c r="H110" s="103">
        <v>34.319492031247904</v>
      </c>
      <c r="I110" s="103">
        <v>33.87984796990014</v>
      </c>
      <c r="J110" s="103">
        <v>33.436448145215039</v>
      </c>
      <c r="K110" s="103">
        <v>34.255846997091574</v>
      </c>
      <c r="L110" s="103">
        <v>34.057256974681934</v>
      </c>
      <c r="M110" s="103">
        <v>34.574253595408756</v>
      </c>
      <c r="N110" s="103">
        <v>34.462847832901637</v>
      </c>
      <c r="O110" s="103">
        <v>34.19932646993967</v>
      </c>
      <c r="P110" s="103">
        <v>34.499602961467694</v>
      </c>
      <c r="Q110" s="103">
        <v>34.914454108545684</v>
      </c>
    </row>
    <row r="111" spans="1:17" ht="11.5" customHeight="1">
      <c r="A111" s="104" t="s">
        <v>175</v>
      </c>
      <c r="B111" s="105">
        <v>39.692898760926973</v>
      </c>
      <c r="C111" s="105">
        <v>38.783683335379813</v>
      </c>
      <c r="D111" s="105">
        <v>38.378708986866791</v>
      </c>
      <c r="E111" s="105">
        <v>37.923199720013031</v>
      </c>
      <c r="F111" s="105">
        <v>37.838178769020679</v>
      </c>
      <c r="G111" s="105">
        <v>37.956810786798663</v>
      </c>
      <c r="H111" s="105">
        <v>37.083815114235456</v>
      </c>
      <c r="I111" s="105">
        <v>36.448654762788664</v>
      </c>
      <c r="J111" s="105">
        <v>35.592072708565802</v>
      </c>
      <c r="K111" s="105">
        <v>36.375265059177615</v>
      </c>
      <c r="L111" s="105">
        <v>36.554581759898376</v>
      </c>
      <c r="M111" s="105">
        <v>37.06812416221824</v>
      </c>
      <c r="N111" s="105">
        <v>36.815733091359064</v>
      </c>
      <c r="O111" s="105">
        <v>36.596183278018145</v>
      </c>
      <c r="P111" s="105">
        <v>37.155095400833687</v>
      </c>
      <c r="Q111" s="105">
        <v>37.725779693165009</v>
      </c>
    </row>
    <row r="112" spans="1:17" ht="11.5" customHeight="1">
      <c r="A112" s="106" t="s">
        <v>176</v>
      </c>
      <c r="B112" s="107">
        <v>34.58581882026175</v>
      </c>
      <c r="C112" s="107">
        <v>33.048430256085062</v>
      </c>
      <c r="D112" s="107">
        <v>32.006970511124436</v>
      </c>
      <c r="E112" s="107">
        <v>31.368880543349992</v>
      </c>
      <c r="F112" s="107">
        <v>30.750397134064865</v>
      </c>
      <c r="G112" s="107">
        <v>30.550243883239069</v>
      </c>
      <c r="H112" s="107">
        <v>30.150499787458422</v>
      </c>
      <c r="I112" s="107">
        <v>29.913074487736939</v>
      </c>
      <c r="J112" s="107">
        <v>30.156896080053741</v>
      </c>
      <c r="K112" s="107">
        <v>31.128245728821319</v>
      </c>
      <c r="L112" s="107">
        <v>30.353697701017403</v>
      </c>
      <c r="M112" s="107">
        <v>30.583445473918747</v>
      </c>
      <c r="N112" s="107">
        <v>30.87535328865528</v>
      </c>
      <c r="O112" s="107">
        <v>30.743692200024487</v>
      </c>
      <c r="P112" s="107">
        <v>30.807644957147563</v>
      </c>
      <c r="Q112" s="107">
        <v>31.281163028890017</v>
      </c>
    </row>
    <row r="114" spans="1:17" ht="11.5" customHeight="1">
      <c r="A114" s="96" t="s">
        <v>222</v>
      </c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1.5" customHeight="1">
      <c r="A115" s="98" t="s">
        <v>178</v>
      </c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</row>
    <row r="116" spans="1:17" ht="11.5" customHeight="1">
      <c r="A116" s="100" t="s">
        <v>163</v>
      </c>
      <c r="B116" s="101">
        <v>112.02362599391412</v>
      </c>
      <c r="C116" s="101">
        <v>121.31487784174929</v>
      </c>
      <c r="D116" s="101">
        <v>133.58983373083069</v>
      </c>
      <c r="E116" s="101">
        <v>133.55260104347934</v>
      </c>
      <c r="F116" s="101">
        <v>141.70878505229413</v>
      </c>
      <c r="G116" s="101">
        <v>144.83646322415038</v>
      </c>
      <c r="H116" s="101">
        <v>141.26238937322876</v>
      </c>
      <c r="I116" s="101">
        <v>135.76240776241494</v>
      </c>
      <c r="J116" s="101">
        <v>133.91974448808116</v>
      </c>
      <c r="K116" s="101">
        <v>134.97287601934039</v>
      </c>
      <c r="L116" s="101">
        <v>131.72217340811872</v>
      </c>
      <c r="M116" s="101">
        <v>132.54478775425653</v>
      </c>
      <c r="N116" s="101">
        <v>133.9974927908477</v>
      </c>
      <c r="O116" s="101">
        <v>141.30121437357136</v>
      </c>
      <c r="P116" s="101">
        <v>147.7367444639882</v>
      </c>
      <c r="Q116" s="101">
        <v>154.85425577015144</v>
      </c>
    </row>
    <row r="117" spans="1:17" ht="11.5" customHeight="1">
      <c r="A117" s="102" t="s">
        <v>164</v>
      </c>
      <c r="B117" s="103">
        <v>853.41018008015021</v>
      </c>
      <c r="C117" s="103">
        <v>855.35973094041833</v>
      </c>
      <c r="D117" s="103">
        <v>835.31118547235678</v>
      </c>
      <c r="E117" s="103">
        <v>807.52357838454623</v>
      </c>
      <c r="F117" s="103">
        <v>778.02954642530653</v>
      </c>
      <c r="G117" s="103">
        <v>753.19142466098992</v>
      </c>
      <c r="H117" s="103">
        <v>744.98797055314117</v>
      </c>
      <c r="I117" s="103">
        <v>739.83900916855112</v>
      </c>
      <c r="J117" s="103">
        <v>723.2466410978775</v>
      </c>
      <c r="K117" s="103">
        <v>736.12546985065603</v>
      </c>
      <c r="L117" s="103">
        <v>709.53701914900171</v>
      </c>
      <c r="M117" s="103">
        <v>690.39290586358095</v>
      </c>
      <c r="N117" s="103">
        <v>699.57301431029953</v>
      </c>
      <c r="O117" s="103">
        <v>659.78996516998996</v>
      </c>
      <c r="P117" s="103">
        <v>678.33529181693973</v>
      </c>
      <c r="Q117" s="103">
        <v>696.78010130713301</v>
      </c>
    </row>
    <row r="118" spans="1:17" ht="11.5" customHeight="1">
      <c r="A118" s="104" t="s">
        <v>165</v>
      </c>
      <c r="B118" s="105">
        <v>716.72252767048315</v>
      </c>
      <c r="C118" s="105">
        <v>717.66047402190384</v>
      </c>
      <c r="D118" s="105">
        <v>712.97267696077529</v>
      </c>
      <c r="E118" s="105">
        <v>690.34493918556575</v>
      </c>
      <c r="F118" s="105">
        <v>676.6515924394871</v>
      </c>
      <c r="G118" s="105">
        <v>657.83904180146544</v>
      </c>
      <c r="H118" s="105">
        <v>635.60398128647341</v>
      </c>
      <c r="I118" s="105">
        <v>616.11851585841725</v>
      </c>
      <c r="J118" s="105">
        <v>602.35491415779768</v>
      </c>
      <c r="K118" s="105">
        <v>616.64426680887323</v>
      </c>
      <c r="L118" s="105">
        <v>608.06077086393043</v>
      </c>
      <c r="M118" s="105">
        <v>607.19789565351914</v>
      </c>
      <c r="N118" s="105">
        <v>611.42525203963828</v>
      </c>
      <c r="O118" s="105">
        <v>589.53736424253407</v>
      </c>
      <c r="P118" s="105">
        <v>628.35442665304618</v>
      </c>
      <c r="Q118" s="105">
        <v>653.63815053134238</v>
      </c>
    </row>
    <row r="119" spans="1:17" ht="11.5" customHeight="1">
      <c r="A119" s="104" t="s">
        <v>166</v>
      </c>
      <c r="B119" s="105">
        <v>1108.3404021340627</v>
      </c>
      <c r="C119" s="105">
        <v>1088.0580259674859</v>
      </c>
      <c r="D119" s="105">
        <v>1021.3800097270519</v>
      </c>
      <c r="E119" s="105">
        <v>967.94723341485837</v>
      </c>
      <c r="F119" s="105">
        <v>904.49369964224479</v>
      </c>
      <c r="G119" s="105">
        <v>861.89040381546806</v>
      </c>
      <c r="H119" s="105">
        <v>858.72887886689887</v>
      </c>
      <c r="I119" s="105">
        <v>857.58577156864624</v>
      </c>
      <c r="J119" s="105">
        <v>821.11228941616196</v>
      </c>
      <c r="K119" s="105">
        <v>820.56354721596108</v>
      </c>
      <c r="L119" s="105">
        <v>775.64531441087718</v>
      </c>
      <c r="M119" s="105">
        <v>738.24781897715422</v>
      </c>
      <c r="N119" s="105">
        <v>745.18823761854753</v>
      </c>
      <c r="O119" s="105">
        <v>694.47756804112771</v>
      </c>
      <c r="P119" s="105">
        <v>702.77622295297215</v>
      </c>
      <c r="Q119" s="105">
        <v>718.28674942343025</v>
      </c>
    </row>
    <row r="120" spans="1:17" ht="11.5" customHeight="1">
      <c r="A120" s="104" t="s">
        <v>167</v>
      </c>
      <c r="B120" s="105">
        <v>640.82426525030473</v>
      </c>
      <c r="C120" s="105">
        <v>618.16773225927921</v>
      </c>
      <c r="D120" s="105">
        <v>587.57568480247846</v>
      </c>
      <c r="E120" s="105">
        <v>563.44979696878352</v>
      </c>
      <c r="F120" s="105">
        <v>535.40988456993671</v>
      </c>
      <c r="G120" s="105">
        <v>521.71901286879654</v>
      </c>
      <c r="H120" s="105">
        <v>514.89851616359635</v>
      </c>
      <c r="I120" s="105">
        <v>523.12592585351308</v>
      </c>
      <c r="J120" s="105">
        <v>545.30689200307722</v>
      </c>
      <c r="K120" s="105">
        <v>559.26073027647863</v>
      </c>
      <c r="L120" s="105">
        <v>404.64908014478897</v>
      </c>
      <c r="M120" s="105">
        <v>472.52631460441961</v>
      </c>
      <c r="N120" s="105">
        <v>458.13127173283891</v>
      </c>
      <c r="O120" s="105">
        <v>432.46358019966897</v>
      </c>
      <c r="P120" s="105">
        <v>415.07626221878428</v>
      </c>
      <c r="Q120" s="105">
        <v>399.61957006921085</v>
      </c>
    </row>
    <row r="121" spans="1:17" ht="11.5" customHeight="1">
      <c r="A121" s="104" t="s">
        <v>168</v>
      </c>
      <c r="B121" s="105" t="s">
        <v>186</v>
      </c>
      <c r="C121" s="105" t="s">
        <v>186</v>
      </c>
      <c r="D121" s="105" t="s">
        <v>186</v>
      </c>
      <c r="E121" s="105" t="s">
        <v>186</v>
      </c>
      <c r="F121" s="105" t="s">
        <v>186</v>
      </c>
      <c r="G121" s="105" t="s">
        <v>186</v>
      </c>
      <c r="H121" s="105" t="s">
        <v>186</v>
      </c>
      <c r="I121" s="105">
        <v>1557.6824122870248</v>
      </c>
      <c r="J121" s="105">
        <v>1474.0893945556957</v>
      </c>
      <c r="K121" s="105">
        <v>1439.6828170536407</v>
      </c>
      <c r="L121" s="105">
        <v>1367.9915032471049</v>
      </c>
      <c r="M121" s="105">
        <v>1309.538888641968</v>
      </c>
      <c r="N121" s="105">
        <v>1309.3051258728433</v>
      </c>
      <c r="O121" s="105">
        <v>1217.1194762015491</v>
      </c>
      <c r="P121" s="105">
        <v>1234.7398430374517</v>
      </c>
      <c r="Q121" s="105">
        <v>1241.5134349057143</v>
      </c>
    </row>
    <row r="122" spans="1:17" ht="11.5" customHeight="1">
      <c r="A122" s="104" t="s">
        <v>169</v>
      </c>
      <c r="B122" s="105" t="s">
        <v>186</v>
      </c>
      <c r="C122" s="105" t="s">
        <v>186</v>
      </c>
      <c r="D122" s="105" t="s">
        <v>186</v>
      </c>
      <c r="E122" s="105" t="s">
        <v>186</v>
      </c>
      <c r="F122" s="105" t="s">
        <v>186</v>
      </c>
      <c r="G122" s="105" t="s">
        <v>186</v>
      </c>
      <c r="H122" s="105" t="s">
        <v>186</v>
      </c>
      <c r="I122" s="105" t="s">
        <v>186</v>
      </c>
      <c r="J122" s="105" t="s">
        <v>186</v>
      </c>
      <c r="K122" s="105" t="s">
        <v>186</v>
      </c>
      <c r="L122" s="105" t="s">
        <v>186</v>
      </c>
      <c r="M122" s="105" t="s">
        <v>186</v>
      </c>
      <c r="N122" s="105" t="s">
        <v>186</v>
      </c>
      <c r="O122" s="105">
        <v>322.83520723352552</v>
      </c>
      <c r="P122" s="105">
        <v>333.08818449763857</v>
      </c>
      <c r="Q122" s="105">
        <v>367.7342922958573</v>
      </c>
    </row>
    <row r="123" spans="1:17" ht="11.5" customHeight="1">
      <c r="A123" s="104" t="s">
        <v>170</v>
      </c>
      <c r="B123" s="105" t="s">
        <v>186</v>
      </c>
      <c r="C123" s="105" t="s">
        <v>186</v>
      </c>
      <c r="D123" s="105" t="s">
        <v>186</v>
      </c>
      <c r="E123" s="105" t="s">
        <v>186</v>
      </c>
      <c r="F123" s="105" t="s">
        <v>186</v>
      </c>
      <c r="G123" s="105" t="s">
        <v>186</v>
      </c>
      <c r="H123" s="105">
        <v>362.0247231965306</v>
      </c>
      <c r="I123" s="105">
        <v>363.0786506286974</v>
      </c>
      <c r="J123" s="105">
        <v>364.0495089612856</v>
      </c>
      <c r="K123" s="105">
        <v>365.40715388387878</v>
      </c>
      <c r="L123" s="105">
        <v>366.21298007202842</v>
      </c>
      <c r="M123" s="105">
        <v>368.04337975780373</v>
      </c>
      <c r="N123" s="105">
        <v>370.17927878151221</v>
      </c>
      <c r="O123" s="105">
        <v>372.3710073812619</v>
      </c>
      <c r="P123" s="105">
        <v>375.96113163478827</v>
      </c>
      <c r="Q123" s="105">
        <v>379.55849727793463</v>
      </c>
    </row>
    <row r="124" spans="1:17" ht="11.5" customHeight="1">
      <c r="A124" s="102" t="s">
        <v>171</v>
      </c>
      <c r="B124" s="103">
        <v>18612.598644284553</v>
      </c>
      <c r="C124" s="103">
        <v>18071.620243247948</v>
      </c>
      <c r="D124" s="103">
        <v>18361.356071765738</v>
      </c>
      <c r="E124" s="103">
        <v>18166.333148688835</v>
      </c>
      <c r="F124" s="103">
        <v>18485.982539699195</v>
      </c>
      <c r="G124" s="103">
        <v>18844.513013831187</v>
      </c>
      <c r="H124" s="103">
        <v>19171.59515193383</v>
      </c>
      <c r="I124" s="103">
        <v>19531.971519654111</v>
      </c>
      <c r="J124" s="103">
        <v>19777.26500819224</v>
      </c>
      <c r="K124" s="103">
        <v>19957.334880366212</v>
      </c>
      <c r="L124" s="103">
        <v>20210.126441873301</v>
      </c>
      <c r="M124" s="103">
        <v>20065.951674837466</v>
      </c>
      <c r="N124" s="103">
        <v>19595.91947602505</v>
      </c>
      <c r="O124" s="103">
        <v>19257.85251447761</v>
      </c>
      <c r="P124" s="103">
        <v>18847.994714893226</v>
      </c>
      <c r="Q124" s="103">
        <v>18674.851323000217</v>
      </c>
    </row>
    <row r="125" spans="1:17" ht="11.5" customHeight="1">
      <c r="A125" s="104" t="s">
        <v>165</v>
      </c>
      <c r="B125" s="105">
        <v>2939.4398310844235</v>
      </c>
      <c r="C125" s="105">
        <v>2916.1455443941027</v>
      </c>
      <c r="D125" s="105">
        <v>3012.9490218063784</v>
      </c>
      <c r="E125" s="105">
        <v>3025.8321575960908</v>
      </c>
      <c r="F125" s="105">
        <v>3128.276048115848</v>
      </c>
      <c r="G125" s="105">
        <v>3238.2518080889413</v>
      </c>
      <c r="H125" s="105">
        <v>3352.7446731934006</v>
      </c>
      <c r="I125" s="105">
        <v>3471.7544829274893</v>
      </c>
      <c r="J125" s="105">
        <v>3588.3874739693151</v>
      </c>
      <c r="K125" s="105">
        <v>3705.3549151573002</v>
      </c>
      <c r="L125" s="105">
        <v>3823.9507860551512</v>
      </c>
      <c r="M125" s="105">
        <v>3860.7139137693748</v>
      </c>
      <c r="N125" s="105">
        <v>3825.9399292326784</v>
      </c>
      <c r="O125" s="105">
        <v>3800.8241058068952</v>
      </c>
      <c r="P125" s="105">
        <v>3801.0481973368178</v>
      </c>
      <c r="Q125" s="105">
        <v>3816.225048185363</v>
      </c>
    </row>
    <row r="126" spans="1:17" ht="11.5" customHeight="1">
      <c r="A126" s="104" t="s">
        <v>166</v>
      </c>
      <c r="B126" s="105">
        <v>18872.284522899143</v>
      </c>
      <c r="C126" s="105">
        <v>18326.498351180246</v>
      </c>
      <c r="D126" s="105">
        <v>18621.513966101778</v>
      </c>
      <c r="E126" s="105">
        <v>18401.648913602436</v>
      </c>
      <c r="F126" s="105">
        <v>18709.318271321445</v>
      </c>
      <c r="G126" s="105">
        <v>19039.054834880513</v>
      </c>
      <c r="H126" s="105">
        <v>19352.465391859572</v>
      </c>
      <c r="I126" s="105">
        <v>19703.463727493592</v>
      </c>
      <c r="J126" s="105">
        <v>19946.417856596316</v>
      </c>
      <c r="K126" s="105">
        <v>20144.553021211315</v>
      </c>
      <c r="L126" s="105">
        <v>20334.610513663989</v>
      </c>
      <c r="M126" s="105">
        <v>20166.16207065263</v>
      </c>
      <c r="N126" s="105">
        <v>19674.202554685122</v>
      </c>
      <c r="O126" s="105">
        <v>19313.002643562304</v>
      </c>
      <c r="P126" s="105">
        <v>18914.973269376005</v>
      </c>
      <c r="Q126" s="105">
        <v>18711.485147938401</v>
      </c>
    </row>
    <row r="127" spans="1:17" ht="11.5" customHeight="1">
      <c r="A127" s="104" t="s">
        <v>167</v>
      </c>
      <c r="B127" s="105">
        <v>10439.687388716347</v>
      </c>
      <c r="C127" s="105">
        <v>10006.812411188112</v>
      </c>
      <c r="D127" s="105">
        <v>10233.035049395545</v>
      </c>
      <c r="E127" s="105">
        <v>10143.31131292009</v>
      </c>
      <c r="F127" s="105">
        <v>10365.324205585368</v>
      </c>
      <c r="G127" s="105">
        <v>10643.931161547249</v>
      </c>
      <c r="H127" s="105">
        <v>10926.522476153781</v>
      </c>
      <c r="I127" s="105">
        <v>11172.642852942592</v>
      </c>
      <c r="J127" s="105">
        <v>11516.63696723369</v>
      </c>
      <c r="K127" s="105">
        <v>11843.344443215547</v>
      </c>
      <c r="L127" s="105">
        <v>12181.371890519449</v>
      </c>
      <c r="M127" s="105">
        <v>12317.481536698651</v>
      </c>
      <c r="N127" s="105">
        <v>12172.788296149776</v>
      </c>
      <c r="O127" s="105">
        <v>12099.225209521133</v>
      </c>
      <c r="P127" s="105">
        <v>12120.597935426274</v>
      </c>
      <c r="Q127" s="105">
        <v>12187.60164474577</v>
      </c>
    </row>
    <row r="128" spans="1:17" ht="11.5" customHeight="1">
      <c r="A128" s="104" t="s">
        <v>168</v>
      </c>
      <c r="B128" s="105">
        <v>17503.039673858992</v>
      </c>
      <c r="C128" s="105">
        <v>17151.466296551065</v>
      </c>
      <c r="D128" s="105">
        <v>17050.260331160818</v>
      </c>
      <c r="E128" s="105">
        <v>17475.537209874881</v>
      </c>
      <c r="F128" s="105">
        <v>17851.173562723408</v>
      </c>
      <c r="G128" s="105">
        <v>18741.39869385873</v>
      </c>
      <c r="H128" s="105">
        <v>18958.507604451497</v>
      </c>
      <c r="I128" s="105">
        <v>19237.422202444282</v>
      </c>
      <c r="J128" s="105">
        <v>19347.289373622054</v>
      </c>
      <c r="K128" s="105">
        <v>18953.821738808187</v>
      </c>
      <c r="L128" s="105">
        <v>20270.068456268669</v>
      </c>
      <c r="M128" s="105">
        <v>20226.656734083732</v>
      </c>
      <c r="N128" s="105">
        <v>19886.239040286669</v>
      </c>
      <c r="O128" s="105">
        <v>19804.533100171797</v>
      </c>
      <c r="P128" s="105">
        <v>18919.47685173944</v>
      </c>
      <c r="Q128" s="105">
        <v>19079.074031873221</v>
      </c>
    </row>
    <row r="129" spans="1:17" ht="11.5" customHeight="1">
      <c r="A129" s="104" t="s">
        <v>170</v>
      </c>
      <c r="B129" s="105">
        <v>14647.114096678344</v>
      </c>
      <c r="C129" s="105">
        <v>14068.203080300525</v>
      </c>
      <c r="D129" s="105">
        <v>13876.968412651839</v>
      </c>
      <c r="E129" s="105">
        <v>13718.53331187772</v>
      </c>
      <c r="F129" s="105">
        <v>13583.42266390208</v>
      </c>
      <c r="G129" s="105">
        <v>13536.48407811039</v>
      </c>
      <c r="H129" s="105">
        <v>13500.896854859431</v>
      </c>
      <c r="I129" s="105">
        <v>13451.318936605076</v>
      </c>
      <c r="J129" s="105">
        <v>13392.311486590052</v>
      </c>
      <c r="K129" s="105">
        <v>13347.847683887321</v>
      </c>
      <c r="L129" s="105">
        <v>13412.246884167793</v>
      </c>
      <c r="M129" s="105">
        <v>13351.900001669208</v>
      </c>
      <c r="N129" s="105">
        <v>13096.011864331649</v>
      </c>
      <c r="O129" s="105">
        <v>12828.166115757425</v>
      </c>
      <c r="P129" s="105">
        <v>12761.257715080368</v>
      </c>
      <c r="Q129" s="105">
        <v>12699.527033385433</v>
      </c>
    </row>
    <row r="130" spans="1:17" ht="11.5" customHeight="1">
      <c r="A130" s="98" t="s">
        <v>179</v>
      </c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</row>
    <row r="131" spans="1:17" ht="11.5" customHeight="1">
      <c r="A131" s="100" t="s">
        <v>173</v>
      </c>
      <c r="B131" s="101">
        <v>1181.2545098582179</v>
      </c>
      <c r="C131" s="101">
        <v>1197.1739299041171</v>
      </c>
      <c r="D131" s="101">
        <v>1208.5874315728577</v>
      </c>
      <c r="E131" s="101">
        <v>1209.9026849403194</v>
      </c>
      <c r="F131" s="101">
        <v>1180.1370231324609</v>
      </c>
      <c r="G131" s="101">
        <v>1176.7381046731907</v>
      </c>
      <c r="H131" s="101">
        <v>1172.7271430748422</v>
      </c>
      <c r="I131" s="101">
        <v>1163.7835355228267</v>
      </c>
      <c r="J131" s="101">
        <v>1149.6364295518417</v>
      </c>
      <c r="K131" s="101">
        <v>1196.7576458753915</v>
      </c>
      <c r="L131" s="101">
        <v>1248.2124622146141</v>
      </c>
      <c r="M131" s="101">
        <v>1274.013178665663</v>
      </c>
      <c r="N131" s="101">
        <v>1286.1878255416716</v>
      </c>
      <c r="O131" s="101">
        <v>1285.8561844371106</v>
      </c>
      <c r="P131" s="101">
        <v>1280.6428438418552</v>
      </c>
      <c r="Q131" s="101">
        <v>1294.7077277145388</v>
      </c>
    </row>
    <row r="132" spans="1:17" ht="11.5" customHeight="1">
      <c r="A132" s="104" t="s">
        <v>165</v>
      </c>
      <c r="B132" s="105">
        <v>1459.0394006953225</v>
      </c>
      <c r="C132" s="105">
        <v>1510.2007623320894</v>
      </c>
      <c r="D132" s="105">
        <v>1542.0802984435329</v>
      </c>
      <c r="E132" s="105">
        <v>1565.2321675720814</v>
      </c>
      <c r="F132" s="105">
        <v>1559.1864299881352</v>
      </c>
      <c r="G132" s="105">
        <v>1566.2758587222461</v>
      </c>
      <c r="H132" s="105">
        <v>1574.5893220392809</v>
      </c>
      <c r="I132" s="105">
        <v>1551.5702135954884</v>
      </c>
      <c r="J132" s="105">
        <v>1471.1064254531279</v>
      </c>
      <c r="K132" s="105">
        <v>1455.2555185233271</v>
      </c>
      <c r="L132" s="105">
        <v>1448.8667469170391</v>
      </c>
      <c r="M132" s="105">
        <v>1412.623577748235</v>
      </c>
      <c r="N132" s="105">
        <v>1375.7575928780509</v>
      </c>
      <c r="O132" s="105">
        <v>1326.2072118143885</v>
      </c>
      <c r="P132" s="105">
        <v>1264.2346691776675</v>
      </c>
      <c r="Q132" s="105">
        <v>1217.9527671476849</v>
      </c>
    </row>
    <row r="133" spans="1:17" ht="11.5" customHeight="1">
      <c r="A133" s="104" t="s">
        <v>166</v>
      </c>
      <c r="B133" s="105">
        <v>1141.452728170626</v>
      </c>
      <c r="C133" s="105">
        <v>1161.3406701743315</v>
      </c>
      <c r="D133" s="105">
        <v>1177.8812022787276</v>
      </c>
      <c r="E133" s="105">
        <v>1184.6237336034771</v>
      </c>
      <c r="F133" s="105">
        <v>1159.2534791393205</v>
      </c>
      <c r="G133" s="105">
        <v>1159.1821006477992</v>
      </c>
      <c r="H133" s="105">
        <v>1157.7212521177723</v>
      </c>
      <c r="I133" s="105">
        <v>1151.0884675456466</v>
      </c>
      <c r="J133" s="105">
        <v>1139.8981948154762</v>
      </c>
      <c r="K133" s="105">
        <v>1189.9473159770262</v>
      </c>
      <c r="L133" s="105">
        <v>1243.6259331046219</v>
      </c>
      <c r="M133" s="105">
        <v>1271.4898370107123</v>
      </c>
      <c r="N133" s="105">
        <v>1285.6999800641431</v>
      </c>
      <c r="O133" s="105">
        <v>1287.4821456948259</v>
      </c>
      <c r="P133" s="105">
        <v>1284.2899130140288</v>
      </c>
      <c r="Q133" s="105">
        <v>1300.3613920417886</v>
      </c>
    </row>
    <row r="134" spans="1:17" ht="11.5" customHeight="1">
      <c r="A134" s="104" t="s">
        <v>167</v>
      </c>
      <c r="B134" s="105">
        <v>802.12389910071818</v>
      </c>
      <c r="C134" s="105">
        <v>813.83831526589938</v>
      </c>
      <c r="D134" s="105">
        <v>827.34097266744607</v>
      </c>
      <c r="E134" s="105">
        <v>837.18239483179048</v>
      </c>
      <c r="F134" s="105">
        <v>832.33399486834355</v>
      </c>
      <c r="G134" s="105">
        <v>840.60984403932594</v>
      </c>
      <c r="H134" s="105">
        <v>854.42156705473485</v>
      </c>
      <c r="I134" s="105">
        <v>854.89184638187635</v>
      </c>
      <c r="J134" s="105">
        <v>858.73090541288673</v>
      </c>
      <c r="K134" s="105">
        <v>903.06736838744575</v>
      </c>
      <c r="L134" s="105">
        <v>955.39738223368443</v>
      </c>
      <c r="M134" s="105">
        <v>988.43710654999325</v>
      </c>
      <c r="N134" s="105">
        <v>1010.7324779063274</v>
      </c>
      <c r="O134" s="105">
        <v>1046.5470800517908</v>
      </c>
      <c r="P134" s="105">
        <v>1064.0346306299609</v>
      </c>
      <c r="Q134" s="105">
        <v>1093.5284043027134</v>
      </c>
    </row>
    <row r="135" spans="1:17" ht="11.5" customHeight="1">
      <c r="A135" s="104" t="s">
        <v>168</v>
      </c>
      <c r="B135" s="105">
        <v>821.12734715203669</v>
      </c>
      <c r="C135" s="105">
        <v>854.62273327781429</v>
      </c>
      <c r="D135" s="105">
        <v>874.80419367155514</v>
      </c>
      <c r="E135" s="105">
        <v>873.70801672198422</v>
      </c>
      <c r="F135" s="105">
        <v>874.03781272115168</v>
      </c>
      <c r="G135" s="105">
        <v>887.19675171912218</v>
      </c>
      <c r="H135" s="105">
        <v>883.204861052301</v>
      </c>
      <c r="I135" s="105">
        <v>895.03897407695592</v>
      </c>
      <c r="J135" s="105">
        <v>898.69522369925789</v>
      </c>
      <c r="K135" s="105">
        <v>920.11909278734993</v>
      </c>
      <c r="L135" s="105">
        <v>934.76545692665491</v>
      </c>
      <c r="M135" s="105">
        <v>944.57787926507103</v>
      </c>
      <c r="N135" s="105">
        <v>946.62983927546804</v>
      </c>
      <c r="O135" s="105">
        <v>946.21055454284851</v>
      </c>
      <c r="P135" s="105">
        <v>951.96847515600837</v>
      </c>
      <c r="Q135" s="105">
        <v>983.08573410255428</v>
      </c>
    </row>
    <row r="136" spans="1:17" ht="11.5" customHeight="1">
      <c r="A136" s="104" t="s">
        <v>170</v>
      </c>
      <c r="B136" s="105">
        <v>429.23422584809566</v>
      </c>
      <c r="C136" s="105">
        <v>413.27868777503346</v>
      </c>
      <c r="D136" s="105">
        <v>411.81336778368069</v>
      </c>
      <c r="E136" s="105">
        <v>411.14064854569716</v>
      </c>
      <c r="F136" s="105">
        <v>408.70464590797752</v>
      </c>
      <c r="G136" s="105">
        <v>406.68976334202546</v>
      </c>
      <c r="H136" s="105">
        <v>404.93245579531623</v>
      </c>
      <c r="I136" s="105">
        <v>402.39604187863699</v>
      </c>
      <c r="J136" s="105">
        <v>394.35713219284719</v>
      </c>
      <c r="K136" s="105">
        <v>391.38097800487498</v>
      </c>
      <c r="L136" s="105">
        <v>379.64782784730534</v>
      </c>
      <c r="M136" s="105">
        <v>377.95682266182314</v>
      </c>
      <c r="N136" s="105">
        <v>378.7382612924257</v>
      </c>
      <c r="O136" s="105">
        <v>380.26168557657991</v>
      </c>
      <c r="P136" s="105">
        <v>381.76169608129902</v>
      </c>
      <c r="Q136" s="105">
        <v>383.9231787100419</v>
      </c>
    </row>
    <row r="137" spans="1:17" ht="11.5" customHeight="1">
      <c r="A137" s="102" t="s">
        <v>174</v>
      </c>
      <c r="B137" s="103">
        <v>18075.101663154244</v>
      </c>
      <c r="C137" s="103">
        <v>17657.298956310071</v>
      </c>
      <c r="D137" s="103">
        <v>17275.013553322115</v>
      </c>
      <c r="E137" s="103">
        <v>16873.591194629338</v>
      </c>
      <c r="F137" s="103">
        <v>17552.744800802298</v>
      </c>
      <c r="G137" s="103">
        <v>17295.171285609467</v>
      </c>
      <c r="H137" s="103">
        <v>17190.250948689645</v>
      </c>
      <c r="I137" s="103">
        <v>17280.521870910376</v>
      </c>
      <c r="J137" s="103">
        <v>15933.169148590086</v>
      </c>
      <c r="K137" s="103">
        <v>14121.73671015595</v>
      </c>
      <c r="L137" s="103">
        <v>14238.98229395136</v>
      </c>
      <c r="M137" s="103">
        <v>14544.507429409992</v>
      </c>
      <c r="N137" s="103">
        <v>13989.819609126997</v>
      </c>
      <c r="O137" s="103">
        <v>14263.521829901447</v>
      </c>
      <c r="P137" s="103">
        <v>14155.264327183218</v>
      </c>
      <c r="Q137" s="103">
        <v>13997.110523609412</v>
      </c>
    </row>
    <row r="138" spans="1:17" ht="11.5" customHeight="1">
      <c r="A138" s="104" t="s">
        <v>175</v>
      </c>
      <c r="B138" s="105">
        <v>14375.703235945688</v>
      </c>
      <c r="C138" s="105">
        <v>14073.497077196525</v>
      </c>
      <c r="D138" s="105">
        <v>13701.221790047977</v>
      </c>
      <c r="E138" s="105">
        <v>13382.567433682814</v>
      </c>
      <c r="F138" s="105">
        <v>13879.648352179676</v>
      </c>
      <c r="G138" s="105">
        <v>13557.745921919242</v>
      </c>
      <c r="H138" s="105">
        <v>13433.189557336569</v>
      </c>
      <c r="I138" s="105">
        <v>13576.94655068236</v>
      </c>
      <c r="J138" s="105">
        <v>12201.487886368455</v>
      </c>
      <c r="K138" s="105">
        <v>10440.030959323687</v>
      </c>
      <c r="L138" s="105">
        <v>10624.659111153109</v>
      </c>
      <c r="M138" s="105">
        <v>11104.886368217356</v>
      </c>
      <c r="N138" s="105">
        <v>10439.214902554682</v>
      </c>
      <c r="O138" s="105">
        <v>10523.908433189828</v>
      </c>
      <c r="P138" s="105">
        <v>10359.540301363872</v>
      </c>
      <c r="Q138" s="105">
        <v>10006.90088326866</v>
      </c>
    </row>
    <row r="139" spans="1:17" ht="11.5" customHeight="1">
      <c r="A139" s="106" t="s">
        <v>176</v>
      </c>
      <c r="B139" s="107">
        <v>40903.398799752991</v>
      </c>
      <c r="C139" s="107">
        <v>39100.30247775928</v>
      </c>
      <c r="D139" s="107">
        <v>38154.887348268618</v>
      </c>
      <c r="E139" s="107">
        <v>37253.299265136789</v>
      </c>
      <c r="F139" s="107">
        <v>36109.426909057336</v>
      </c>
      <c r="G139" s="107">
        <v>35896.502131270769</v>
      </c>
      <c r="H139" s="107">
        <v>35723.834092416022</v>
      </c>
      <c r="I139" s="107">
        <v>35503.267230506244</v>
      </c>
      <c r="J139" s="107">
        <v>35341.161679166667</v>
      </c>
      <c r="K139" s="107">
        <v>36036.420065303217</v>
      </c>
      <c r="L139" s="107">
        <v>36282.858143604892</v>
      </c>
      <c r="M139" s="107">
        <v>36430.058360314739</v>
      </c>
      <c r="N139" s="107">
        <v>36657.809997928351</v>
      </c>
      <c r="O139" s="107">
        <v>36558.02849295146</v>
      </c>
      <c r="P139" s="107">
        <v>36706.276514157609</v>
      </c>
      <c r="Q139" s="107">
        <v>36980.38782567218</v>
      </c>
    </row>
    <row r="141" spans="1:17" ht="11.5" customHeight="1">
      <c r="A141" s="96" t="s">
        <v>223</v>
      </c>
      <c r="B141" s="129">
        <v>1</v>
      </c>
      <c r="C141" s="129">
        <v>1</v>
      </c>
      <c r="D141" s="129">
        <v>1</v>
      </c>
      <c r="E141" s="129">
        <v>1</v>
      </c>
      <c r="F141" s="129">
        <v>1</v>
      </c>
      <c r="G141" s="129">
        <v>1</v>
      </c>
      <c r="H141" s="129">
        <v>1</v>
      </c>
      <c r="I141" s="129">
        <v>1</v>
      </c>
      <c r="J141" s="129">
        <v>1</v>
      </c>
      <c r="K141" s="129">
        <v>1</v>
      </c>
      <c r="L141" s="129">
        <v>1</v>
      </c>
      <c r="M141" s="129">
        <v>1</v>
      </c>
      <c r="N141" s="129">
        <v>1</v>
      </c>
      <c r="O141" s="129">
        <v>1</v>
      </c>
      <c r="P141" s="129">
        <v>1</v>
      </c>
      <c r="Q141" s="129">
        <v>1</v>
      </c>
    </row>
    <row r="142" spans="1:17" ht="11.5" customHeight="1">
      <c r="A142" s="98" t="s">
        <v>178</v>
      </c>
      <c r="B142" s="130">
        <v>0.61470340232399812</v>
      </c>
      <c r="C142" s="130">
        <v>0.61507117071208739</v>
      </c>
      <c r="D142" s="130">
        <v>0.61160863368130136</v>
      </c>
      <c r="E142" s="130">
        <v>0.60727340370829863</v>
      </c>
      <c r="F142" s="130">
        <v>0.59454750150588498</v>
      </c>
      <c r="G142" s="130">
        <v>0.58894076525105032</v>
      </c>
      <c r="H142" s="130">
        <v>0.58776337758626018</v>
      </c>
      <c r="I142" s="130">
        <v>0.58613613657707253</v>
      </c>
      <c r="J142" s="130">
        <v>0.59060802376317867</v>
      </c>
      <c r="K142" s="130">
        <v>0.60735371547861461</v>
      </c>
      <c r="L142" s="130">
        <v>0.59011243739528252</v>
      </c>
      <c r="M142" s="130">
        <v>0.58340780630599742</v>
      </c>
      <c r="N142" s="130">
        <v>0.59293739171098703</v>
      </c>
      <c r="O142" s="130">
        <v>0.58767698485765885</v>
      </c>
      <c r="P142" s="130">
        <v>0.59133833227370736</v>
      </c>
      <c r="Q142" s="130">
        <v>0.59714886544355095</v>
      </c>
    </row>
    <row r="143" spans="1:17" ht="11.5" customHeight="1">
      <c r="A143" s="131" t="s">
        <v>163</v>
      </c>
      <c r="B143" s="132">
        <v>8.4847692797690374E-3</v>
      </c>
      <c r="C143" s="132">
        <v>9.1519884085343155E-3</v>
      </c>
      <c r="D143" s="132">
        <v>1.0080269102988215E-2</v>
      </c>
      <c r="E143" s="132">
        <v>1.0219110155506337E-2</v>
      </c>
      <c r="F143" s="132">
        <v>1.089714713474753E-2</v>
      </c>
      <c r="G143" s="132">
        <v>1.132285155354837E-2</v>
      </c>
      <c r="H143" s="132">
        <v>1.1301195978140725E-2</v>
      </c>
      <c r="I143" s="132">
        <v>1.1557296344191418E-2</v>
      </c>
      <c r="J143" s="132">
        <v>1.2496018908039083E-2</v>
      </c>
      <c r="K143" s="132">
        <v>1.3288366604949272E-2</v>
      </c>
      <c r="L143" s="132">
        <v>1.328642710072114E-2</v>
      </c>
      <c r="M143" s="132">
        <v>1.3357893395311427E-2</v>
      </c>
      <c r="N143" s="132">
        <v>1.3433561031115759E-2</v>
      </c>
      <c r="O143" s="132">
        <v>1.3545742801154691E-2</v>
      </c>
      <c r="P143" s="132">
        <v>1.3439353285845206E-2</v>
      </c>
      <c r="Q143" s="132">
        <v>1.33514826688102E-2</v>
      </c>
    </row>
    <row r="144" spans="1:17" ht="11.5" customHeight="1">
      <c r="A144" s="133" t="s">
        <v>164</v>
      </c>
      <c r="B144" s="134">
        <v>0.56878117280888074</v>
      </c>
      <c r="C144" s="134">
        <v>0.56936122160658997</v>
      </c>
      <c r="D144" s="134">
        <v>0.56479744767918527</v>
      </c>
      <c r="E144" s="134">
        <v>0.55967363042075846</v>
      </c>
      <c r="F144" s="134">
        <v>0.54500012009367116</v>
      </c>
      <c r="G144" s="134">
        <v>0.53704175185149006</v>
      </c>
      <c r="H144" s="134">
        <v>0.5344076260773849</v>
      </c>
      <c r="I144" s="134">
        <v>0.53100491874071609</v>
      </c>
      <c r="J144" s="134">
        <v>0.53314383540464783</v>
      </c>
      <c r="K144" s="134">
        <v>0.54953325007048881</v>
      </c>
      <c r="L144" s="134">
        <v>0.53330072555020935</v>
      </c>
      <c r="M144" s="134">
        <v>0.52573524314700337</v>
      </c>
      <c r="N144" s="134">
        <v>0.53547115202188311</v>
      </c>
      <c r="O144" s="134">
        <v>0.5282765681540077</v>
      </c>
      <c r="P144" s="134">
        <v>0.53222550411091318</v>
      </c>
      <c r="Q144" s="134">
        <v>0.53800545540586719</v>
      </c>
    </row>
    <row r="145" spans="1:17" ht="11.5" customHeight="1">
      <c r="A145" s="135" t="s">
        <v>165</v>
      </c>
      <c r="B145" s="136">
        <v>0.3040706630862936</v>
      </c>
      <c r="C145" s="136">
        <v>0.2929605491489205</v>
      </c>
      <c r="D145" s="136">
        <v>0.28354954325347054</v>
      </c>
      <c r="E145" s="136">
        <v>0.26981738521598769</v>
      </c>
      <c r="F145" s="136">
        <v>0.25625011375385898</v>
      </c>
      <c r="G145" s="136">
        <v>0.24347494590893742</v>
      </c>
      <c r="H145" s="136">
        <v>0.22717791536398604</v>
      </c>
      <c r="I145" s="136">
        <v>0.21153602207917099</v>
      </c>
      <c r="J145" s="136">
        <v>0.1952943106565265</v>
      </c>
      <c r="K145" s="136">
        <v>0.18764567468842938</v>
      </c>
      <c r="L145" s="136">
        <v>0.17179316064971853</v>
      </c>
      <c r="M145" s="136">
        <v>0.16119770537044545</v>
      </c>
      <c r="N145" s="136">
        <v>0.15176459415506308</v>
      </c>
      <c r="O145" s="136">
        <v>0.1473607615969853</v>
      </c>
      <c r="P145" s="136">
        <v>0.14802258790371273</v>
      </c>
      <c r="Q145" s="136">
        <v>0.14923467464540438</v>
      </c>
    </row>
    <row r="146" spans="1:17" ht="11.5" customHeight="1">
      <c r="A146" s="135" t="s">
        <v>166</v>
      </c>
      <c r="B146" s="136">
        <v>0.25955462296299986</v>
      </c>
      <c r="C146" s="136">
        <v>0.27154503154777915</v>
      </c>
      <c r="D146" s="136">
        <v>0.27697169639237751</v>
      </c>
      <c r="E146" s="136">
        <v>0.2861144741590454</v>
      </c>
      <c r="F146" s="136">
        <v>0.28541054609745592</v>
      </c>
      <c r="G146" s="136">
        <v>0.2905260926624299</v>
      </c>
      <c r="H146" s="136">
        <v>0.30447261600940861</v>
      </c>
      <c r="I146" s="136">
        <v>0.31692802729561798</v>
      </c>
      <c r="J146" s="136">
        <v>0.33538292289574517</v>
      </c>
      <c r="K146" s="136">
        <v>0.35970099231260405</v>
      </c>
      <c r="L146" s="136">
        <v>0.35888497037139316</v>
      </c>
      <c r="M146" s="136">
        <v>0.36153337256123419</v>
      </c>
      <c r="N146" s="136">
        <v>0.38092754239200532</v>
      </c>
      <c r="O146" s="136">
        <v>0.37835415148523621</v>
      </c>
      <c r="P146" s="136">
        <v>0.38181815601045127</v>
      </c>
      <c r="Q146" s="136">
        <v>0.38643054789121789</v>
      </c>
    </row>
    <row r="147" spans="1:17" ht="11.5" customHeight="1">
      <c r="A147" s="135" t="s">
        <v>167</v>
      </c>
      <c r="B147" s="136">
        <v>5.1558867595873055E-3</v>
      </c>
      <c r="C147" s="136">
        <v>4.8556409098902565E-3</v>
      </c>
      <c r="D147" s="136">
        <v>4.2762080333371474E-3</v>
      </c>
      <c r="E147" s="136">
        <v>3.7417710457253394E-3</v>
      </c>
      <c r="F147" s="136">
        <v>3.3394602423562907E-3</v>
      </c>
      <c r="G147" s="136">
        <v>3.0407132801227284E-3</v>
      </c>
      <c r="H147" s="136">
        <v>2.7569757226276297E-3</v>
      </c>
      <c r="I147" s="136">
        <v>2.5234904913746239E-3</v>
      </c>
      <c r="J147" s="136">
        <v>2.4339613744822968E-3</v>
      </c>
      <c r="K147" s="136">
        <v>2.1417278209175899E-3</v>
      </c>
      <c r="L147" s="136">
        <v>2.5737949515902479E-3</v>
      </c>
      <c r="M147" s="136">
        <v>2.9288410869607114E-3</v>
      </c>
      <c r="N147" s="136">
        <v>2.6498877451688998E-3</v>
      </c>
      <c r="O147" s="136">
        <v>2.3411326021312352E-3</v>
      </c>
      <c r="P147" s="136">
        <v>2.0587024048845911E-3</v>
      </c>
      <c r="Q147" s="136">
        <v>1.8061933270141501E-3</v>
      </c>
    </row>
    <row r="148" spans="1:17" ht="11.5" customHeight="1">
      <c r="A148" s="135" t="s">
        <v>168</v>
      </c>
      <c r="B148" s="136">
        <v>0</v>
      </c>
      <c r="C148" s="136">
        <v>0</v>
      </c>
      <c r="D148" s="136">
        <v>0</v>
      </c>
      <c r="E148" s="136">
        <v>0</v>
      </c>
      <c r="F148" s="136">
        <v>0</v>
      </c>
      <c r="G148" s="136">
        <v>0</v>
      </c>
      <c r="H148" s="136">
        <v>0</v>
      </c>
      <c r="I148" s="136">
        <v>1.7209971178434826E-5</v>
      </c>
      <c r="J148" s="136">
        <v>3.2440403696245819E-5</v>
      </c>
      <c r="K148" s="136">
        <v>4.4547762347384783E-5</v>
      </c>
      <c r="L148" s="136">
        <v>4.7172687320230212E-5</v>
      </c>
      <c r="M148" s="136">
        <v>4.9971418488077904E-5</v>
      </c>
      <c r="N148" s="136">
        <v>5.4041376950038125E-5</v>
      </c>
      <c r="O148" s="136">
        <v>5.2465710857434528E-5</v>
      </c>
      <c r="P148" s="136">
        <v>5.4051275554979525E-5</v>
      </c>
      <c r="Q148" s="136">
        <v>5.7411084110749137E-5</v>
      </c>
    </row>
    <row r="149" spans="1:17" ht="11.5" customHeight="1">
      <c r="A149" s="135" t="s">
        <v>169</v>
      </c>
      <c r="B149" s="136">
        <v>0</v>
      </c>
      <c r="C149" s="136">
        <v>0</v>
      </c>
      <c r="D149" s="136">
        <v>0</v>
      </c>
      <c r="E149" s="136">
        <v>0</v>
      </c>
      <c r="F149" s="136">
        <v>0</v>
      </c>
      <c r="G149" s="136">
        <v>0</v>
      </c>
      <c r="H149" s="136">
        <v>0</v>
      </c>
      <c r="I149" s="136">
        <v>0</v>
      </c>
      <c r="J149" s="136">
        <v>0</v>
      </c>
      <c r="K149" s="136">
        <v>0</v>
      </c>
      <c r="L149" s="136">
        <v>0</v>
      </c>
      <c r="M149" s="136">
        <v>0</v>
      </c>
      <c r="N149" s="136">
        <v>0</v>
      </c>
      <c r="O149" s="136">
        <v>4.7279173920651568E-6</v>
      </c>
      <c r="P149" s="136">
        <v>1.956194567769656E-5</v>
      </c>
      <c r="Q149" s="136">
        <v>7.0787122411952697E-5</v>
      </c>
    </row>
    <row r="150" spans="1:17" ht="11.5" customHeight="1">
      <c r="A150" s="135" t="s">
        <v>170</v>
      </c>
      <c r="B150" s="136">
        <v>0</v>
      </c>
      <c r="C150" s="136">
        <v>0</v>
      </c>
      <c r="D150" s="136">
        <v>0</v>
      </c>
      <c r="E150" s="136">
        <v>0</v>
      </c>
      <c r="F150" s="136">
        <v>0</v>
      </c>
      <c r="G150" s="136">
        <v>0</v>
      </c>
      <c r="H150" s="136">
        <v>1.1898136264603293E-7</v>
      </c>
      <c r="I150" s="136">
        <v>1.6890337414194159E-7</v>
      </c>
      <c r="J150" s="136">
        <v>2.0007419759717217E-7</v>
      </c>
      <c r="K150" s="136">
        <v>3.0748619048422275E-7</v>
      </c>
      <c r="L150" s="136">
        <v>1.6268901872291753E-6</v>
      </c>
      <c r="M150" s="136">
        <v>2.5352709874962032E-5</v>
      </c>
      <c r="N150" s="136">
        <v>7.5086352695701291E-5</v>
      </c>
      <c r="O150" s="136">
        <v>1.633288414055018E-4</v>
      </c>
      <c r="P150" s="136">
        <v>2.5244457063202047E-4</v>
      </c>
      <c r="Q150" s="136">
        <v>4.0584133570799265E-4</v>
      </c>
    </row>
    <row r="151" spans="1:17" ht="11.5" customHeight="1">
      <c r="A151" s="133" t="s">
        <v>171</v>
      </c>
      <c r="B151" s="134">
        <v>3.7437460235348302E-2</v>
      </c>
      <c r="C151" s="134">
        <v>3.6557960696963161E-2</v>
      </c>
      <c r="D151" s="134">
        <v>3.6730916899127858E-2</v>
      </c>
      <c r="E151" s="134">
        <v>3.7380663132033858E-2</v>
      </c>
      <c r="F151" s="134">
        <v>3.8650234277466326E-2</v>
      </c>
      <c r="G151" s="134">
        <v>4.0576161846012003E-2</v>
      </c>
      <c r="H151" s="134">
        <v>4.2054555530734519E-2</v>
      </c>
      <c r="I151" s="134">
        <v>4.3573921492165005E-2</v>
      </c>
      <c r="J151" s="134">
        <v>4.4968169450491709E-2</v>
      </c>
      <c r="K151" s="134">
        <v>4.4532098803176455E-2</v>
      </c>
      <c r="L151" s="134">
        <v>4.3525284744352084E-2</v>
      </c>
      <c r="M151" s="134">
        <v>4.4314669763682528E-2</v>
      </c>
      <c r="N151" s="134">
        <v>4.403267865798819E-2</v>
      </c>
      <c r="O151" s="134">
        <v>4.5854673902496423E-2</v>
      </c>
      <c r="P151" s="134">
        <v>4.5673474876948901E-2</v>
      </c>
      <c r="Q151" s="134">
        <v>4.5791927368873629E-2</v>
      </c>
    </row>
    <row r="152" spans="1:17" ht="11.5" customHeight="1">
      <c r="A152" s="135" t="s">
        <v>165</v>
      </c>
      <c r="B152" s="136">
        <v>8.7773472527117113E-5</v>
      </c>
      <c r="C152" s="136">
        <v>8.1291412706132335E-5</v>
      </c>
      <c r="D152" s="136">
        <v>7.910827760254676E-5</v>
      </c>
      <c r="E152" s="136">
        <v>7.4967938552522581E-5</v>
      </c>
      <c r="F152" s="136">
        <v>7.1760442035238427E-5</v>
      </c>
      <c r="G152" s="136">
        <v>6.8929382312650861E-5</v>
      </c>
      <c r="H152" s="136">
        <v>6.4618416446237084E-5</v>
      </c>
      <c r="I152" s="136">
        <v>5.9756938827741482E-5</v>
      </c>
      <c r="J152" s="136">
        <v>5.6676573957012632E-5</v>
      </c>
      <c r="K152" s="136">
        <v>5.2026329362342988E-5</v>
      </c>
      <c r="L152" s="136">
        <v>4.6923021777729445E-5</v>
      </c>
      <c r="M152" s="136">
        <v>4.1093924420955936E-5</v>
      </c>
      <c r="N152" s="136">
        <v>3.5030464360643804E-5</v>
      </c>
      <c r="O152" s="136">
        <v>2.9544930415127576E-5</v>
      </c>
      <c r="P152" s="136">
        <v>2.4294228169690927E-5</v>
      </c>
      <c r="Q152" s="136">
        <v>1.9871444708163865E-5</v>
      </c>
    </row>
    <row r="153" spans="1:17" ht="11.5" customHeight="1">
      <c r="A153" s="135" t="s">
        <v>166</v>
      </c>
      <c r="B153" s="136">
        <v>3.7225821837551402E-2</v>
      </c>
      <c r="C153" s="136">
        <v>3.5853047553614278E-2</v>
      </c>
      <c r="D153" s="136">
        <v>3.5932789358317549E-2</v>
      </c>
      <c r="E153" s="136">
        <v>3.6324104739131127E-2</v>
      </c>
      <c r="F153" s="136">
        <v>3.748115639994986E-2</v>
      </c>
      <c r="G153" s="136">
        <v>3.9297246154384076E-2</v>
      </c>
      <c r="H153" s="136">
        <v>4.0450089845966444E-2</v>
      </c>
      <c r="I153" s="136">
        <v>4.1819907599030155E-2</v>
      </c>
      <c r="J153" s="136">
        <v>4.281909206334486E-2</v>
      </c>
      <c r="K153" s="136">
        <v>4.2395513267755529E-2</v>
      </c>
      <c r="L153" s="136">
        <v>4.1309385264843901E-2</v>
      </c>
      <c r="M153" s="136">
        <v>4.2059946677942529E-2</v>
      </c>
      <c r="N153" s="136">
        <v>4.1783394618516878E-2</v>
      </c>
      <c r="O153" s="136">
        <v>4.3512447118050912E-2</v>
      </c>
      <c r="P153" s="136">
        <v>4.2506400299246114E-2</v>
      </c>
      <c r="Q153" s="136">
        <v>4.2615533323220794E-2</v>
      </c>
    </row>
    <row r="154" spans="1:17" ht="11.5" customHeight="1">
      <c r="A154" s="135" t="s">
        <v>167</v>
      </c>
      <c r="B154" s="136">
        <v>3.5997731292896825E-5</v>
      </c>
      <c r="C154" s="136">
        <v>4.0411255940964104E-5</v>
      </c>
      <c r="D154" s="136">
        <v>4.0844957450627838E-5</v>
      </c>
      <c r="E154" s="136">
        <v>4.3304902246444783E-5</v>
      </c>
      <c r="F154" s="136">
        <v>4.5669854918778646E-5</v>
      </c>
      <c r="G154" s="136">
        <v>4.792271827023396E-5</v>
      </c>
      <c r="H154" s="136">
        <v>3.9245156641434681E-5</v>
      </c>
      <c r="I154" s="136">
        <v>4.677739562514855E-5</v>
      </c>
      <c r="J154" s="136">
        <v>4.705703784090724E-5</v>
      </c>
      <c r="K154" s="136">
        <v>4.641330454511801E-5</v>
      </c>
      <c r="L154" s="136">
        <v>4.5047396992034275E-5</v>
      </c>
      <c r="M154" s="136">
        <v>4.2811044088563401E-5</v>
      </c>
      <c r="N154" s="136">
        <v>3.9805197683004232E-5</v>
      </c>
      <c r="O154" s="136">
        <v>3.950725681455269E-5</v>
      </c>
      <c r="P154" s="136">
        <v>3.8003295006037585E-5</v>
      </c>
      <c r="Q154" s="136">
        <v>3.638875819251488E-5</v>
      </c>
    </row>
    <row r="155" spans="1:17" ht="11.5" customHeight="1">
      <c r="A155" s="135" t="s">
        <v>168</v>
      </c>
      <c r="B155" s="136">
        <v>3.7361574619121379E-5</v>
      </c>
      <c r="C155" s="136">
        <v>5.2996888456483275E-4</v>
      </c>
      <c r="D155" s="136">
        <v>6.1958294658411202E-4</v>
      </c>
      <c r="E155" s="136">
        <v>8.7491622573760406E-4</v>
      </c>
      <c r="F155" s="136">
        <v>9.8419885389437137E-4</v>
      </c>
      <c r="G155" s="136">
        <v>1.0947358021937909E-3</v>
      </c>
      <c r="H155" s="136">
        <v>1.4353127365212474E-3</v>
      </c>
      <c r="I155" s="136">
        <v>1.584904324607533E-3</v>
      </c>
      <c r="J155" s="136">
        <v>1.9832625800735005E-3</v>
      </c>
      <c r="K155" s="136">
        <v>1.9790973034377558E-3</v>
      </c>
      <c r="L155" s="136">
        <v>2.0682104319545464E-3</v>
      </c>
      <c r="M155" s="136">
        <v>2.118288760431482E-3</v>
      </c>
      <c r="N155" s="136">
        <v>2.1170322916182465E-3</v>
      </c>
      <c r="O155" s="136">
        <v>2.1909626679010594E-3</v>
      </c>
      <c r="P155" s="136">
        <v>3.0112104394207878E-3</v>
      </c>
      <c r="Q155" s="136">
        <v>3.0127522651299168E-3</v>
      </c>
    </row>
    <row r="156" spans="1:17" ht="11.5" customHeight="1">
      <c r="A156" s="135" t="s">
        <v>170</v>
      </c>
      <c r="B156" s="136">
        <v>5.0505619357770818E-5</v>
      </c>
      <c r="C156" s="136">
        <v>5.3241590136954902E-5</v>
      </c>
      <c r="D156" s="136">
        <v>5.8591359173021249E-5</v>
      </c>
      <c r="E156" s="136">
        <v>6.336932636615785E-5</v>
      </c>
      <c r="F156" s="136">
        <v>6.7448726668082392E-5</v>
      </c>
      <c r="G156" s="136">
        <v>6.7327788851249731E-5</v>
      </c>
      <c r="H156" s="136">
        <v>6.5289375159156173E-5</v>
      </c>
      <c r="I156" s="136">
        <v>6.2575234074432705E-5</v>
      </c>
      <c r="J156" s="136">
        <v>6.2081195275432926E-5</v>
      </c>
      <c r="K156" s="136">
        <v>5.9048598075708398E-5</v>
      </c>
      <c r="L156" s="136">
        <v>5.5718628783872081E-5</v>
      </c>
      <c r="M156" s="136">
        <v>5.2529356799004497E-5</v>
      </c>
      <c r="N156" s="136">
        <v>5.741608580942709E-5</v>
      </c>
      <c r="O156" s="136">
        <v>8.2211929314770268E-5</v>
      </c>
      <c r="P156" s="136">
        <v>9.3566615106279054E-5</v>
      </c>
      <c r="Q156" s="136">
        <v>1.0738157762223453E-4</v>
      </c>
    </row>
    <row r="157" spans="1:17" ht="11.5" customHeight="1">
      <c r="A157" s="98" t="s">
        <v>179</v>
      </c>
      <c r="B157" s="130">
        <v>0.38529659767600194</v>
      </c>
      <c r="C157" s="130">
        <v>0.3849288292879125</v>
      </c>
      <c r="D157" s="130">
        <v>0.38839136631869858</v>
      </c>
      <c r="E157" s="130">
        <v>0.39272659629170131</v>
      </c>
      <c r="F157" s="130">
        <v>0.40545249849411508</v>
      </c>
      <c r="G157" s="130">
        <v>0.41105923474894968</v>
      </c>
      <c r="H157" s="130">
        <v>0.41223662241373971</v>
      </c>
      <c r="I157" s="130">
        <v>0.41386386342292752</v>
      </c>
      <c r="J157" s="130">
        <v>0.40939197623682139</v>
      </c>
      <c r="K157" s="130">
        <v>0.39264628452138545</v>
      </c>
      <c r="L157" s="130">
        <v>0.40988756260471754</v>
      </c>
      <c r="M157" s="130">
        <v>0.41659219369400263</v>
      </c>
      <c r="N157" s="130">
        <v>0.40706260828901303</v>
      </c>
      <c r="O157" s="130">
        <v>0.41232301514234115</v>
      </c>
      <c r="P157" s="130">
        <v>0.40866166772629275</v>
      </c>
      <c r="Q157" s="130">
        <v>0.40285113455644894</v>
      </c>
    </row>
    <row r="158" spans="1:17" ht="11.5" customHeight="1">
      <c r="A158" s="131" t="s">
        <v>173</v>
      </c>
      <c r="B158" s="132">
        <v>0.16333264081550794</v>
      </c>
      <c r="C158" s="132">
        <v>0.16400372167265567</v>
      </c>
      <c r="D158" s="132">
        <v>0.16644769850846169</v>
      </c>
      <c r="E158" s="132">
        <v>0.16943162288114549</v>
      </c>
      <c r="F158" s="132">
        <v>0.1660033209912509</v>
      </c>
      <c r="G158" s="132">
        <v>0.16798845968790144</v>
      </c>
      <c r="H158" s="132">
        <v>0.16737095115636139</v>
      </c>
      <c r="I158" s="132">
        <v>0.16537294225243876</v>
      </c>
      <c r="J158" s="132">
        <v>0.1685652814012237</v>
      </c>
      <c r="K158" s="132">
        <v>0.17707069774878725</v>
      </c>
      <c r="L158" s="132">
        <v>0.18487829991122162</v>
      </c>
      <c r="M158" s="132">
        <v>0.18846016749210387</v>
      </c>
      <c r="N158" s="132">
        <v>0.19080924772229241</v>
      </c>
      <c r="O158" s="132">
        <v>0.19255365662798965</v>
      </c>
      <c r="P158" s="132">
        <v>0.19248467410631376</v>
      </c>
      <c r="Q158" s="132">
        <v>0.19391912403354922</v>
      </c>
    </row>
    <row r="159" spans="1:17" ht="11.5" customHeight="1">
      <c r="A159" s="135" t="s">
        <v>165</v>
      </c>
      <c r="B159" s="136">
        <v>2.6386725781135455E-2</v>
      </c>
      <c r="C159" s="136">
        <v>2.2408712288616805E-2</v>
      </c>
      <c r="D159" s="136">
        <v>1.9105332484018977E-2</v>
      </c>
      <c r="E159" s="136">
        <v>1.5769426355815831E-2</v>
      </c>
      <c r="F159" s="136">
        <v>1.2581749851900872E-2</v>
      </c>
      <c r="G159" s="136">
        <v>1.0773974237240965E-2</v>
      </c>
      <c r="H159" s="136">
        <v>9.2217632658830855E-3</v>
      </c>
      <c r="I159" s="136">
        <v>7.9921307408576409E-3</v>
      </c>
      <c r="J159" s="136">
        <v>7.4086872567519467E-3</v>
      </c>
      <c r="K159" s="136">
        <v>6.892331629210705E-3</v>
      </c>
      <c r="L159" s="136">
        <v>6.467616482139729E-3</v>
      </c>
      <c r="M159" s="136">
        <v>6.1301093527697456E-3</v>
      </c>
      <c r="N159" s="136">
        <v>5.8235122207557135E-3</v>
      </c>
      <c r="O159" s="136">
        <v>5.5583289928994688E-3</v>
      </c>
      <c r="P159" s="136">
        <v>4.8156446939576414E-3</v>
      </c>
      <c r="Q159" s="136">
        <v>4.2528896391854244E-3</v>
      </c>
    </row>
    <row r="160" spans="1:17" ht="11.5" customHeight="1">
      <c r="A160" s="135" t="s">
        <v>166</v>
      </c>
      <c r="B160" s="136">
        <v>0.13649829028152291</v>
      </c>
      <c r="C160" s="136">
        <v>0.14111606363359111</v>
      </c>
      <c r="D160" s="136">
        <v>0.14683822681596084</v>
      </c>
      <c r="E160" s="136">
        <v>0.15313163578664649</v>
      </c>
      <c r="F160" s="136">
        <v>0.15287740616417003</v>
      </c>
      <c r="G160" s="136">
        <v>0.15664166111883288</v>
      </c>
      <c r="H160" s="136">
        <v>0.15752320175628121</v>
      </c>
      <c r="I160" s="136">
        <v>0.15686590192214775</v>
      </c>
      <c r="J160" s="136">
        <v>0.16065546412260992</v>
      </c>
      <c r="K160" s="136">
        <v>0.16967615193943572</v>
      </c>
      <c r="L160" s="136">
        <v>0.17792790572155351</v>
      </c>
      <c r="M160" s="136">
        <v>0.18185814474294038</v>
      </c>
      <c r="N160" s="136">
        <v>0.18449694610565545</v>
      </c>
      <c r="O160" s="136">
        <v>0.1864686459615616</v>
      </c>
      <c r="P160" s="136">
        <v>0.18713373004500303</v>
      </c>
      <c r="Q160" s="136">
        <v>0.18911537124860145</v>
      </c>
    </row>
    <row r="161" spans="1:17" ht="11.5" customHeight="1">
      <c r="A161" s="135" t="s">
        <v>167</v>
      </c>
      <c r="B161" s="136">
        <v>4.0061593110645799E-4</v>
      </c>
      <c r="C161" s="136">
        <v>4.2766907614097649E-4</v>
      </c>
      <c r="D161" s="136">
        <v>4.4964934117064495E-4</v>
      </c>
      <c r="E161" s="136">
        <v>4.7019126981720066E-4</v>
      </c>
      <c r="F161" s="136">
        <v>4.8225735973615865E-4</v>
      </c>
      <c r="G161" s="136">
        <v>5.1131381213451231E-4</v>
      </c>
      <c r="H161" s="136">
        <v>5.560644100722716E-4</v>
      </c>
      <c r="I161" s="136">
        <v>4.4428359517178828E-4</v>
      </c>
      <c r="J161" s="136">
        <v>4.3406262401496305E-4</v>
      </c>
      <c r="K161" s="136">
        <v>4.2766209639970092E-4</v>
      </c>
      <c r="L161" s="136">
        <v>4.1523256382687042E-4</v>
      </c>
      <c r="M161" s="136">
        <v>3.9617355441948151E-4</v>
      </c>
      <c r="N161" s="136">
        <v>3.7078439364801358E-4</v>
      </c>
      <c r="O161" s="136">
        <v>3.5016719238157651E-4</v>
      </c>
      <c r="P161" s="136">
        <v>3.1470695930002634E-4</v>
      </c>
      <c r="Q161" s="136">
        <v>2.831119857123517E-4</v>
      </c>
    </row>
    <row r="162" spans="1:17" ht="11.5" customHeight="1">
      <c r="A162" s="135" t="s">
        <v>168</v>
      </c>
      <c r="B162" s="136">
        <v>5.778326437045547E-6</v>
      </c>
      <c r="C162" s="136">
        <v>5.4037288000567587E-6</v>
      </c>
      <c r="D162" s="136">
        <v>5.6715930208720278E-6</v>
      </c>
      <c r="E162" s="136">
        <v>9.274359691274432E-6</v>
      </c>
      <c r="F162" s="136">
        <v>8.9042346410141192E-6</v>
      </c>
      <c r="G162" s="136">
        <v>8.7836546714023015E-6</v>
      </c>
      <c r="H162" s="136">
        <v>1.7810138104816595E-5</v>
      </c>
      <c r="I162" s="136">
        <v>1.6779715988999253E-5</v>
      </c>
      <c r="J162" s="136">
        <v>1.773761724195253E-5</v>
      </c>
      <c r="K162" s="136">
        <v>2.2365351295999011E-5</v>
      </c>
      <c r="L162" s="136">
        <v>2.1661211679562294E-5</v>
      </c>
      <c r="M162" s="136">
        <v>2.6423638206416928E-5</v>
      </c>
      <c r="N162" s="136">
        <v>3.6641472021693437E-5</v>
      </c>
      <c r="O162" s="136">
        <v>4.7382081005670048E-5</v>
      </c>
      <c r="P162" s="136">
        <v>5.701027578997137E-5</v>
      </c>
      <c r="Q162" s="136">
        <v>6.4739170626279197E-5</v>
      </c>
    </row>
    <row r="163" spans="1:17" ht="11.5" customHeight="1">
      <c r="A163" s="135" t="s">
        <v>170</v>
      </c>
      <c r="B163" s="136">
        <v>4.1230495306052801E-5</v>
      </c>
      <c r="C163" s="136">
        <v>4.5872945506739848E-5</v>
      </c>
      <c r="D163" s="136">
        <v>4.8818274290357767E-5</v>
      </c>
      <c r="E163" s="136">
        <v>5.109510917469363E-5</v>
      </c>
      <c r="F163" s="136">
        <v>5.3003380802814995E-5</v>
      </c>
      <c r="G163" s="136">
        <v>5.2726865021708312E-5</v>
      </c>
      <c r="H163" s="136">
        <v>5.2111586019988493E-5</v>
      </c>
      <c r="I163" s="136">
        <v>5.3846278272614023E-5</v>
      </c>
      <c r="J163" s="136">
        <v>4.9329780604893592E-5</v>
      </c>
      <c r="K163" s="136">
        <v>5.2186732445146246E-5</v>
      </c>
      <c r="L163" s="136">
        <v>4.5883932021932994E-5</v>
      </c>
      <c r="M163" s="136">
        <v>4.9316203767846191E-5</v>
      </c>
      <c r="N163" s="136">
        <v>8.1363530211543277E-5</v>
      </c>
      <c r="O163" s="136">
        <v>1.2913240014134216E-4</v>
      </c>
      <c r="P163" s="136">
        <v>1.6358213226308626E-4</v>
      </c>
      <c r="Q163" s="136">
        <v>2.0301198942368573E-4</v>
      </c>
    </row>
    <row r="164" spans="1:17" ht="11.5" customHeight="1">
      <c r="A164" s="133" t="s">
        <v>174</v>
      </c>
      <c r="B164" s="134">
        <v>0.221963956860494</v>
      </c>
      <c r="C164" s="134">
        <v>0.2209251076152568</v>
      </c>
      <c r="D164" s="134">
        <v>0.22194366781023692</v>
      </c>
      <c r="E164" s="134">
        <v>0.22329497341055582</v>
      </c>
      <c r="F164" s="134">
        <v>0.23944917750286415</v>
      </c>
      <c r="G164" s="134">
        <v>0.24307077506104821</v>
      </c>
      <c r="H164" s="134">
        <v>0.24486567125737835</v>
      </c>
      <c r="I164" s="134">
        <v>0.24849092117048877</v>
      </c>
      <c r="J164" s="134">
        <v>0.24082669483559771</v>
      </c>
      <c r="K164" s="134">
        <v>0.21557558677259814</v>
      </c>
      <c r="L164" s="134">
        <v>0.22500926269349592</v>
      </c>
      <c r="M164" s="134">
        <v>0.22813202620189874</v>
      </c>
      <c r="N164" s="134">
        <v>0.21625336056672062</v>
      </c>
      <c r="O164" s="134">
        <v>0.21976935851435153</v>
      </c>
      <c r="P164" s="134">
        <v>0.21617699361997894</v>
      </c>
      <c r="Q164" s="134">
        <v>0.20893201052289975</v>
      </c>
    </row>
    <row r="165" spans="1:17" ht="11.5" customHeight="1">
      <c r="A165" s="139" t="s">
        <v>175</v>
      </c>
      <c r="B165" s="140">
        <v>0.15191644898165868</v>
      </c>
      <c r="C165" s="140">
        <v>0.15087004939929363</v>
      </c>
      <c r="D165" s="140">
        <v>0.15030296907585169</v>
      </c>
      <c r="E165" s="140">
        <v>0.15119697036474455</v>
      </c>
      <c r="F165" s="140">
        <v>0.15805635621530506</v>
      </c>
      <c r="G165" s="140">
        <v>0.15866473028162947</v>
      </c>
      <c r="H165" s="140">
        <v>0.15909685499837015</v>
      </c>
      <c r="I165" s="140">
        <v>0.16225714320879095</v>
      </c>
      <c r="J165" s="140">
        <v>0.15468159293319256</v>
      </c>
      <c r="K165" s="140">
        <v>0.13644880913933841</v>
      </c>
      <c r="L165" s="140">
        <v>0.14424415971999227</v>
      </c>
      <c r="M165" s="140">
        <v>0.15052423860775019</v>
      </c>
      <c r="N165" s="140">
        <v>0.1395154139057411</v>
      </c>
      <c r="O165" s="140">
        <v>0.13885847566007967</v>
      </c>
      <c r="P165" s="140">
        <v>0.13541637689844493</v>
      </c>
      <c r="Q165" s="140">
        <v>0.12727439876967375</v>
      </c>
    </row>
    <row r="166" spans="1:17" ht="11.5" customHeight="1">
      <c r="A166" s="137" t="s">
        <v>176</v>
      </c>
      <c r="B166" s="138">
        <v>7.0047507878835305E-2</v>
      </c>
      <c r="C166" s="138">
        <v>7.0055058215963195E-2</v>
      </c>
      <c r="D166" s="138">
        <v>7.164069873438518E-2</v>
      </c>
      <c r="E166" s="138">
        <v>7.2098003045811279E-2</v>
      </c>
      <c r="F166" s="138">
        <v>8.1392821287559133E-2</v>
      </c>
      <c r="G166" s="138">
        <v>8.4406044779418724E-2</v>
      </c>
      <c r="H166" s="138">
        <v>8.5768816259008229E-2</v>
      </c>
      <c r="I166" s="138">
        <v>8.6233777961697816E-2</v>
      </c>
      <c r="J166" s="138">
        <v>8.614510190240518E-2</v>
      </c>
      <c r="K166" s="138">
        <v>7.9126777633259746E-2</v>
      </c>
      <c r="L166" s="138">
        <v>8.0765102973503616E-2</v>
      </c>
      <c r="M166" s="138">
        <v>7.7607787594148547E-2</v>
      </c>
      <c r="N166" s="138">
        <v>7.6737946660979536E-2</v>
      </c>
      <c r="O166" s="138">
        <v>8.0910882854271851E-2</v>
      </c>
      <c r="P166" s="138">
        <v>8.076061672153402E-2</v>
      </c>
      <c r="Q166" s="138">
        <v>8.1657611753225987E-2</v>
      </c>
    </row>
  </sheetData>
  <pageMargins left="0.39370078740157483" right="0.39370078740157483" top="0.39370078740157483" bottom="0.39370078740157483" header="0.31496062992125984" footer="0.31496062992125984"/>
  <pageSetup paperSize="9" scale="42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273"/>
  <sheetViews>
    <sheetView showGridLines="0" zoomScale="120" zoomScaleNormal="120" workbookViewId="0">
      <pane xSplit="1" ySplit="1" topLeftCell="I2" activePane="bottomRight" state="frozen"/>
      <selection activeCell="D1" sqref="D1"/>
      <selection pane="topRight" activeCell="D1" sqref="D1"/>
      <selection pane="bottomLeft" activeCell="D1" sqref="D1"/>
      <selection pane="bottomRight" activeCell="T23" sqref="T23"/>
    </sheetView>
  </sheetViews>
  <sheetFormatPr baseColWidth="10" defaultColWidth="11.5" defaultRowHeight="11.5" customHeight="1"/>
  <cols>
    <col min="1" max="1" width="50.6640625" style="93" customWidth="1"/>
    <col min="2" max="17" width="10.6640625" style="108" customWidth="1"/>
    <col min="18" max="16384" width="11.5" style="93"/>
  </cols>
  <sheetData>
    <row r="1" spans="1:17" ht="13.5" customHeight="1">
      <c r="A1" s="91" t="s">
        <v>160</v>
      </c>
      <c r="B1" s="92">
        <v>2000</v>
      </c>
      <c r="C1" s="92">
        <v>2001</v>
      </c>
      <c r="D1" s="92">
        <v>2002</v>
      </c>
      <c r="E1" s="92">
        <v>2003</v>
      </c>
      <c r="F1" s="92">
        <v>2004</v>
      </c>
      <c r="G1" s="92">
        <v>2005</v>
      </c>
      <c r="H1" s="92">
        <v>2006</v>
      </c>
      <c r="I1" s="92">
        <v>2007</v>
      </c>
      <c r="J1" s="92">
        <v>2008</v>
      </c>
      <c r="K1" s="92">
        <v>2009</v>
      </c>
      <c r="L1" s="92">
        <v>2010</v>
      </c>
      <c r="M1" s="92">
        <v>2011</v>
      </c>
      <c r="N1" s="92">
        <v>2012</v>
      </c>
      <c r="O1" s="92">
        <v>2013</v>
      </c>
      <c r="P1" s="92">
        <v>2014</v>
      </c>
      <c r="Q1" s="92">
        <v>2015</v>
      </c>
    </row>
    <row r="2" spans="1:17" ht="11.5" customHeight="1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1:17" ht="11.5" customHeight="1">
      <c r="A3" s="96" t="s">
        <v>161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1.5" customHeight="1">
      <c r="A4" s="98" t="s">
        <v>162</v>
      </c>
      <c r="B4" s="99">
        <v>754830.97221352195</v>
      </c>
      <c r="C4" s="99">
        <v>778974.14339342783</v>
      </c>
      <c r="D4" s="99">
        <v>785611.1371100907</v>
      </c>
      <c r="E4" s="99">
        <v>787647.61605215317</v>
      </c>
      <c r="F4" s="99">
        <v>786208.78341695783</v>
      </c>
      <c r="G4" s="99">
        <v>776497.9065828952</v>
      </c>
      <c r="H4" s="99">
        <v>775170.73204765143</v>
      </c>
      <c r="I4" s="99">
        <v>782522.04825112957</v>
      </c>
      <c r="J4" s="99">
        <v>770034.70364890888</v>
      </c>
      <c r="K4" s="99">
        <v>771612.65641455085</v>
      </c>
      <c r="L4" s="99">
        <v>780081.99562983424</v>
      </c>
      <c r="M4" s="99">
        <v>781793.33993510692</v>
      </c>
      <c r="N4" s="99">
        <v>783311.12452906661</v>
      </c>
      <c r="O4" s="99">
        <v>786026.2449634053</v>
      </c>
      <c r="P4" s="99">
        <v>794743.23530465132</v>
      </c>
      <c r="Q4" s="99">
        <v>813055.7227663477</v>
      </c>
    </row>
    <row r="5" spans="1:17" ht="11.5" customHeight="1">
      <c r="A5" s="100" t="s">
        <v>163</v>
      </c>
      <c r="B5" s="101">
        <v>11319.357362848938</v>
      </c>
      <c r="C5" s="101">
        <v>12425.901446356027</v>
      </c>
      <c r="D5" s="101">
        <v>13825.229743463362</v>
      </c>
      <c r="E5" s="101">
        <v>13921.032319330501</v>
      </c>
      <c r="F5" s="101">
        <v>14912.972011849432</v>
      </c>
      <c r="G5" s="101">
        <v>15416.421060609986</v>
      </c>
      <c r="H5" s="101">
        <v>15496.018112748927</v>
      </c>
      <c r="I5" s="101">
        <v>16025.851870279777</v>
      </c>
      <c r="J5" s="101">
        <v>17080.422503255377</v>
      </c>
      <c r="K5" s="101">
        <v>17612.708206303781</v>
      </c>
      <c r="L5" s="101">
        <v>17582.449724220456</v>
      </c>
      <c r="M5" s="101">
        <v>17785.477219573506</v>
      </c>
      <c r="N5" s="101">
        <v>17963.393136165407</v>
      </c>
      <c r="O5" s="101">
        <v>18175.281600516832</v>
      </c>
      <c r="P5" s="101">
        <v>18563.338128025018</v>
      </c>
      <c r="Q5" s="101">
        <v>18624.080956003701</v>
      </c>
    </row>
    <row r="6" spans="1:17" ht="11.5" customHeight="1">
      <c r="A6" s="102" t="s">
        <v>164</v>
      </c>
      <c r="B6" s="103">
        <v>687735.73412192496</v>
      </c>
      <c r="C6" s="103">
        <v>712217.25815796701</v>
      </c>
      <c r="D6" s="103">
        <v>716879.48383462685</v>
      </c>
      <c r="E6" s="103">
        <v>718296.14938665158</v>
      </c>
      <c r="F6" s="103">
        <v>714966.23674957908</v>
      </c>
      <c r="G6" s="103">
        <v>704615.55371355591</v>
      </c>
      <c r="H6" s="103">
        <v>700914.18436866568</v>
      </c>
      <c r="I6" s="103">
        <v>705349.74950007361</v>
      </c>
      <c r="J6" s="103">
        <v>689666.31518929906</v>
      </c>
      <c r="K6" s="103">
        <v>690130.45232984959</v>
      </c>
      <c r="L6" s="103">
        <v>695871.29702480964</v>
      </c>
      <c r="M6" s="103">
        <v>695894.68592518219</v>
      </c>
      <c r="N6" s="103">
        <v>696734.62707617623</v>
      </c>
      <c r="O6" s="103">
        <v>699016.31315244513</v>
      </c>
      <c r="P6" s="103">
        <v>706944.01297852595</v>
      </c>
      <c r="Q6" s="103">
        <v>724102.94215616339</v>
      </c>
    </row>
    <row r="7" spans="1:17" ht="11.5" customHeight="1">
      <c r="A7" s="104" t="s">
        <v>165</v>
      </c>
      <c r="B7" s="105">
        <v>330730.27021812525</v>
      </c>
      <c r="C7" s="105">
        <v>324970.64745649236</v>
      </c>
      <c r="D7" s="105">
        <v>316270.99679635308</v>
      </c>
      <c r="E7" s="105">
        <v>299989.29248820402</v>
      </c>
      <c r="F7" s="105">
        <v>285094.29345436132</v>
      </c>
      <c r="G7" s="105">
        <v>267966.27866769402</v>
      </c>
      <c r="H7" s="105">
        <v>246397.29617125305</v>
      </c>
      <c r="I7" s="105">
        <v>229927.85025791495</v>
      </c>
      <c r="J7" s="105">
        <v>204071.16759606652</v>
      </c>
      <c r="K7" s="105">
        <v>192333.94716234639</v>
      </c>
      <c r="L7" s="105">
        <v>183552.32593139505</v>
      </c>
      <c r="M7" s="105">
        <v>175785.12776014302</v>
      </c>
      <c r="N7" s="105">
        <v>163597.07601562582</v>
      </c>
      <c r="O7" s="105">
        <v>161371.68397174546</v>
      </c>
      <c r="P7" s="105">
        <v>164842.09473693115</v>
      </c>
      <c r="Q7" s="105">
        <v>170805.78813484419</v>
      </c>
    </row>
    <row r="8" spans="1:17" ht="11.5" customHeight="1">
      <c r="A8" s="104" t="s">
        <v>166</v>
      </c>
      <c r="B8" s="105">
        <v>351521.44209462212</v>
      </c>
      <c r="C8" s="105">
        <v>382020.13716133486</v>
      </c>
      <c r="D8" s="105">
        <v>396004.68620998459</v>
      </c>
      <c r="E8" s="105">
        <v>414307.70292531903</v>
      </c>
      <c r="F8" s="105">
        <v>426317.45692008082</v>
      </c>
      <c r="G8" s="105">
        <v>433465.20492962323</v>
      </c>
      <c r="H8" s="105">
        <v>451687.32431925647</v>
      </c>
      <c r="I8" s="105">
        <v>472836.72258533171</v>
      </c>
      <c r="J8" s="105">
        <v>483206.245590623</v>
      </c>
      <c r="K8" s="105">
        <v>495842.78452498914</v>
      </c>
      <c r="L8" s="105">
        <v>509384.05905151874</v>
      </c>
      <c r="M8" s="105">
        <v>516918.0443603514</v>
      </c>
      <c r="N8" s="105">
        <v>530189.37829452637</v>
      </c>
      <c r="O8" s="105">
        <v>534778.07357152645</v>
      </c>
      <c r="P8" s="105">
        <v>539300.59439416416</v>
      </c>
      <c r="Q8" s="105">
        <v>550288.28580425249</v>
      </c>
    </row>
    <row r="9" spans="1:17" ht="11.5" customHeight="1">
      <c r="A9" s="104" t="s">
        <v>167</v>
      </c>
      <c r="B9" s="105">
        <v>5484.0218091775832</v>
      </c>
      <c r="C9" s="105">
        <v>5226.473540139772</v>
      </c>
      <c r="D9" s="105">
        <v>4603.8008282892815</v>
      </c>
      <c r="E9" s="105">
        <v>3999.1539731285461</v>
      </c>
      <c r="F9" s="105">
        <v>3554.4863751368334</v>
      </c>
      <c r="G9" s="105">
        <v>3184.0701162386763</v>
      </c>
      <c r="H9" s="105">
        <v>2829.2541238523881</v>
      </c>
      <c r="I9" s="105">
        <v>2566.9885026778302</v>
      </c>
      <c r="J9" s="105">
        <v>2355.4098615457306</v>
      </c>
      <c r="K9" s="105">
        <v>1907.9916326727932</v>
      </c>
      <c r="L9" s="105">
        <v>2881.7908223018526</v>
      </c>
      <c r="M9" s="105">
        <v>3077.6609468744232</v>
      </c>
      <c r="N9" s="105">
        <v>2717.5966010954094</v>
      </c>
      <c r="O9" s="105">
        <v>2423.4492906708842</v>
      </c>
      <c r="P9" s="105">
        <v>2127.5057035655132</v>
      </c>
      <c r="Q9" s="105">
        <v>1883.6498934859535</v>
      </c>
    </row>
    <row r="10" spans="1:17" ht="11.5" customHeight="1">
      <c r="A10" s="104" t="s">
        <v>168</v>
      </c>
      <c r="B10" s="105">
        <v>0</v>
      </c>
      <c r="C10" s="105">
        <v>0</v>
      </c>
      <c r="D10" s="105">
        <v>0</v>
      </c>
      <c r="E10" s="105">
        <v>0</v>
      </c>
      <c r="F10" s="105">
        <v>0</v>
      </c>
      <c r="G10" s="105">
        <v>0</v>
      </c>
      <c r="H10" s="105">
        <v>0</v>
      </c>
      <c r="I10" s="105">
        <v>17.75242521024099</v>
      </c>
      <c r="J10" s="105">
        <v>33.001143616789392</v>
      </c>
      <c r="K10" s="105">
        <v>45.001373884283439</v>
      </c>
      <c r="L10" s="105">
        <v>49.182090527016193</v>
      </c>
      <c r="M10" s="105">
        <v>52.629504347091682</v>
      </c>
      <c r="N10" s="105">
        <v>55.667806359480132</v>
      </c>
      <c r="O10" s="105">
        <v>54.551440037785355</v>
      </c>
      <c r="P10" s="105">
        <v>56.174023674201244</v>
      </c>
      <c r="Q10" s="105">
        <v>60.678381693078855</v>
      </c>
    </row>
    <row r="11" spans="1:17" ht="11.5" customHeight="1">
      <c r="A11" s="104" t="s">
        <v>169</v>
      </c>
      <c r="B11" s="105">
        <v>0</v>
      </c>
      <c r="C11" s="105">
        <v>0</v>
      </c>
      <c r="D11" s="105">
        <v>0</v>
      </c>
      <c r="E11" s="105">
        <v>0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5">
        <v>9.6645112101806347</v>
      </c>
      <c r="P11" s="105">
        <v>41.751746714605858</v>
      </c>
      <c r="Q11" s="105">
        <v>146.01830668262676</v>
      </c>
    </row>
    <row r="12" spans="1:17" ht="11.5" customHeight="1">
      <c r="A12" s="104" t="s">
        <v>170</v>
      </c>
      <c r="B12" s="105">
        <v>0</v>
      </c>
      <c r="C12" s="105">
        <v>0</v>
      </c>
      <c r="D12" s="105">
        <v>0</v>
      </c>
      <c r="E12" s="105">
        <v>0</v>
      </c>
      <c r="F12" s="105">
        <v>0</v>
      </c>
      <c r="G12" s="105">
        <v>0</v>
      </c>
      <c r="H12" s="105">
        <v>0.30975430375704766</v>
      </c>
      <c r="I12" s="105">
        <v>0.43572893891374037</v>
      </c>
      <c r="J12" s="105">
        <v>0.49099744703434067</v>
      </c>
      <c r="K12" s="105">
        <v>0.72763595697244021</v>
      </c>
      <c r="L12" s="105">
        <v>3.9391290669852492</v>
      </c>
      <c r="M12" s="105">
        <v>61.223353466244113</v>
      </c>
      <c r="N12" s="105">
        <v>174.90835856915007</v>
      </c>
      <c r="O12" s="105">
        <v>378.89036725432663</v>
      </c>
      <c r="P12" s="105">
        <v>575.89237347624476</v>
      </c>
      <c r="Q12" s="105">
        <v>918.52163520516001</v>
      </c>
    </row>
    <row r="13" spans="1:17" ht="11.5" customHeight="1">
      <c r="A13" s="102" t="s">
        <v>171</v>
      </c>
      <c r="B13" s="103">
        <v>55775.880728748089</v>
      </c>
      <c r="C13" s="103">
        <v>54330.983789104852</v>
      </c>
      <c r="D13" s="103">
        <v>54906.423532000503</v>
      </c>
      <c r="E13" s="103">
        <v>55430.434346171045</v>
      </c>
      <c r="F13" s="103">
        <v>56329.574655529403</v>
      </c>
      <c r="G13" s="103">
        <v>56465.931808729365</v>
      </c>
      <c r="H13" s="103">
        <v>58760.529566236721</v>
      </c>
      <c r="I13" s="103">
        <v>61146.44688077618</v>
      </c>
      <c r="J13" s="103">
        <v>63287.965956354441</v>
      </c>
      <c r="K13" s="103">
        <v>63869.495878397509</v>
      </c>
      <c r="L13" s="103">
        <v>66628.248880804225</v>
      </c>
      <c r="M13" s="103">
        <v>68113.176790351295</v>
      </c>
      <c r="N13" s="103">
        <v>68613.104316724959</v>
      </c>
      <c r="O13" s="103">
        <v>68834.650210443317</v>
      </c>
      <c r="P13" s="103">
        <v>69235.884198100306</v>
      </c>
      <c r="Q13" s="103">
        <v>70328.699654180513</v>
      </c>
    </row>
    <row r="14" spans="1:17" ht="11.5" customHeight="1">
      <c r="A14" s="104" t="s">
        <v>165</v>
      </c>
      <c r="B14" s="105">
        <v>156.87127149097651</v>
      </c>
      <c r="C14" s="105">
        <v>143.13787965645619</v>
      </c>
      <c r="D14" s="105">
        <v>139.3074196720448</v>
      </c>
      <c r="E14" s="105">
        <v>130.27033850650528</v>
      </c>
      <c r="F14" s="105">
        <v>121.96990315323382</v>
      </c>
      <c r="G14" s="105">
        <v>111.39440486249234</v>
      </c>
      <c r="H14" s="105">
        <v>104.17992569487852</v>
      </c>
      <c r="I14" s="105">
        <v>96.262943581794687</v>
      </c>
      <c r="J14" s="105">
        <v>90.700664440639358</v>
      </c>
      <c r="K14" s="105">
        <v>83.833322273699324</v>
      </c>
      <c r="L14" s="105">
        <v>80.06196557597724</v>
      </c>
      <c r="M14" s="105">
        <v>69.925462839029365</v>
      </c>
      <c r="N14" s="105">
        <v>60.094824052743846</v>
      </c>
      <c r="O14" s="105">
        <v>48.748300999380717</v>
      </c>
      <c r="P14" s="105">
        <v>39.993593654133512</v>
      </c>
      <c r="Q14" s="105">
        <v>33.027768351983717</v>
      </c>
    </row>
    <row r="15" spans="1:17" ht="11.5" customHeight="1">
      <c r="A15" s="104" t="s">
        <v>166</v>
      </c>
      <c r="B15" s="105">
        <v>55353.322760704308</v>
      </c>
      <c r="C15" s="105">
        <v>52968.214616082892</v>
      </c>
      <c r="D15" s="105">
        <v>53330.292358851446</v>
      </c>
      <c r="E15" s="105">
        <v>53406.959409765906</v>
      </c>
      <c r="F15" s="105">
        <v>54116.174207737778</v>
      </c>
      <c r="G15" s="105">
        <v>54193.412755014615</v>
      </c>
      <c r="H15" s="105">
        <v>55918.706122900694</v>
      </c>
      <c r="I15" s="105">
        <v>58046.43438251398</v>
      </c>
      <c r="J15" s="105">
        <v>59498.254621878194</v>
      </c>
      <c r="K15" s="105">
        <v>59949.220921136883</v>
      </c>
      <c r="L15" s="105">
        <v>62466.081739356843</v>
      </c>
      <c r="M15" s="105">
        <v>63887.910440731714</v>
      </c>
      <c r="N15" s="105">
        <v>64354.449575572893</v>
      </c>
      <c r="O15" s="105">
        <v>64601.195010960524</v>
      </c>
      <c r="P15" s="105">
        <v>63401.02790754434</v>
      </c>
      <c r="Q15" s="105">
        <v>64538.043601553261</v>
      </c>
    </row>
    <row r="16" spans="1:17" ht="11.5" customHeight="1">
      <c r="A16" s="104" t="s">
        <v>167</v>
      </c>
      <c r="B16" s="105">
        <v>64.280368909369983</v>
      </c>
      <c r="C16" s="105">
        <v>72.825254210877787</v>
      </c>
      <c r="D16" s="105">
        <v>73.620930407140733</v>
      </c>
      <c r="E16" s="105">
        <v>77.232379548421534</v>
      </c>
      <c r="F16" s="105">
        <v>79.772347014735075</v>
      </c>
      <c r="G16" s="105">
        <v>79.790618690320059</v>
      </c>
      <c r="H16" s="105">
        <v>65.725722471284243</v>
      </c>
      <c r="I16" s="105">
        <v>79.243582013685725</v>
      </c>
      <c r="J16" s="105">
        <v>79.390890675890574</v>
      </c>
      <c r="K16" s="105">
        <v>79.153986593704388</v>
      </c>
      <c r="L16" s="105">
        <v>81.607482560875397</v>
      </c>
      <c r="M16" s="105">
        <v>77.204224007474309</v>
      </c>
      <c r="N16" s="105">
        <v>72.553059415264869</v>
      </c>
      <c r="O16" s="105">
        <v>69.204360647456866</v>
      </c>
      <c r="P16" s="105">
        <v>66.291346822576884</v>
      </c>
      <c r="Q16" s="105">
        <v>63.977384333583828</v>
      </c>
    </row>
    <row r="17" spans="1:17" ht="11.5" customHeight="1">
      <c r="A17" s="104" t="s">
        <v>168</v>
      </c>
      <c r="B17" s="105">
        <v>71.093099048417145</v>
      </c>
      <c r="C17" s="105">
        <v>1005.5747763522894</v>
      </c>
      <c r="D17" s="105">
        <v>1205.1820226085079</v>
      </c>
      <c r="E17" s="105">
        <v>1644.9766482821101</v>
      </c>
      <c r="F17" s="105">
        <v>1831.3367457939414</v>
      </c>
      <c r="G17" s="105">
        <v>1909.0690424311392</v>
      </c>
      <c r="H17" s="105">
        <v>2504.3172525157242</v>
      </c>
      <c r="I17" s="105">
        <v>2762.9285856634119</v>
      </c>
      <c r="J17" s="105">
        <v>3459.1961290992876</v>
      </c>
      <c r="K17" s="105">
        <v>3602.6914940862339</v>
      </c>
      <c r="L17" s="105">
        <v>3846.3433298743785</v>
      </c>
      <c r="M17" s="105">
        <v>3932.2912023322169</v>
      </c>
      <c r="N17" s="105">
        <v>3961.8746096788868</v>
      </c>
      <c r="O17" s="105">
        <v>3884.2790486407416</v>
      </c>
      <c r="P17" s="105">
        <v>5464.2598838772155</v>
      </c>
      <c r="Q17" s="105">
        <v>5385.638180806086</v>
      </c>
    </row>
    <row r="18" spans="1:17" ht="11.5" customHeight="1">
      <c r="A18" s="104" t="s">
        <v>170</v>
      </c>
      <c r="B18" s="105">
        <v>130.31322859501546</v>
      </c>
      <c r="C18" s="105">
        <v>141.23126280234135</v>
      </c>
      <c r="D18" s="105">
        <v>158.02080046135887</v>
      </c>
      <c r="E18" s="105">
        <v>170.99557006810753</v>
      </c>
      <c r="F18" s="105">
        <v>180.32145182971826</v>
      </c>
      <c r="G18" s="105">
        <v>172.26498773079018</v>
      </c>
      <c r="H18" s="105">
        <v>167.60054265414365</v>
      </c>
      <c r="I18" s="105">
        <v>161.57738700330998</v>
      </c>
      <c r="J18" s="105">
        <v>160.42365026043399</v>
      </c>
      <c r="K18" s="105">
        <v>154.59615430699537</v>
      </c>
      <c r="L18" s="105">
        <v>154.1543634361492</v>
      </c>
      <c r="M18" s="105">
        <v>145.84546044085977</v>
      </c>
      <c r="N18" s="105">
        <v>164.13224800516699</v>
      </c>
      <c r="O18" s="105">
        <v>231.22348919520488</v>
      </c>
      <c r="P18" s="105">
        <v>264.31146620204669</v>
      </c>
      <c r="Q18" s="105">
        <v>308.01271913560595</v>
      </c>
    </row>
    <row r="19" spans="1:17" ht="11.5" customHeight="1">
      <c r="A19" s="98" t="s">
        <v>172</v>
      </c>
      <c r="B19" s="99">
        <v>269271.10325643921</v>
      </c>
      <c r="C19" s="99">
        <v>281082.87775632471</v>
      </c>
      <c r="D19" s="99">
        <v>288001.74186257715</v>
      </c>
      <c r="E19" s="99">
        <v>291191.67323657294</v>
      </c>
      <c r="F19" s="99">
        <v>314733.71966364275</v>
      </c>
      <c r="G19" s="99">
        <v>316847.09787343803</v>
      </c>
      <c r="H19" s="99">
        <v>326586.10670206411</v>
      </c>
      <c r="I19" s="99">
        <v>338248.90156717284</v>
      </c>
      <c r="J19" s="99">
        <v>324424.2157039647</v>
      </c>
      <c r="K19" s="99">
        <v>285658.77860037051</v>
      </c>
      <c r="L19" s="99">
        <v>300094.05188528274</v>
      </c>
      <c r="M19" s="99">
        <v>298789.41600117291</v>
      </c>
      <c r="N19" s="99">
        <v>284863.02331379754</v>
      </c>
      <c r="O19" s="99">
        <v>290069.08265957434</v>
      </c>
      <c r="P19" s="99">
        <v>286875.13516842324</v>
      </c>
      <c r="Q19" s="99">
        <v>278384.49025953072</v>
      </c>
    </row>
    <row r="20" spans="1:17" ht="11.5" customHeight="1">
      <c r="A20" s="100" t="s">
        <v>173</v>
      </c>
      <c r="B20" s="101">
        <v>19765.66181262409</v>
      </c>
      <c r="C20" s="101">
        <v>20652.214463198834</v>
      </c>
      <c r="D20" s="101">
        <v>21247.316999721166</v>
      </c>
      <c r="E20" s="101">
        <v>21777.126359955055</v>
      </c>
      <c r="F20" s="101">
        <v>22010.315394299421</v>
      </c>
      <c r="G20" s="101">
        <v>22309.287153551093</v>
      </c>
      <c r="H20" s="101">
        <v>22655.539836163243</v>
      </c>
      <c r="I20" s="101">
        <v>22921.685807052876</v>
      </c>
      <c r="J20" s="101">
        <v>22997.535969723453</v>
      </c>
      <c r="K20" s="101">
        <v>23910.194710622873</v>
      </c>
      <c r="L20" s="101">
        <v>24964.049181858107</v>
      </c>
      <c r="M20" s="101">
        <v>25412.375896937363</v>
      </c>
      <c r="N20" s="101">
        <v>25805.770880138069</v>
      </c>
      <c r="O20" s="101">
        <v>26353.938186569823</v>
      </c>
      <c r="P20" s="101">
        <v>27073.715346225774</v>
      </c>
      <c r="Q20" s="101">
        <v>27853.903268467242</v>
      </c>
    </row>
    <row r="21" spans="1:17" ht="11.5" customHeight="1">
      <c r="A21" s="104" t="s">
        <v>165</v>
      </c>
      <c r="B21" s="105">
        <v>2203.3719353678921</v>
      </c>
      <c r="C21" s="105">
        <v>1894.077412987175</v>
      </c>
      <c r="D21" s="105">
        <v>1609.7793415474646</v>
      </c>
      <c r="E21" s="105">
        <v>1312.2630601161338</v>
      </c>
      <c r="F21" s="105">
        <v>1051.6847965173808</v>
      </c>
      <c r="G21" s="105">
        <v>893.02283065579491</v>
      </c>
      <c r="H21" s="105">
        <v>770.17148204047317</v>
      </c>
      <c r="I21" s="105">
        <v>678.58362140846884</v>
      </c>
      <c r="J21" s="105">
        <v>620.74000798206566</v>
      </c>
      <c r="K21" s="105">
        <v>578.48782473354163</v>
      </c>
      <c r="L21" s="105">
        <v>547.6904811041187</v>
      </c>
      <c r="M21" s="105">
        <v>522.40906863759528</v>
      </c>
      <c r="N21" s="105">
        <v>496.26864118289285</v>
      </c>
      <c r="O21" s="105">
        <v>478.28988473044512</v>
      </c>
      <c r="P21" s="105">
        <v>427.9872090673822</v>
      </c>
      <c r="Q21" s="105">
        <v>389.6891485327701</v>
      </c>
    </row>
    <row r="22" spans="1:17" ht="11.5" customHeight="1">
      <c r="A22" s="104" t="s">
        <v>166</v>
      </c>
      <c r="B22" s="105">
        <v>17522.245538344134</v>
      </c>
      <c r="C22" s="105">
        <v>18713.543199360367</v>
      </c>
      <c r="D22" s="105">
        <v>19590.457857962621</v>
      </c>
      <c r="E22" s="105">
        <v>20415.777272020299</v>
      </c>
      <c r="F22" s="105">
        <v>20907.907068154484</v>
      </c>
      <c r="G22" s="105">
        <v>21363.670731505736</v>
      </c>
      <c r="H22" s="105">
        <v>21828.080182266087</v>
      </c>
      <c r="I22" s="105">
        <v>22193.873932673709</v>
      </c>
      <c r="J22" s="105">
        <v>22330.165214665885</v>
      </c>
      <c r="K22" s="105">
        <v>23285.039654287815</v>
      </c>
      <c r="L22" s="105">
        <v>24371.746665434679</v>
      </c>
      <c r="M22" s="105">
        <v>24845.938911460304</v>
      </c>
      <c r="N22" s="105">
        <v>25260.4069673784</v>
      </c>
      <c r="O22" s="105">
        <v>25818.504428674096</v>
      </c>
      <c r="P22" s="105">
        <v>26583.127150176002</v>
      </c>
      <c r="Q22" s="105">
        <v>27395.232747157188</v>
      </c>
    </row>
    <row r="23" spans="1:17" ht="11.5" customHeight="1">
      <c r="A23" s="104" t="s">
        <v>167</v>
      </c>
      <c r="B23" s="105">
        <v>32.349463046824908</v>
      </c>
      <c r="C23" s="105">
        <v>35.661221337716022</v>
      </c>
      <c r="D23" s="105">
        <v>37.542151210590568</v>
      </c>
      <c r="E23" s="105">
        <v>38.891011134799115</v>
      </c>
      <c r="F23" s="105">
        <v>40.145309853342319</v>
      </c>
      <c r="G23" s="105">
        <v>42.145040246573714</v>
      </c>
      <c r="H23" s="105">
        <v>46.045166183323254</v>
      </c>
      <c r="I23" s="105">
        <v>37.584177274711877</v>
      </c>
      <c r="J23" s="105">
        <v>35.850471163525782</v>
      </c>
      <c r="K23" s="105">
        <v>34.888171497518726</v>
      </c>
      <c r="L23" s="105">
        <v>33.71322552662248</v>
      </c>
      <c r="M23" s="105">
        <v>31.975859729775934</v>
      </c>
      <c r="N23" s="105">
        <v>29.875771010687053</v>
      </c>
      <c r="O23" s="105">
        <v>27.802153461586339</v>
      </c>
      <c r="P23" s="105">
        <v>25.363041739017941</v>
      </c>
      <c r="Q23" s="105">
        <v>23.114410419096895</v>
      </c>
    </row>
    <row r="24" spans="1:17" ht="11.5" customHeight="1">
      <c r="A24" s="104" t="s">
        <v>168</v>
      </c>
      <c r="B24" s="105">
        <v>0.50588737109881543</v>
      </c>
      <c r="C24" s="105">
        <v>0.47624185908105432</v>
      </c>
      <c r="D24" s="105">
        <v>0.49705665526543719</v>
      </c>
      <c r="E24" s="105">
        <v>0.81581998379161325</v>
      </c>
      <c r="F24" s="105">
        <v>0.78343310896989382</v>
      </c>
      <c r="G24" s="105">
        <v>0.76136111850407451</v>
      </c>
      <c r="H24" s="105">
        <v>1.5835032091042784</v>
      </c>
      <c r="I24" s="105">
        <v>1.5048061879409917</v>
      </c>
      <c r="J24" s="105">
        <v>1.55369003141795</v>
      </c>
      <c r="K24" s="105">
        <v>1.9875187911753667</v>
      </c>
      <c r="L24" s="105">
        <v>1.9950555993471524</v>
      </c>
      <c r="M24" s="105">
        <v>2.4769805519457968</v>
      </c>
      <c r="N24" s="105">
        <v>3.4987151339537932</v>
      </c>
      <c r="O24" s="105">
        <v>4.618171528906041</v>
      </c>
      <c r="P24" s="105">
        <v>5.6998482310341183</v>
      </c>
      <c r="Q24" s="105">
        <v>6.5254780685882876</v>
      </c>
    </row>
    <row r="25" spans="1:17" ht="11.5" customHeight="1">
      <c r="A25" s="104" t="s">
        <v>170</v>
      </c>
      <c r="B25" s="105">
        <v>7.1889884941365025</v>
      </c>
      <c r="C25" s="105">
        <v>8.456387654495229</v>
      </c>
      <c r="D25" s="105">
        <v>9.0405923452217536</v>
      </c>
      <c r="E25" s="105">
        <v>9.3791967000311729</v>
      </c>
      <c r="F25" s="105">
        <v>9.7947866652456774</v>
      </c>
      <c r="G25" s="105">
        <v>9.6871900244850337</v>
      </c>
      <c r="H25" s="105">
        <v>9.6595024642526024</v>
      </c>
      <c r="I25" s="105">
        <v>10.139269508042617</v>
      </c>
      <c r="J25" s="105">
        <v>9.2265858805599041</v>
      </c>
      <c r="K25" s="105">
        <v>9.7915413128244566</v>
      </c>
      <c r="L25" s="105">
        <v>8.9037541933395055</v>
      </c>
      <c r="M25" s="105">
        <v>9.5750765577397647</v>
      </c>
      <c r="N25" s="105">
        <v>15.72078543212994</v>
      </c>
      <c r="O25" s="105">
        <v>24.723548174786835</v>
      </c>
      <c r="P25" s="105">
        <v>31.538097012335601</v>
      </c>
      <c r="Q25" s="105">
        <v>39.34148428959984</v>
      </c>
    </row>
    <row r="26" spans="1:17" ht="11.5" customHeight="1">
      <c r="A26" s="102" t="s">
        <v>174</v>
      </c>
      <c r="B26" s="103">
        <v>249505.44144381513</v>
      </c>
      <c r="C26" s="103">
        <v>260430.66329312589</v>
      </c>
      <c r="D26" s="103">
        <v>266754.42486285599</v>
      </c>
      <c r="E26" s="103">
        <v>269414.54687661788</v>
      </c>
      <c r="F26" s="103">
        <v>292723.40426934336</v>
      </c>
      <c r="G26" s="103">
        <v>294537.81071988691</v>
      </c>
      <c r="H26" s="103">
        <v>303930.56686590088</v>
      </c>
      <c r="I26" s="103">
        <v>315327.21576011996</v>
      </c>
      <c r="J26" s="103">
        <v>301426.67973424128</v>
      </c>
      <c r="K26" s="103">
        <v>261748.58388974765</v>
      </c>
      <c r="L26" s="103">
        <v>275130.0027034246</v>
      </c>
      <c r="M26" s="103">
        <v>273377.04010423552</v>
      </c>
      <c r="N26" s="103">
        <v>259057.25243365948</v>
      </c>
      <c r="O26" s="103">
        <v>263715.1444730045</v>
      </c>
      <c r="P26" s="103">
        <v>259801.41982219744</v>
      </c>
      <c r="Q26" s="103">
        <v>250530.58699106349</v>
      </c>
    </row>
    <row r="27" spans="1:17" ht="11.5" customHeight="1">
      <c r="A27" s="104" t="s">
        <v>175</v>
      </c>
      <c r="B27" s="105">
        <v>163163</v>
      </c>
      <c r="C27" s="105">
        <v>168572</v>
      </c>
      <c r="D27" s="105">
        <v>169742</v>
      </c>
      <c r="E27" s="105">
        <v>170896</v>
      </c>
      <c r="F27" s="105">
        <v>179183</v>
      </c>
      <c r="G27" s="105">
        <v>177331</v>
      </c>
      <c r="H27" s="105">
        <v>182753</v>
      </c>
      <c r="I27" s="105">
        <v>191388</v>
      </c>
      <c r="J27" s="105">
        <v>181879</v>
      </c>
      <c r="K27" s="105">
        <v>156021</v>
      </c>
      <c r="L27" s="105">
        <v>164325</v>
      </c>
      <c r="M27" s="105">
        <v>168242</v>
      </c>
      <c r="N27" s="105">
        <v>156449</v>
      </c>
      <c r="O27" s="105">
        <v>155712</v>
      </c>
      <c r="P27" s="105">
        <v>151112</v>
      </c>
      <c r="Q27" s="105">
        <v>141242</v>
      </c>
    </row>
    <row r="28" spans="1:17" ht="11.5" customHeight="1">
      <c r="A28" s="106" t="s">
        <v>176</v>
      </c>
      <c r="B28" s="107">
        <v>86342.441443815129</v>
      </c>
      <c r="C28" s="107">
        <v>91858.663293125894</v>
      </c>
      <c r="D28" s="107">
        <v>97012.424862855987</v>
      </c>
      <c r="E28" s="107">
        <v>98518.546876617882</v>
      </c>
      <c r="F28" s="107">
        <v>113540.40426934336</v>
      </c>
      <c r="G28" s="107">
        <v>117206.81071988691</v>
      </c>
      <c r="H28" s="107">
        <v>121177.56686590088</v>
      </c>
      <c r="I28" s="107">
        <v>123939.21576011996</v>
      </c>
      <c r="J28" s="107">
        <v>119547.67973424128</v>
      </c>
      <c r="K28" s="107">
        <v>105727.58388974765</v>
      </c>
      <c r="L28" s="107">
        <v>110805.0027034246</v>
      </c>
      <c r="M28" s="107">
        <v>105135.04010423552</v>
      </c>
      <c r="N28" s="107">
        <v>102608.25243365948</v>
      </c>
      <c r="O28" s="107">
        <v>108003.1444730045</v>
      </c>
      <c r="P28" s="107">
        <v>108689.41982219744</v>
      </c>
      <c r="Q28" s="107">
        <v>109288.58699106349</v>
      </c>
    </row>
    <row r="29" spans="1:17" ht="11.5" customHeight="1">
      <c r="A29" s="108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</row>
    <row r="30" spans="1:17" ht="11.5" customHeight="1">
      <c r="A30" s="96" t="s">
        <v>177</v>
      </c>
      <c r="B30" s="97">
        <v>476567.02882560575</v>
      </c>
      <c r="C30" s="97">
        <v>498345.17919198266</v>
      </c>
      <c r="D30" s="97">
        <v>504003.21295825171</v>
      </c>
      <c r="E30" s="97">
        <v>504898.71705008706</v>
      </c>
      <c r="F30" s="97">
        <v>507745.83689934399</v>
      </c>
      <c r="G30" s="97">
        <v>505397.27387856715</v>
      </c>
      <c r="H30" s="97">
        <v>513896.41668282915</v>
      </c>
      <c r="I30" s="97">
        <v>525158.63795093447</v>
      </c>
      <c r="J30" s="97">
        <v>524356.63693440217</v>
      </c>
      <c r="K30" s="97">
        <v>538066.66805961053</v>
      </c>
      <c r="L30" s="97">
        <v>537839.94932161958</v>
      </c>
      <c r="M30" s="97">
        <v>537868.4142808672</v>
      </c>
      <c r="N30" s="97">
        <v>550464.96074305498</v>
      </c>
      <c r="O30" s="97">
        <v>552487.99000823114</v>
      </c>
      <c r="P30" s="97">
        <v>569707.06753018638</v>
      </c>
      <c r="Q30" s="97">
        <v>588243.8521573653</v>
      </c>
    </row>
    <row r="31" spans="1:17" ht="11.5" customHeight="1">
      <c r="A31" s="98" t="s">
        <v>178</v>
      </c>
      <c r="B31" s="99">
        <v>376973.299567701</v>
      </c>
      <c r="C31" s="99">
        <v>394332.88055539317</v>
      </c>
      <c r="D31" s="99">
        <v>397309.54018709663</v>
      </c>
      <c r="E31" s="99">
        <v>396035.69417325663</v>
      </c>
      <c r="F31" s="99">
        <v>396244.51966610295</v>
      </c>
      <c r="G31" s="99">
        <v>392517.55243326223</v>
      </c>
      <c r="H31" s="99">
        <v>399178.8735074522</v>
      </c>
      <c r="I31" s="99">
        <v>408681.20261241944</v>
      </c>
      <c r="J31" s="99">
        <v>408953.78041575424</v>
      </c>
      <c r="K31" s="99">
        <v>421071.60467947117</v>
      </c>
      <c r="L31" s="99">
        <v>414849.81923206919</v>
      </c>
      <c r="M31" s="99">
        <v>412346.85250859224</v>
      </c>
      <c r="N31" s="99">
        <v>424160.20727467287</v>
      </c>
      <c r="O31" s="99">
        <v>423178.90872188431</v>
      </c>
      <c r="P31" s="99">
        <v>437319.45772534254</v>
      </c>
      <c r="Q31" s="99">
        <v>452627.95533660962</v>
      </c>
    </row>
    <row r="32" spans="1:17" ht="11.5" customHeight="1">
      <c r="A32" s="100" t="s">
        <v>163</v>
      </c>
      <c r="B32" s="101">
        <v>9800.7568577540969</v>
      </c>
      <c r="C32" s="101">
        <v>10759.053785945445</v>
      </c>
      <c r="D32" s="101">
        <v>11972.752414596795</v>
      </c>
      <c r="E32" s="101">
        <v>12007.178992436851</v>
      </c>
      <c r="F32" s="101">
        <v>12820.638752390581</v>
      </c>
      <c r="G32" s="101">
        <v>13181.525198208627</v>
      </c>
      <c r="H32" s="101">
        <v>13246.737497712062</v>
      </c>
      <c r="I32" s="101">
        <v>13770.325744143469</v>
      </c>
      <c r="J32" s="101">
        <v>14587.470000000001</v>
      </c>
      <c r="K32" s="101">
        <v>15170.62</v>
      </c>
      <c r="L32" s="101">
        <v>15170.62</v>
      </c>
      <c r="M32" s="101">
        <v>15185.880000000001</v>
      </c>
      <c r="N32" s="101">
        <v>15325.2</v>
      </c>
      <c r="O32" s="101">
        <v>15603.840000000002</v>
      </c>
      <c r="P32" s="101">
        <v>16021.8</v>
      </c>
      <c r="Q32" s="101">
        <v>16161.119999999999</v>
      </c>
    </row>
    <row r="33" spans="1:17" ht="11.5" customHeight="1">
      <c r="A33" s="102" t="s">
        <v>164</v>
      </c>
      <c r="B33" s="103">
        <v>364333.42458758556</v>
      </c>
      <c r="C33" s="103">
        <v>380725.10576154059</v>
      </c>
      <c r="D33" s="103">
        <v>382463.31036071281</v>
      </c>
      <c r="E33" s="103">
        <v>381127.75501477491</v>
      </c>
      <c r="F33" s="103">
        <v>380414.63911519008</v>
      </c>
      <c r="G33" s="103">
        <v>376205.74029583251</v>
      </c>
      <c r="H33" s="103">
        <v>382660.88945566129</v>
      </c>
      <c r="I33" s="103">
        <v>391480.16246852814</v>
      </c>
      <c r="J33" s="103">
        <v>390894.54892430449</v>
      </c>
      <c r="K33" s="103">
        <v>402450.0605007846</v>
      </c>
      <c r="L33" s="103">
        <v>396282.19923206919</v>
      </c>
      <c r="M33" s="103">
        <v>393703.17000785394</v>
      </c>
      <c r="N33" s="103">
        <v>405395.65995427017</v>
      </c>
      <c r="O33" s="103">
        <v>404014.06872188428</v>
      </c>
      <c r="P33" s="103">
        <v>417674.65772534255</v>
      </c>
      <c r="Q33" s="103">
        <v>432788.83533660963</v>
      </c>
    </row>
    <row r="34" spans="1:17" ht="11.5" customHeight="1">
      <c r="A34" s="104" t="s">
        <v>165</v>
      </c>
      <c r="B34" s="105">
        <v>178689.29906090442</v>
      </c>
      <c r="C34" s="105">
        <v>177347.57133734069</v>
      </c>
      <c r="D34" s="105">
        <v>172370.52429336499</v>
      </c>
      <c r="E34" s="105">
        <v>162762.1143343494</v>
      </c>
      <c r="F34" s="105">
        <v>155230.1676351052</v>
      </c>
      <c r="G34" s="105">
        <v>146519.05800030957</v>
      </c>
      <c r="H34" s="105">
        <v>137920.20254607892</v>
      </c>
      <c r="I34" s="105">
        <v>130973.84031810379</v>
      </c>
      <c r="J34" s="105">
        <v>118852.80367236794</v>
      </c>
      <c r="K34" s="105">
        <v>115332.24062852403</v>
      </c>
      <c r="L34" s="105">
        <v>107542.53253868486</v>
      </c>
      <c r="M34" s="105">
        <v>102361.06189568561</v>
      </c>
      <c r="N34" s="105">
        <v>98044.05788805912</v>
      </c>
      <c r="O34" s="105">
        <v>96079.477888521622</v>
      </c>
      <c r="P34" s="105">
        <v>100315.56735134036</v>
      </c>
      <c r="Q34" s="105">
        <v>105137.95465312831</v>
      </c>
    </row>
    <row r="35" spans="1:17" ht="11.5" customHeight="1">
      <c r="A35" s="104" t="s">
        <v>166</v>
      </c>
      <c r="B35" s="105">
        <v>182649.07009561628</v>
      </c>
      <c r="C35" s="105">
        <v>200497.24556449716</v>
      </c>
      <c r="D35" s="105">
        <v>207560.64194680043</v>
      </c>
      <c r="E35" s="105">
        <v>216178.06327250472</v>
      </c>
      <c r="F35" s="105">
        <v>223234.73100524361</v>
      </c>
      <c r="G35" s="105">
        <v>227934.07715653841</v>
      </c>
      <c r="H35" s="105">
        <v>243148.10897600901</v>
      </c>
      <c r="I35" s="105">
        <v>259027.11353304013</v>
      </c>
      <c r="J35" s="105">
        <v>270645.84578200954</v>
      </c>
      <c r="K35" s="105">
        <v>285943.23577456473</v>
      </c>
      <c r="L35" s="105">
        <v>287016.43239137897</v>
      </c>
      <c r="M35" s="105">
        <v>289477.88503583497</v>
      </c>
      <c r="N35" s="105">
        <v>305574.99131846312</v>
      </c>
      <c r="O35" s="105">
        <v>306208.99243603391</v>
      </c>
      <c r="P35" s="105">
        <v>315625.55029386334</v>
      </c>
      <c r="Q35" s="105">
        <v>325752.87172757246</v>
      </c>
    </row>
    <row r="36" spans="1:17" ht="11.5" customHeight="1">
      <c r="A36" s="104" t="s">
        <v>167</v>
      </c>
      <c r="B36" s="105">
        <v>2995.0554310648645</v>
      </c>
      <c r="C36" s="105">
        <v>2880.2888597027372</v>
      </c>
      <c r="D36" s="105">
        <v>2532.144120547388</v>
      </c>
      <c r="E36" s="105">
        <v>2187.577407920799</v>
      </c>
      <c r="F36" s="105">
        <v>1949.7404748412794</v>
      </c>
      <c r="G36" s="105">
        <v>1752.6051389845368</v>
      </c>
      <c r="H36" s="105">
        <v>1592.390034747018</v>
      </c>
      <c r="I36" s="105">
        <v>1468.7823080814962</v>
      </c>
      <c r="J36" s="105">
        <v>1376.3071127383921</v>
      </c>
      <c r="K36" s="105">
        <v>1147.0584202212262</v>
      </c>
      <c r="L36" s="105">
        <v>1691.8675505455813</v>
      </c>
      <c r="M36" s="105">
        <v>1795.0412412729449</v>
      </c>
      <c r="N36" s="105">
        <v>1630.1401955485101</v>
      </c>
      <c r="O36" s="105">
        <v>1444.0139205322278</v>
      </c>
      <c r="P36" s="105">
        <v>1295.8421533962801</v>
      </c>
      <c r="Q36" s="105">
        <v>1160.6577823481689</v>
      </c>
    </row>
    <row r="37" spans="1:17" ht="11.5" customHeight="1">
      <c r="A37" s="104" t="s">
        <v>168</v>
      </c>
      <c r="B37" s="105">
        <v>0</v>
      </c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10.157602204739744</v>
      </c>
      <c r="J37" s="105">
        <v>19.28314448784802</v>
      </c>
      <c r="K37" s="105">
        <v>27.054209227941215</v>
      </c>
      <c r="L37" s="105">
        <v>28.87426193001393</v>
      </c>
      <c r="M37" s="105">
        <v>30.696081355786205</v>
      </c>
      <c r="N37" s="105">
        <v>33.392126229485818</v>
      </c>
      <c r="O37" s="105">
        <v>32.504512928279347</v>
      </c>
      <c r="P37" s="105">
        <v>34.215028275090603</v>
      </c>
      <c r="Q37" s="105">
        <v>37.38849569440427</v>
      </c>
    </row>
    <row r="38" spans="1:17" ht="11.5" customHeight="1">
      <c r="A38" s="104" t="s">
        <v>169</v>
      </c>
      <c r="B38" s="105">
        <v>0</v>
      </c>
      <c r="C38" s="105">
        <v>0</v>
      </c>
      <c r="D38" s="105">
        <v>0</v>
      </c>
      <c r="E38" s="105">
        <v>0</v>
      </c>
      <c r="F38" s="105">
        <v>0</v>
      </c>
      <c r="G38" s="105">
        <v>0</v>
      </c>
      <c r="H38" s="105">
        <v>0</v>
      </c>
      <c r="I38" s="105">
        <v>0</v>
      </c>
      <c r="J38" s="105">
        <v>0</v>
      </c>
      <c r="K38" s="105">
        <v>0</v>
      </c>
      <c r="L38" s="105">
        <v>0</v>
      </c>
      <c r="M38" s="105">
        <v>0</v>
      </c>
      <c r="N38" s="105">
        <v>0</v>
      </c>
      <c r="O38" s="105">
        <v>5.7586056272616482</v>
      </c>
      <c r="P38" s="105">
        <v>25.430565605552975</v>
      </c>
      <c r="Q38" s="105">
        <v>89.972815331861554</v>
      </c>
    </row>
    <row r="39" spans="1:17" ht="11.5" customHeight="1">
      <c r="A39" s="104" t="s">
        <v>170</v>
      </c>
      <c r="B39" s="105">
        <v>0</v>
      </c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0.1878988264053961</v>
      </c>
      <c r="I39" s="105">
        <v>0.2687070979390655</v>
      </c>
      <c r="J39" s="105">
        <v>0.30921270081297431</v>
      </c>
      <c r="K39" s="105">
        <v>0.47146824667954645</v>
      </c>
      <c r="L39" s="105">
        <v>2.4924895297895695</v>
      </c>
      <c r="M39" s="105">
        <v>38.485753704601208</v>
      </c>
      <c r="N39" s="105">
        <v>113.07842596991493</v>
      </c>
      <c r="O39" s="105">
        <v>243.32135824094794</v>
      </c>
      <c r="P39" s="105">
        <v>378.05233286185143</v>
      </c>
      <c r="Q39" s="105">
        <v>609.98986253437818</v>
      </c>
    </row>
    <row r="40" spans="1:17" ht="11.5" customHeight="1">
      <c r="A40" s="102" t="s">
        <v>171</v>
      </c>
      <c r="B40" s="103">
        <v>2839.1181223613899</v>
      </c>
      <c r="C40" s="103">
        <v>2848.7210079071137</v>
      </c>
      <c r="D40" s="103">
        <v>2873.4774117870393</v>
      </c>
      <c r="E40" s="103">
        <v>2900.7601660448809</v>
      </c>
      <c r="F40" s="103">
        <v>3009.2417985222964</v>
      </c>
      <c r="G40" s="103">
        <v>3130.2869392210887</v>
      </c>
      <c r="H40" s="103">
        <v>3271.2465540788003</v>
      </c>
      <c r="I40" s="103">
        <v>3430.7143997478274</v>
      </c>
      <c r="J40" s="103">
        <v>3471.7614914497199</v>
      </c>
      <c r="K40" s="103">
        <v>3450.9241786865873</v>
      </c>
      <c r="L40" s="103">
        <v>3396.9999999999991</v>
      </c>
      <c r="M40" s="103">
        <v>3457.8025007383135</v>
      </c>
      <c r="N40" s="103">
        <v>3439.3473204027082</v>
      </c>
      <c r="O40" s="103">
        <v>3561.0000000000005</v>
      </c>
      <c r="P40" s="103">
        <v>3623</v>
      </c>
      <c r="Q40" s="103">
        <v>3678</v>
      </c>
    </row>
    <row r="41" spans="1:17" ht="11.5" customHeight="1">
      <c r="A41" s="104" t="s">
        <v>165</v>
      </c>
      <c r="B41" s="105">
        <v>20.761263941811798</v>
      </c>
      <c r="C41" s="105">
        <v>19.5132800209782</v>
      </c>
      <c r="D41" s="105">
        <v>18.955368328999064</v>
      </c>
      <c r="E41" s="105">
        <v>17.724844381193009</v>
      </c>
      <c r="F41" s="105">
        <v>16.941296392434882</v>
      </c>
      <c r="G41" s="105">
        <v>16.055889677757758</v>
      </c>
      <c r="H41" s="105">
        <v>15.079431485184886</v>
      </c>
      <c r="I41" s="105">
        <v>14.042545024986692</v>
      </c>
      <c r="J41" s="105">
        <v>12.936373924622469</v>
      </c>
      <c r="K41" s="105">
        <v>11.776926223878945</v>
      </c>
      <c r="L41" s="105">
        <v>10.612965284817355</v>
      </c>
      <c r="M41" s="105">
        <v>9.2294908903920039</v>
      </c>
      <c r="N41" s="105">
        <v>7.8321208863637963</v>
      </c>
      <c r="O41" s="105">
        <v>6.5568869494217417</v>
      </c>
      <c r="P41" s="105">
        <v>5.4412774223448661</v>
      </c>
      <c r="Q41" s="105">
        <v>4.4908827370530764</v>
      </c>
    </row>
    <row r="42" spans="1:17" ht="11.5" customHeight="1">
      <c r="A42" s="104" t="s">
        <v>166</v>
      </c>
      <c r="B42" s="105">
        <v>2804.8938368604495</v>
      </c>
      <c r="C42" s="105">
        <v>2765.529421017698</v>
      </c>
      <c r="D42" s="105">
        <v>2779.6332165851391</v>
      </c>
      <c r="E42" s="105">
        <v>2784.3344258377483</v>
      </c>
      <c r="F42" s="105">
        <v>2880.9598980165606</v>
      </c>
      <c r="G42" s="105">
        <v>2994.8042599104647</v>
      </c>
      <c r="H42" s="105">
        <v>3104.1933828339324</v>
      </c>
      <c r="I42" s="105">
        <v>3248.5670940120331</v>
      </c>
      <c r="J42" s="105">
        <v>3256.3759932407665</v>
      </c>
      <c r="K42" s="105">
        <v>3232.2968854764031</v>
      </c>
      <c r="L42" s="105">
        <v>3178.6640495717447</v>
      </c>
      <c r="M42" s="105">
        <v>3237.9717209721971</v>
      </c>
      <c r="N42" s="105">
        <v>3221.3505068467039</v>
      </c>
      <c r="O42" s="105">
        <v>3338.2025433618728</v>
      </c>
      <c r="P42" s="105">
        <v>3314.6035049744564</v>
      </c>
      <c r="Q42" s="105">
        <v>3372.6271507252577</v>
      </c>
    </row>
    <row r="43" spans="1:17" ht="11.5" customHeight="1">
      <c r="A43" s="104" t="s">
        <v>167</v>
      </c>
      <c r="B43" s="105">
        <v>3.2572500004101617</v>
      </c>
      <c r="C43" s="105">
        <v>3.8022875525074569</v>
      </c>
      <c r="D43" s="105">
        <v>3.8372034831274742</v>
      </c>
      <c r="E43" s="105">
        <v>4.0264560188894656</v>
      </c>
      <c r="F43" s="105">
        <v>4.2468067280198092</v>
      </c>
      <c r="G43" s="105">
        <v>4.4093418850531947</v>
      </c>
      <c r="H43" s="105">
        <v>3.6486064668399831</v>
      </c>
      <c r="I43" s="105">
        <v>4.4348648746433836</v>
      </c>
      <c r="J43" s="105">
        <v>4.3451121738268457</v>
      </c>
      <c r="K43" s="105">
        <v>4.2677649585545225</v>
      </c>
      <c r="L43" s="105">
        <v>4.1526979725522093</v>
      </c>
      <c r="M43" s="105">
        <v>3.9128700931252669</v>
      </c>
      <c r="N43" s="105">
        <v>3.6317432013179003</v>
      </c>
      <c r="O43" s="105">
        <v>3.5760665524202331</v>
      </c>
      <c r="P43" s="105">
        <v>3.4657092760075607</v>
      </c>
      <c r="Q43" s="105">
        <v>3.3433282354818159</v>
      </c>
    </row>
    <row r="44" spans="1:17" ht="11.5" customHeight="1">
      <c r="A44" s="104" t="s">
        <v>168</v>
      </c>
      <c r="B44" s="105">
        <v>3.6024683870608798</v>
      </c>
      <c r="C44" s="105">
        <v>52.502177941847435</v>
      </c>
      <c r="D44" s="105">
        <v>62.81540628977752</v>
      </c>
      <c r="E44" s="105">
        <v>85.759705516460286</v>
      </c>
      <c r="F44" s="105">
        <v>97.494100454021108</v>
      </c>
      <c r="G44" s="105">
        <v>105.49784208242052</v>
      </c>
      <c r="H44" s="105">
        <v>139.02118955847018</v>
      </c>
      <c r="I44" s="105">
        <v>154.62722184353811</v>
      </c>
      <c r="J44" s="105">
        <v>189.32392726976306</v>
      </c>
      <c r="K44" s="105">
        <v>194.24720316192605</v>
      </c>
      <c r="L44" s="105">
        <v>195.72595118093673</v>
      </c>
      <c r="M44" s="105">
        <v>199.29666855502265</v>
      </c>
      <c r="N44" s="105">
        <v>198.31708399533079</v>
      </c>
      <c r="O44" s="105">
        <v>200.71625915124017</v>
      </c>
      <c r="P44" s="105">
        <v>285.67131418756594</v>
      </c>
      <c r="Q44" s="105">
        <v>281.44251884530377</v>
      </c>
    </row>
    <row r="45" spans="1:17" ht="11.5" customHeight="1">
      <c r="A45" s="104" t="s">
        <v>170</v>
      </c>
      <c r="B45" s="105">
        <v>6.6033031716576032</v>
      </c>
      <c r="C45" s="105">
        <v>7.3738413740825761</v>
      </c>
      <c r="D45" s="105">
        <v>8.2362170999961339</v>
      </c>
      <c r="E45" s="105">
        <v>8.914734290589891</v>
      </c>
      <c r="F45" s="105">
        <v>9.5996969312598406</v>
      </c>
      <c r="G45" s="105">
        <v>9.5196056653925538</v>
      </c>
      <c r="H45" s="105">
        <v>9.3039437343723197</v>
      </c>
      <c r="I45" s="105">
        <v>9.0426739926254758</v>
      </c>
      <c r="J45" s="105">
        <v>8.7800848407414929</v>
      </c>
      <c r="K45" s="105">
        <v>8.3353988658248976</v>
      </c>
      <c r="L45" s="105">
        <v>7.8443359899485454</v>
      </c>
      <c r="M45" s="105">
        <v>7.3917502275766171</v>
      </c>
      <c r="N45" s="105">
        <v>8.2158654729916822</v>
      </c>
      <c r="O45" s="105">
        <v>11.948243985045172</v>
      </c>
      <c r="P45" s="105">
        <v>13.818194139625177</v>
      </c>
      <c r="Q45" s="105">
        <v>16.096119456903654</v>
      </c>
    </row>
    <row r="46" spans="1:17" ht="11.5" customHeight="1">
      <c r="A46" s="98" t="s">
        <v>179</v>
      </c>
      <c r="B46" s="99">
        <v>99593.729257904764</v>
      </c>
      <c r="C46" s="99">
        <v>104012.29863658948</v>
      </c>
      <c r="D46" s="99">
        <v>106693.67277115509</v>
      </c>
      <c r="E46" s="99">
        <v>108863.02287683045</v>
      </c>
      <c r="F46" s="99">
        <v>111501.31723324102</v>
      </c>
      <c r="G46" s="99">
        <v>112879.72144530495</v>
      </c>
      <c r="H46" s="99">
        <v>114717.54317537697</v>
      </c>
      <c r="I46" s="99">
        <v>116477.43533851509</v>
      </c>
      <c r="J46" s="99">
        <v>115402.85651864798</v>
      </c>
      <c r="K46" s="99">
        <v>116995.0633801393</v>
      </c>
      <c r="L46" s="99">
        <v>122990.13008955037</v>
      </c>
      <c r="M46" s="99">
        <v>125521.56177227499</v>
      </c>
      <c r="N46" s="99">
        <v>126304.7534683821</v>
      </c>
      <c r="O46" s="99">
        <v>129309.0812863468</v>
      </c>
      <c r="P46" s="99">
        <v>132387.60980484379</v>
      </c>
      <c r="Q46" s="99">
        <v>135615.89682075562</v>
      </c>
    </row>
    <row r="47" spans="1:17" ht="11.5" customHeight="1">
      <c r="A47" s="100" t="s">
        <v>173</v>
      </c>
      <c r="B47" s="101">
        <v>79635.155869590264</v>
      </c>
      <c r="C47" s="101">
        <v>83321.817891807936</v>
      </c>
      <c r="D47" s="101">
        <v>85667.307966910274</v>
      </c>
      <c r="E47" s="101">
        <v>87673.690240921293</v>
      </c>
      <c r="F47" s="101">
        <v>88287.685984364827</v>
      </c>
      <c r="G47" s="101">
        <v>89426.92274982587</v>
      </c>
      <c r="H47" s="101">
        <v>90861.384525619666</v>
      </c>
      <c r="I47" s="101">
        <v>91900.371838283798</v>
      </c>
      <c r="J47" s="101">
        <v>92071.922215404789</v>
      </c>
      <c r="K47" s="101">
        <v>96477.23046049838</v>
      </c>
      <c r="L47" s="101">
        <v>101661.81608641407</v>
      </c>
      <c r="M47" s="101">
        <v>104055.28720979577</v>
      </c>
      <c r="N47" s="101">
        <v>106047.82599006349</v>
      </c>
      <c r="O47" s="101">
        <v>108753.88073912621</v>
      </c>
      <c r="P47" s="101">
        <v>111994.63536695509</v>
      </c>
      <c r="Q47" s="101">
        <v>115795.02089870397</v>
      </c>
    </row>
    <row r="48" spans="1:17" ht="11.5" customHeight="1">
      <c r="A48" s="104" t="s">
        <v>165</v>
      </c>
      <c r="B48" s="105">
        <v>11622.051633265692</v>
      </c>
      <c r="C48" s="105">
        <v>10066.507395188128</v>
      </c>
      <c r="D48" s="105">
        <v>8593.1636830428106</v>
      </c>
      <c r="E48" s="105">
        <v>7028.7562172293374</v>
      </c>
      <c r="F48" s="105">
        <v>5632.8418514632713</v>
      </c>
      <c r="G48" s="105">
        <v>4791.6806606340342</v>
      </c>
      <c r="H48" s="105">
        <v>4141.5305798082045</v>
      </c>
      <c r="I48" s="105">
        <v>3642.2387730207747</v>
      </c>
      <c r="J48" s="105">
        <v>3298.9342366286473</v>
      </c>
      <c r="K48" s="105">
        <v>3072.1418295179201</v>
      </c>
      <c r="L48" s="105">
        <v>2910.9738981912574</v>
      </c>
      <c r="M48" s="105">
        <v>2766.9790600692254</v>
      </c>
      <c r="N48" s="105">
        <v>2613.511043375313</v>
      </c>
      <c r="O48" s="105">
        <v>2505.6446970834063</v>
      </c>
      <c r="P48" s="105">
        <v>2227.6930253646083</v>
      </c>
      <c r="Q48" s="105">
        <v>2020.0136113106701</v>
      </c>
    </row>
    <row r="49" spans="1:17" ht="11.5" customHeight="1">
      <c r="A49" s="104" t="s">
        <v>166</v>
      </c>
      <c r="B49" s="105">
        <v>67819.48240381846</v>
      </c>
      <c r="C49" s="105">
        <v>73038.185307220891</v>
      </c>
      <c r="D49" s="105">
        <v>76844.060802988068</v>
      </c>
      <c r="E49" s="105">
        <v>80404.405242433451</v>
      </c>
      <c r="F49" s="105">
        <v>82406.263911243965</v>
      </c>
      <c r="G49" s="105">
        <v>84377.073760209925</v>
      </c>
      <c r="H49" s="105">
        <v>86437.953494775866</v>
      </c>
      <c r="I49" s="105">
        <v>88014.727612443981</v>
      </c>
      <c r="J49" s="105">
        <v>88542.193065082713</v>
      </c>
      <c r="K49" s="105">
        <v>93171.932673838877</v>
      </c>
      <c r="L49" s="105">
        <v>98525.796079668085</v>
      </c>
      <c r="M49" s="105">
        <v>101064.62433225343</v>
      </c>
      <c r="N49" s="105">
        <v>103183.21204955969</v>
      </c>
      <c r="O49" s="105">
        <v>105954.24083382977</v>
      </c>
      <c r="P49" s="105">
        <v>109443.71145946297</v>
      </c>
      <c r="Q49" s="105">
        <v>113417.4317365686</v>
      </c>
    </row>
    <row r="50" spans="1:17" ht="11.5" customHeight="1">
      <c r="A50" s="104" t="s">
        <v>167</v>
      </c>
      <c r="B50" s="105">
        <v>154.06085848207525</v>
      </c>
      <c r="C50" s="105">
        <v>171.12267275716408</v>
      </c>
      <c r="D50" s="105">
        <v>180.94064714370884</v>
      </c>
      <c r="E50" s="105">
        <v>188.07759453168231</v>
      </c>
      <c r="F50" s="105">
        <v>194.13642450594028</v>
      </c>
      <c r="G50" s="105">
        <v>204.37318599669646</v>
      </c>
      <c r="H50" s="105">
        <v>224.22425107100591</v>
      </c>
      <c r="I50" s="105">
        <v>183.60458442784508</v>
      </c>
      <c r="J50" s="105">
        <v>175.46198656689103</v>
      </c>
      <c r="K50" s="105">
        <v>172.64751106882221</v>
      </c>
      <c r="L50" s="105">
        <v>168.94654691103744</v>
      </c>
      <c r="M50" s="105">
        <v>161.57498031043585</v>
      </c>
      <c r="N50" s="105">
        <v>151.87775381680538</v>
      </c>
      <c r="O50" s="105">
        <v>142.26074735871998</v>
      </c>
      <c r="P50" s="105">
        <v>130.47132439510415</v>
      </c>
      <c r="Q50" s="105">
        <v>119.8170999623575</v>
      </c>
    </row>
    <row r="51" spans="1:17" ht="11.5" customHeight="1">
      <c r="A51" s="104" t="s">
        <v>168</v>
      </c>
      <c r="B51" s="105">
        <v>2.4092345079703943</v>
      </c>
      <c r="C51" s="105">
        <v>2.2852773053680888</v>
      </c>
      <c r="D51" s="105">
        <v>2.3956472916619731</v>
      </c>
      <c r="E51" s="105">
        <v>3.9453193847436112</v>
      </c>
      <c r="F51" s="105">
        <v>3.7885596890548157</v>
      </c>
      <c r="G51" s="105">
        <v>3.692054784437798</v>
      </c>
      <c r="H51" s="105">
        <v>7.7111204185106752</v>
      </c>
      <c r="I51" s="105">
        <v>7.3512135908121596</v>
      </c>
      <c r="J51" s="105">
        <v>7.6041828900459585</v>
      </c>
      <c r="K51" s="105">
        <v>9.8354301119892611</v>
      </c>
      <c r="L51" s="105">
        <v>9.9977901592081615</v>
      </c>
      <c r="M51" s="105">
        <v>12.516257179389969</v>
      </c>
      <c r="N51" s="105">
        <v>17.786218658580665</v>
      </c>
      <c r="O51" s="105">
        <v>23.630706665966642</v>
      </c>
      <c r="P51" s="105">
        <v>29.320881746217079</v>
      </c>
      <c r="Q51" s="105">
        <v>33.825818780142725</v>
      </c>
    </row>
    <row r="52" spans="1:17" ht="11.5" customHeight="1">
      <c r="A52" s="104" t="s">
        <v>170</v>
      </c>
      <c r="B52" s="105">
        <v>37.151739516082543</v>
      </c>
      <c r="C52" s="105">
        <v>43.71723933637692</v>
      </c>
      <c r="D52" s="105">
        <v>46.747186444036771</v>
      </c>
      <c r="E52" s="105">
        <v>48.505867342069735</v>
      </c>
      <c r="F52" s="105">
        <v>50.655237462608412</v>
      </c>
      <c r="G52" s="105">
        <v>50.103088200782999</v>
      </c>
      <c r="H52" s="105">
        <v>49.965079546094422</v>
      </c>
      <c r="I52" s="105">
        <v>52.449654800402186</v>
      </c>
      <c r="J52" s="105">
        <v>47.728744236492048</v>
      </c>
      <c r="K52" s="105">
        <v>50.673015960785925</v>
      </c>
      <c r="L52" s="105">
        <v>46.101771484482818</v>
      </c>
      <c r="M52" s="105">
        <v>49.592579983288147</v>
      </c>
      <c r="N52" s="105">
        <v>81.438924653094205</v>
      </c>
      <c r="O52" s="105">
        <v>128.10375418833573</v>
      </c>
      <c r="P52" s="105">
        <v>163.4386759861909</v>
      </c>
      <c r="Q52" s="105">
        <v>203.93263208219324</v>
      </c>
    </row>
    <row r="53" spans="1:17" ht="11.5" customHeight="1">
      <c r="A53" s="102" t="s">
        <v>174</v>
      </c>
      <c r="B53" s="103">
        <v>19958.573388314497</v>
      </c>
      <c r="C53" s="103">
        <v>20690.480744781536</v>
      </c>
      <c r="D53" s="103">
        <v>21026.364804244815</v>
      </c>
      <c r="E53" s="103">
        <v>21189.332635909152</v>
      </c>
      <c r="F53" s="103">
        <v>23213.631248876194</v>
      </c>
      <c r="G53" s="103">
        <v>23452.798695479083</v>
      </c>
      <c r="H53" s="103">
        <v>23856.158649757304</v>
      </c>
      <c r="I53" s="103">
        <v>24577.063500231292</v>
      </c>
      <c r="J53" s="103">
        <v>23330.934303243197</v>
      </c>
      <c r="K53" s="103">
        <v>20517.83291964091</v>
      </c>
      <c r="L53" s="103">
        <v>21328.314003136304</v>
      </c>
      <c r="M53" s="103">
        <v>21466.274562479215</v>
      </c>
      <c r="N53" s="103">
        <v>20256.927478318612</v>
      </c>
      <c r="O53" s="103">
        <v>20555.2005472206</v>
      </c>
      <c r="P53" s="103">
        <v>20392.974437888694</v>
      </c>
      <c r="Q53" s="103">
        <v>19820.875922051651</v>
      </c>
    </row>
    <row r="54" spans="1:17" ht="11.5" customHeight="1">
      <c r="A54" s="104" t="s">
        <v>175</v>
      </c>
      <c r="B54" s="105">
        <v>13753</v>
      </c>
      <c r="C54" s="105">
        <v>14091</v>
      </c>
      <c r="D54" s="105">
        <v>14109</v>
      </c>
      <c r="E54" s="105">
        <v>14138</v>
      </c>
      <c r="F54" s="105">
        <v>14995</v>
      </c>
      <c r="G54" s="105">
        <v>14974</v>
      </c>
      <c r="H54" s="105">
        <v>15163</v>
      </c>
      <c r="I54" s="105">
        <v>15701</v>
      </c>
      <c r="J54" s="105">
        <v>14660</v>
      </c>
      <c r="K54" s="105">
        <v>12755</v>
      </c>
      <c r="L54" s="105">
        <v>13449</v>
      </c>
      <c r="M54" s="105">
        <v>13964</v>
      </c>
      <c r="N54" s="105">
        <v>12911</v>
      </c>
      <c r="O54" s="105">
        <v>12835</v>
      </c>
      <c r="P54" s="105">
        <v>12639</v>
      </c>
      <c r="Q54" s="105">
        <v>11963</v>
      </c>
    </row>
    <row r="55" spans="1:17" ht="11.5" customHeight="1">
      <c r="A55" s="106" t="s">
        <v>176</v>
      </c>
      <c r="B55" s="107">
        <v>6205.5733883144958</v>
      </c>
      <c r="C55" s="107">
        <v>6599.4807447815356</v>
      </c>
      <c r="D55" s="107">
        <v>6917.3648042448158</v>
      </c>
      <c r="E55" s="107">
        <v>7051.3326359091516</v>
      </c>
      <c r="F55" s="107">
        <v>8218.6312488761941</v>
      </c>
      <c r="G55" s="107">
        <v>8478.7986954790831</v>
      </c>
      <c r="H55" s="107">
        <v>8693.1586497573044</v>
      </c>
      <c r="I55" s="107">
        <v>8876.0635002312938</v>
      </c>
      <c r="J55" s="107">
        <v>8670.9343032431971</v>
      </c>
      <c r="K55" s="107">
        <v>7762.8329196409086</v>
      </c>
      <c r="L55" s="107">
        <v>7879.3140031363046</v>
      </c>
      <c r="M55" s="107">
        <v>7502.2745624792169</v>
      </c>
      <c r="N55" s="107">
        <v>7345.9274783186102</v>
      </c>
      <c r="O55" s="107">
        <v>7720.2005472206019</v>
      </c>
      <c r="P55" s="107">
        <v>7753.9744378886944</v>
      </c>
      <c r="Q55" s="107">
        <v>7857.8759220516495</v>
      </c>
    </row>
    <row r="57" spans="1:17" ht="11.5" customHeight="1">
      <c r="A57" s="96" t="s">
        <v>180</v>
      </c>
      <c r="B57" s="109">
        <v>38145873.745744877</v>
      </c>
      <c r="C57" s="109">
        <v>38680453.94993861</v>
      </c>
      <c r="D57" s="109">
        <v>39189167.762402877</v>
      </c>
      <c r="E57" s="109">
        <v>39645870.85454011</v>
      </c>
      <c r="F57" s="109">
        <v>40055386.779398546</v>
      </c>
      <c r="G57" s="109">
        <v>40308103.572887987</v>
      </c>
      <c r="H57" s="109">
        <v>40744647.454703026</v>
      </c>
      <c r="I57" s="109">
        <v>41340239.276473314</v>
      </c>
      <c r="J57" s="109">
        <v>41619016.991802864</v>
      </c>
      <c r="K57" s="109">
        <v>42026693.446113423</v>
      </c>
      <c r="L57" s="109">
        <v>42416210.811801605</v>
      </c>
      <c r="M57" s="109">
        <v>42595592.053676225</v>
      </c>
      <c r="N57" s="109">
        <v>42594392.676215515</v>
      </c>
      <c r="O57" s="109">
        <v>43667416.888790831</v>
      </c>
      <c r="P57" s="109">
        <v>43268168.228681043</v>
      </c>
      <c r="Q57" s="109">
        <v>42933863.599082962</v>
      </c>
    </row>
    <row r="58" spans="1:17" ht="11.5" customHeight="1">
      <c r="A58" s="98" t="s">
        <v>178</v>
      </c>
      <c r="B58" s="110">
        <v>31727690</v>
      </c>
      <c r="C58" s="110">
        <v>32201798</v>
      </c>
      <c r="D58" s="110">
        <v>32663179</v>
      </c>
      <c r="E58" s="110">
        <v>33076055</v>
      </c>
      <c r="F58" s="110">
        <v>33436297</v>
      </c>
      <c r="G58" s="110">
        <v>33655782</v>
      </c>
      <c r="H58" s="110">
        <v>34058329</v>
      </c>
      <c r="I58" s="110">
        <v>34612811</v>
      </c>
      <c r="J58" s="110">
        <v>34850185</v>
      </c>
      <c r="K58" s="110">
        <v>35237721</v>
      </c>
      <c r="L58" s="110">
        <v>35590142</v>
      </c>
      <c r="M58" s="110">
        <v>35816955</v>
      </c>
      <c r="N58" s="110">
        <v>35831606</v>
      </c>
      <c r="O58" s="110">
        <v>36889788</v>
      </c>
      <c r="P58" s="110">
        <v>36403162</v>
      </c>
      <c r="Q58" s="110">
        <v>36038327</v>
      </c>
    </row>
    <row r="59" spans="1:17" ht="11.5" customHeight="1">
      <c r="A59" s="100" t="s">
        <v>163</v>
      </c>
      <c r="B59" s="111">
        <v>3228941</v>
      </c>
      <c r="C59" s="111">
        <v>3269135</v>
      </c>
      <c r="D59" s="111">
        <v>3270475</v>
      </c>
      <c r="E59" s="111">
        <v>3279854</v>
      </c>
      <c r="F59" s="111">
        <v>3298611</v>
      </c>
      <c r="G59" s="111">
        <v>3316438</v>
      </c>
      <c r="H59" s="111">
        <v>3407887</v>
      </c>
      <c r="I59" s="111">
        <v>3659899</v>
      </c>
      <c r="J59" s="111">
        <v>3905029</v>
      </c>
      <c r="K59" s="111">
        <v>4094912</v>
      </c>
      <c r="L59" s="111">
        <v>4200457</v>
      </c>
      <c r="M59" s="111">
        <v>4175456</v>
      </c>
      <c r="N59" s="111">
        <v>4138839</v>
      </c>
      <c r="O59" s="111">
        <v>3934073</v>
      </c>
      <c r="P59" s="111">
        <v>3771690</v>
      </c>
      <c r="Q59" s="111">
        <v>3609669</v>
      </c>
    </row>
    <row r="60" spans="1:17" ht="11.5" customHeight="1">
      <c r="A60" s="102" t="s">
        <v>164</v>
      </c>
      <c r="B60" s="112">
        <v>28413000</v>
      </c>
      <c r="C60" s="112">
        <v>28845000</v>
      </c>
      <c r="D60" s="112">
        <v>29306000</v>
      </c>
      <c r="E60" s="112">
        <v>29708000</v>
      </c>
      <c r="F60" s="112">
        <v>30048000</v>
      </c>
      <c r="G60" s="112">
        <v>30248000</v>
      </c>
      <c r="H60" s="112">
        <v>30557000</v>
      </c>
      <c r="I60" s="112">
        <v>30857000</v>
      </c>
      <c r="J60" s="112">
        <v>30850000</v>
      </c>
      <c r="K60" s="112">
        <v>31050000</v>
      </c>
      <c r="L60" s="112">
        <v>31300000</v>
      </c>
      <c r="M60" s="112">
        <v>31550000</v>
      </c>
      <c r="N60" s="112">
        <v>31600000</v>
      </c>
      <c r="O60" s="112">
        <v>32858000</v>
      </c>
      <c r="P60" s="112">
        <v>32531000</v>
      </c>
      <c r="Q60" s="112">
        <v>32326000</v>
      </c>
    </row>
    <row r="61" spans="1:17" ht="11.5" customHeight="1">
      <c r="A61" s="104" t="s">
        <v>165</v>
      </c>
      <c r="B61" s="113">
        <v>18086443</v>
      </c>
      <c r="C61" s="113">
        <v>17689745</v>
      </c>
      <c r="D61" s="113">
        <v>17237258</v>
      </c>
      <c r="E61" s="113">
        <v>16753192</v>
      </c>
      <c r="F61" s="113">
        <v>16244787</v>
      </c>
      <c r="G61" s="113">
        <v>15701047</v>
      </c>
      <c r="H61" s="113">
        <v>15225334</v>
      </c>
      <c r="I61" s="113">
        <v>14760887</v>
      </c>
      <c r="J61" s="113">
        <v>13568578</v>
      </c>
      <c r="K61" s="113">
        <v>12656783</v>
      </c>
      <c r="L61" s="113">
        <v>11765384</v>
      </c>
      <c r="M61" s="113">
        <v>10999101</v>
      </c>
      <c r="N61" s="113">
        <v>10247340</v>
      </c>
      <c r="O61" s="113">
        <v>10257842</v>
      </c>
      <c r="P61" s="113">
        <v>9767186</v>
      </c>
      <c r="Q61" s="113">
        <v>9558580</v>
      </c>
    </row>
    <row r="62" spans="1:17" ht="11.5" customHeight="1">
      <c r="A62" s="104" t="s">
        <v>166</v>
      </c>
      <c r="B62" s="113">
        <v>9983557</v>
      </c>
      <c r="C62" s="113">
        <v>10814869</v>
      </c>
      <c r="D62" s="113">
        <v>11753309</v>
      </c>
      <c r="E62" s="113">
        <v>12670155</v>
      </c>
      <c r="F62" s="113">
        <v>13535663</v>
      </c>
      <c r="G62" s="113">
        <v>14299705</v>
      </c>
      <c r="H62" s="113">
        <v>15103566</v>
      </c>
      <c r="I62" s="113">
        <v>15888228</v>
      </c>
      <c r="J62" s="113">
        <v>17093681</v>
      </c>
      <c r="K62" s="113">
        <v>18232612</v>
      </c>
      <c r="L62" s="113">
        <v>19268119</v>
      </c>
      <c r="M62" s="113">
        <v>20289662</v>
      </c>
      <c r="N62" s="113">
        <v>21103789</v>
      </c>
      <c r="O62" s="113">
        <v>22357630</v>
      </c>
      <c r="P62" s="113">
        <v>22526082</v>
      </c>
      <c r="Q62" s="113">
        <v>22523435</v>
      </c>
    </row>
    <row r="63" spans="1:17" ht="11.5" customHeight="1">
      <c r="A63" s="104" t="s">
        <v>167</v>
      </c>
      <c r="B63" s="113">
        <v>343000</v>
      </c>
      <c r="C63" s="113">
        <v>340386</v>
      </c>
      <c r="D63" s="113">
        <v>315433</v>
      </c>
      <c r="E63" s="113">
        <v>284653</v>
      </c>
      <c r="F63" s="113">
        <v>267550</v>
      </c>
      <c r="G63" s="113">
        <v>247248</v>
      </c>
      <c r="H63" s="113">
        <v>228086</v>
      </c>
      <c r="I63" s="113">
        <v>207390</v>
      </c>
      <c r="J63" s="113">
        <v>186797</v>
      </c>
      <c r="K63" s="113">
        <v>159283</v>
      </c>
      <c r="L63" s="113">
        <v>264876</v>
      </c>
      <c r="M63" s="113">
        <v>256802</v>
      </c>
      <c r="N63" s="113">
        <v>238793</v>
      </c>
      <c r="O63" s="113">
        <v>222158</v>
      </c>
      <c r="P63" s="113">
        <v>205642</v>
      </c>
      <c r="Q63" s="113">
        <v>189225</v>
      </c>
    </row>
    <row r="64" spans="1:17" ht="11.5" customHeight="1">
      <c r="A64" s="104" t="s">
        <v>168</v>
      </c>
      <c r="B64" s="113">
        <v>0</v>
      </c>
      <c r="C64" s="113">
        <v>0</v>
      </c>
      <c r="D64" s="113">
        <v>0</v>
      </c>
      <c r="E64" s="113">
        <v>0</v>
      </c>
      <c r="F64" s="113">
        <v>0</v>
      </c>
      <c r="G64" s="113">
        <v>0</v>
      </c>
      <c r="H64" s="113">
        <v>0</v>
      </c>
      <c r="I64" s="113">
        <v>475</v>
      </c>
      <c r="J64" s="113">
        <v>921</v>
      </c>
      <c r="K64" s="113">
        <v>1287</v>
      </c>
      <c r="L64" s="113">
        <v>1436</v>
      </c>
      <c r="M64" s="113">
        <v>1581</v>
      </c>
      <c r="N64" s="113">
        <v>1704</v>
      </c>
      <c r="O64" s="113">
        <v>1769</v>
      </c>
      <c r="P64" s="113">
        <v>1815</v>
      </c>
      <c r="Q64" s="113">
        <v>1936</v>
      </c>
    </row>
    <row r="65" spans="1:18" ht="11.5" customHeight="1">
      <c r="A65" s="104" t="s">
        <v>169</v>
      </c>
      <c r="B65" s="113">
        <v>0</v>
      </c>
      <c r="C65" s="113">
        <v>0</v>
      </c>
      <c r="D65" s="113">
        <v>0</v>
      </c>
      <c r="E65" s="113">
        <v>0</v>
      </c>
      <c r="F65" s="113">
        <v>0</v>
      </c>
      <c r="G65" s="113">
        <v>0</v>
      </c>
      <c r="H65" s="113">
        <v>0</v>
      </c>
      <c r="I65" s="113">
        <v>0</v>
      </c>
      <c r="J65" s="113">
        <v>0</v>
      </c>
      <c r="K65" s="113">
        <v>0</v>
      </c>
      <c r="L65" s="113">
        <v>0</v>
      </c>
      <c r="M65" s="113">
        <v>0</v>
      </c>
      <c r="N65" s="113">
        <v>0</v>
      </c>
      <c r="O65" s="113">
        <v>601</v>
      </c>
      <c r="P65" s="113">
        <v>2435</v>
      </c>
      <c r="Q65" s="113">
        <v>8059</v>
      </c>
      <c r="R65" s="164">
        <f>Q65/Q66</f>
        <v>0.18002904054506869</v>
      </c>
    </row>
    <row r="66" spans="1:18" ht="11.5" customHeight="1">
      <c r="A66" s="104" t="s">
        <v>170</v>
      </c>
      <c r="B66" s="113">
        <v>0</v>
      </c>
      <c r="C66" s="113">
        <v>0</v>
      </c>
      <c r="D66" s="113">
        <v>0</v>
      </c>
      <c r="E66" s="113">
        <v>0</v>
      </c>
      <c r="F66" s="113">
        <v>0</v>
      </c>
      <c r="G66" s="113">
        <v>0</v>
      </c>
      <c r="H66" s="113">
        <v>14</v>
      </c>
      <c r="I66" s="113">
        <v>20</v>
      </c>
      <c r="J66" s="113">
        <v>23</v>
      </c>
      <c r="K66" s="113">
        <v>35</v>
      </c>
      <c r="L66" s="113">
        <v>185</v>
      </c>
      <c r="M66" s="113">
        <v>2854</v>
      </c>
      <c r="N66" s="113">
        <v>8374</v>
      </c>
      <c r="O66" s="113">
        <v>18000</v>
      </c>
      <c r="P66" s="113">
        <v>27840</v>
      </c>
      <c r="Q66" s="113">
        <v>44765</v>
      </c>
    </row>
    <row r="67" spans="1:18" ht="11.5" customHeight="1">
      <c r="A67" s="102" t="s">
        <v>171</v>
      </c>
      <c r="B67" s="112">
        <v>85749</v>
      </c>
      <c r="C67" s="112">
        <v>87663</v>
      </c>
      <c r="D67" s="112">
        <v>86704</v>
      </c>
      <c r="E67" s="112">
        <v>88201</v>
      </c>
      <c r="F67" s="112">
        <v>89686</v>
      </c>
      <c r="G67" s="112">
        <v>91344</v>
      </c>
      <c r="H67" s="112">
        <v>93442</v>
      </c>
      <c r="I67" s="112">
        <v>95912</v>
      </c>
      <c r="J67" s="112">
        <v>95156</v>
      </c>
      <c r="K67" s="112">
        <v>92809</v>
      </c>
      <c r="L67" s="112">
        <v>89685</v>
      </c>
      <c r="M67" s="112">
        <v>91499</v>
      </c>
      <c r="N67" s="112">
        <v>92767</v>
      </c>
      <c r="O67" s="112">
        <v>97715</v>
      </c>
      <c r="P67" s="112">
        <v>100472</v>
      </c>
      <c r="Q67" s="112">
        <v>102658</v>
      </c>
    </row>
    <row r="68" spans="1:18" ht="11.5" customHeight="1">
      <c r="A68" s="104" t="s">
        <v>165</v>
      </c>
      <c r="B68" s="113">
        <v>1273</v>
      </c>
      <c r="C68" s="113">
        <v>1208</v>
      </c>
      <c r="D68" s="113">
        <v>1138</v>
      </c>
      <c r="E68" s="113">
        <v>1062</v>
      </c>
      <c r="F68" s="113">
        <v>984</v>
      </c>
      <c r="G68" s="113">
        <v>903</v>
      </c>
      <c r="H68" s="113">
        <v>821</v>
      </c>
      <c r="I68" s="113">
        <v>740</v>
      </c>
      <c r="J68" s="113">
        <v>661</v>
      </c>
      <c r="K68" s="113">
        <v>584</v>
      </c>
      <c r="L68" s="113">
        <v>511</v>
      </c>
      <c r="M68" s="113">
        <v>441</v>
      </c>
      <c r="N68" s="113">
        <v>378</v>
      </c>
      <c r="O68" s="113">
        <v>319</v>
      </c>
      <c r="P68" s="113">
        <v>265</v>
      </c>
      <c r="Q68" s="113">
        <v>218</v>
      </c>
    </row>
    <row r="69" spans="1:18" ht="11.5" customHeight="1">
      <c r="A69" s="104" t="s">
        <v>166</v>
      </c>
      <c r="B69" s="113">
        <v>84091</v>
      </c>
      <c r="C69" s="113">
        <v>84777</v>
      </c>
      <c r="D69" s="113">
        <v>83635</v>
      </c>
      <c r="E69" s="113">
        <v>84612</v>
      </c>
      <c r="F69" s="113">
        <v>85935</v>
      </c>
      <c r="G69" s="113">
        <v>87561</v>
      </c>
      <c r="H69" s="113">
        <v>89037</v>
      </c>
      <c r="I69" s="113">
        <v>91250</v>
      </c>
      <c r="J69" s="113">
        <v>89840</v>
      </c>
      <c r="K69" s="113">
        <v>87535</v>
      </c>
      <c r="L69" s="113">
        <v>84598</v>
      </c>
      <c r="M69" s="113">
        <v>86412</v>
      </c>
      <c r="N69" s="113">
        <v>87678</v>
      </c>
      <c r="O69" s="113">
        <v>92459</v>
      </c>
      <c r="P69" s="113">
        <v>93174</v>
      </c>
      <c r="Q69" s="113">
        <v>95350</v>
      </c>
    </row>
    <row r="70" spans="1:18" ht="11.5" customHeight="1">
      <c r="A70" s="104" t="s">
        <v>167</v>
      </c>
      <c r="B70" s="113">
        <v>147</v>
      </c>
      <c r="C70" s="113">
        <v>175</v>
      </c>
      <c r="D70" s="113">
        <v>173</v>
      </c>
      <c r="E70" s="113">
        <v>183</v>
      </c>
      <c r="F70" s="113">
        <v>189</v>
      </c>
      <c r="G70" s="113">
        <v>191</v>
      </c>
      <c r="H70" s="113">
        <v>153</v>
      </c>
      <c r="I70" s="113">
        <v>180</v>
      </c>
      <c r="J70" s="113">
        <v>171</v>
      </c>
      <c r="K70" s="113">
        <v>163</v>
      </c>
      <c r="L70" s="113">
        <v>154</v>
      </c>
      <c r="M70" s="113">
        <v>144</v>
      </c>
      <c r="N70" s="113">
        <v>135</v>
      </c>
      <c r="O70" s="113">
        <v>134</v>
      </c>
      <c r="P70" s="113">
        <v>130</v>
      </c>
      <c r="Q70" s="113">
        <v>125</v>
      </c>
    </row>
    <row r="71" spans="1:18" ht="11.5" customHeight="1">
      <c r="A71" s="104" t="s">
        <v>168</v>
      </c>
      <c r="B71" s="113">
        <v>91</v>
      </c>
      <c r="C71" s="113">
        <v>1339</v>
      </c>
      <c r="D71" s="113">
        <v>1575</v>
      </c>
      <c r="E71" s="113">
        <v>2146</v>
      </c>
      <c r="F71" s="113">
        <v>2365</v>
      </c>
      <c r="G71" s="113">
        <v>2478</v>
      </c>
      <c r="H71" s="113">
        <v>3225</v>
      </c>
      <c r="I71" s="113">
        <v>3542</v>
      </c>
      <c r="J71" s="113">
        <v>4290</v>
      </c>
      <c r="K71" s="113">
        <v>4343</v>
      </c>
      <c r="L71" s="113">
        <v>4249</v>
      </c>
      <c r="M71" s="113">
        <v>4339</v>
      </c>
      <c r="N71" s="113">
        <v>4395</v>
      </c>
      <c r="O71" s="113">
        <v>4540</v>
      </c>
      <c r="P71" s="113">
        <v>6599</v>
      </c>
      <c r="Q71" s="113">
        <v>6611</v>
      </c>
    </row>
    <row r="72" spans="1:18" ht="11.5" customHeight="1">
      <c r="A72" s="104" t="s">
        <v>170</v>
      </c>
      <c r="B72" s="113">
        <v>147</v>
      </c>
      <c r="C72" s="113">
        <v>164</v>
      </c>
      <c r="D72" s="113">
        <v>183</v>
      </c>
      <c r="E72" s="113">
        <v>198</v>
      </c>
      <c r="F72" s="113">
        <v>213</v>
      </c>
      <c r="G72" s="113">
        <v>211</v>
      </c>
      <c r="H72" s="113">
        <v>206</v>
      </c>
      <c r="I72" s="113">
        <v>200</v>
      </c>
      <c r="J72" s="113">
        <v>194</v>
      </c>
      <c r="K72" s="113">
        <v>184</v>
      </c>
      <c r="L72" s="113">
        <v>173</v>
      </c>
      <c r="M72" s="113">
        <v>163</v>
      </c>
      <c r="N72" s="113">
        <v>181</v>
      </c>
      <c r="O72" s="113">
        <v>263</v>
      </c>
      <c r="P72" s="113">
        <v>304</v>
      </c>
      <c r="Q72" s="113">
        <v>354</v>
      </c>
    </row>
    <row r="73" spans="1:18" ht="11.5" customHeight="1">
      <c r="A73" s="98" t="s">
        <v>179</v>
      </c>
      <c r="B73" s="110">
        <v>6418183.7457448766</v>
      </c>
      <c r="C73" s="110">
        <v>6478655.9499386065</v>
      </c>
      <c r="D73" s="110">
        <v>6525988.76240288</v>
      </c>
      <c r="E73" s="110">
        <v>6569815.8545401078</v>
      </c>
      <c r="F73" s="110">
        <v>6619089.7793985438</v>
      </c>
      <c r="G73" s="110">
        <v>6652321.5728879888</v>
      </c>
      <c r="H73" s="110">
        <v>6686318.4547030274</v>
      </c>
      <c r="I73" s="110">
        <v>6727428.2764733098</v>
      </c>
      <c r="J73" s="110">
        <v>6768831.991802861</v>
      </c>
      <c r="K73" s="110">
        <v>6788972.4461134225</v>
      </c>
      <c r="L73" s="110">
        <v>6826068.8118016031</v>
      </c>
      <c r="M73" s="110">
        <v>6778637.0536762262</v>
      </c>
      <c r="N73" s="110">
        <v>6762786.6762155127</v>
      </c>
      <c r="O73" s="110">
        <v>6777628.888790831</v>
      </c>
      <c r="P73" s="110">
        <v>6865006.2286810437</v>
      </c>
      <c r="Q73" s="110">
        <v>6895536.5990829607</v>
      </c>
    </row>
    <row r="74" spans="1:18" ht="11.5" customHeight="1">
      <c r="A74" s="100" t="s">
        <v>173</v>
      </c>
      <c r="B74" s="111">
        <v>5894666</v>
      </c>
      <c r="C74" s="111">
        <v>5936465</v>
      </c>
      <c r="D74" s="111">
        <v>5969141</v>
      </c>
      <c r="E74" s="111">
        <v>6002578</v>
      </c>
      <c r="F74" s="111">
        <v>6033918</v>
      </c>
      <c r="G74" s="111">
        <v>6056108</v>
      </c>
      <c r="H74" s="111">
        <v>6079536</v>
      </c>
      <c r="I74" s="111">
        <v>6109204</v>
      </c>
      <c r="J74" s="111">
        <v>6136275</v>
      </c>
      <c r="K74" s="111">
        <v>6154035</v>
      </c>
      <c r="L74" s="111">
        <v>6168004</v>
      </c>
      <c r="M74" s="111">
        <v>6128783</v>
      </c>
      <c r="N74" s="111">
        <v>6124619</v>
      </c>
      <c r="O74" s="111">
        <v>6145325</v>
      </c>
      <c r="P74" s="111">
        <v>6231811</v>
      </c>
      <c r="Q74" s="111">
        <v>6270612</v>
      </c>
    </row>
    <row r="75" spans="1:18" ht="11.5" customHeight="1">
      <c r="A75" s="104" t="s">
        <v>165</v>
      </c>
      <c r="B75" s="113">
        <v>770989</v>
      </c>
      <c r="C75" s="113">
        <v>643004</v>
      </c>
      <c r="D75" s="113">
        <v>536982</v>
      </c>
      <c r="E75" s="113">
        <v>431848</v>
      </c>
      <c r="F75" s="113">
        <v>346145</v>
      </c>
      <c r="G75" s="113">
        <v>291811</v>
      </c>
      <c r="H75" s="113">
        <v>249479</v>
      </c>
      <c r="I75" s="113">
        <v>221454</v>
      </c>
      <c r="J75" s="113">
        <v>210763</v>
      </c>
      <c r="K75" s="113">
        <v>196991</v>
      </c>
      <c r="L75" s="113">
        <v>185893</v>
      </c>
      <c r="M75" s="113">
        <v>179792</v>
      </c>
      <c r="N75" s="113">
        <v>174754</v>
      </c>
      <c r="O75" s="113">
        <v>171996</v>
      </c>
      <c r="P75" s="113">
        <v>157933</v>
      </c>
      <c r="Q75" s="113">
        <v>146189</v>
      </c>
    </row>
    <row r="76" spans="1:18" ht="11.5" customHeight="1">
      <c r="A76" s="104" t="s">
        <v>166</v>
      </c>
      <c r="B76" s="113">
        <v>5097990</v>
      </c>
      <c r="C76" s="113">
        <v>5265605</v>
      </c>
      <c r="D76" s="113">
        <v>5403184</v>
      </c>
      <c r="E76" s="113">
        <v>5540874</v>
      </c>
      <c r="F76" s="113">
        <v>5656919</v>
      </c>
      <c r="G76" s="113">
        <v>5732573</v>
      </c>
      <c r="H76" s="113">
        <v>5795993</v>
      </c>
      <c r="I76" s="113">
        <v>5858848</v>
      </c>
      <c r="J76" s="113">
        <v>5898297</v>
      </c>
      <c r="K76" s="113">
        <v>5930790</v>
      </c>
      <c r="L76" s="113">
        <v>5958014</v>
      </c>
      <c r="M76" s="113">
        <v>5925820</v>
      </c>
      <c r="N76" s="113">
        <v>5924253</v>
      </c>
      <c r="O76" s="113">
        <v>5943607</v>
      </c>
      <c r="P76" s="113">
        <v>6041366</v>
      </c>
      <c r="Q76" s="113">
        <v>6088689</v>
      </c>
    </row>
    <row r="77" spans="1:18" ht="11.5" customHeight="1">
      <c r="A77" s="104" t="s">
        <v>167</v>
      </c>
      <c r="B77" s="113">
        <v>21292</v>
      </c>
      <c r="C77" s="113">
        <v>22772</v>
      </c>
      <c r="D77" s="113">
        <v>23556</v>
      </c>
      <c r="E77" s="113">
        <v>24074</v>
      </c>
      <c r="F77" s="113">
        <v>24854</v>
      </c>
      <c r="G77" s="113">
        <v>25804</v>
      </c>
      <c r="H77" s="113">
        <v>27723</v>
      </c>
      <c r="I77" s="113">
        <v>22343</v>
      </c>
      <c r="J77" s="113">
        <v>21154</v>
      </c>
      <c r="K77" s="113">
        <v>19697</v>
      </c>
      <c r="L77" s="113">
        <v>18099</v>
      </c>
      <c r="M77" s="113">
        <v>16606</v>
      </c>
      <c r="N77" s="113">
        <v>15145</v>
      </c>
      <c r="O77" s="113">
        <v>13731</v>
      </c>
      <c r="P77" s="113">
        <v>12263</v>
      </c>
      <c r="Q77" s="113">
        <v>10839</v>
      </c>
    </row>
    <row r="78" spans="1:18" ht="11.5" customHeight="1">
      <c r="A78" s="104" t="s">
        <v>168</v>
      </c>
      <c r="B78" s="113">
        <v>300</v>
      </c>
      <c r="C78" s="113">
        <v>274</v>
      </c>
      <c r="D78" s="113">
        <v>281</v>
      </c>
      <c r="E78" s="113">
        <v>455</v>
      </c>
      <c r="F78" s="113">
        <v>437</v>
      </c>
      <c r="G78" s="113">
        <v>420</v>
      </c>
      <c r="H78" s="113">
        <v>859</v>
      </c>
      <c r="I78" s="113">
        <v>806</v>
      </c>
      <c r="J78" s="113">
        <v>826</v>
      </c>
      <c r="K78" s="113">
        <v>1011</v>
      </c>
      <c r="L78" s="113">
        <v>965</v>
      </c>
      <c r="M78" s="113">
        <v>1159</v>
      </c>
      <c r="N78" s="113">
        <v>1598</v>
      </c>
      <c r="O78" s="113">
        <v>2055</v>
      </c>
      <c r="P78" s="113">
        <v>2483</v>
      </c>
      <c r="Q78" s="113">
        <v>2757</v>
      </c>
    </row>
    <row r="79" spans="1:18" ht="11.5" customHeight="1">
      <c r="A79" s="104" t="s">
        <v>170</v>
      </c>
      <c r="B79" s="113">
        <v>4095</v>
      </c>
      <c r="C79" s="113">
        <v>4810</v>
      </c>
      <c r="D79" s="113">
        <v>5138</v>
      </c>
      <c r="E79" s="113">
        <v>5327</v>
      </c>
      <c r="F79" s="113">
        <v>5563</v>
      </c>
      <c r="G79" s="113">
        <v>5500</v>
      </c>
      <c r="H79" s="113">
        <v>5482</v>
      </c>
      <c r="I79" s="113">
        <v>5753</v>
      </c>
      <c r="J79" s="113">
        <v>5235</v>
      </c>
      <c r="K79" s="113">
        <v>5546</v>
      </c>
      <c r="L79" s="113">
        <v>5033</v>
      </c>
      <c r="M79" s="113">
        <v>5406</v>
      </c>
      <c r="N79" s="113">
        <v>8869</v>
      </c>
      <c r="O79" s="113">
        <v>13936</v>
      </c>
      <c r="P79" s="113">
        <v>17766</v>
      </c>
      <c r="Q79" s="113">
        <v>22138</v>
      </c>
    </row>
    <row r="80" spans="1:18" ht="11.5" customHeight="1">
      <c r="A80" s="102" t="s">
        <v>174</v>
      </c>
      <c r="B80" s="112">
        <v>523517.74574487645</v>
      </c>
      <c r="C80" s="112">
        <v>542190.94993860624</v>
      </c>
      <c r="D80" s="112">
        <v>556847.76240288024</v>
      </c>
      <c r="E80" s="112">
        <v>567237.85454010766</v>
      </c>
      <c r="F80" s="112">
        <v>585171.77939854341</v>
      </c>
      <c r="G80" s="112">
        <v>596213.57288798923</v>
      </c>
      <c r="H80" s="112">
        <v>606782.45470302715</v>
      </c>
      <c r="I80" s="112">
        <v>618224.27647330938</v>
      </c>
      <c r="J80" s="112">
        <v>632556.9918028611</v>
      </c>
      <c r="K80" s="112">
        <v>634937.44611342251</v>
      </c>
      <c r="L80" s="112">
        <v>658064.81180160353</v>
      </c>
      <c r="M80" s="112">
        <v>649854.05367622606</v>
      </c>
      <c r="N80" s="112">
        <v>638167.67621551303</v>
      </c>
      <c r="O80" s="112">
        <v>632303.88879083062</v>
      </c>
      <c r="P80" s="112">
        <v>633195.22868104349</v>
      </c>
      <c r="Q80" s="112">
        <v>624924.59908296051</v>
      </c>
    </row>
    <row r="81" spans="1:17" ht="11.5" customHeight="1">
      <c r="A81" s="104" t="s">
        <v>175</v>
      </c>
      <c r="B81" s="113">
        <v>450511</v>
      </c>
      <c r="C81" s="113">
        <v>464550</v>
      </c>
      <c r="D81" s="113">
        <v>475467</v>
      </c>
      <c r="E81" s="113">
        <v>484281</v>
      </c>
      <c r="F81" s="113">
        <v>488482</v>
      </c>
      <c r="G81" s="113">
        <v>496463</v>
      </c>
      <c r="H81" s="113">
        <v>504510</v>
      </c>
      <c r="I81" s="113">
        <v>513800</v>
      </c>
      <c r="J81" s="113">
        <v>530546</v>
      </c>
      <c r="K81" s="113">
        <v>543610</v>
      </c>
      <c r="L81" s="113">
        <v>565367</v>
      </c>
      <c r="M81" s="113">
        <v>561592</v>
      </c>
      <c r="N81" s="113">
        <v>551745</v>
      </c>
      <c r="O81" s="113">
        <v>541478</v>
      </c>
      <c r="P81" s="113">
        <v>541972</v>
      </c>
      <c r="Q81" s="113">
        <v>532479</v>
      </c>
    </row>
    <row r="82" spans="1:17" ht="11.5" customHeight="1">
      <c r="A82" s="106" t="s">
        <v>176</v>
      </c>
      <c r="B82" s="114">
        <v>73006.745744876418</v>
      </c>
      <c r="C82" s="114">
        <v>77640.949938606296</v>
      </c>
      <c r="D82" s="114">
        <v>81380.76240288018</v>
      </c>
      <c r="E82" s="114">
        <v>82956.85454010767</v>
      </c>
      <c r="F82" s="114">
        <v>96689.779398543455</v>
      </c>
      <c r="G82" s="114">
        <v>99750.572887989212</v>
      </c>
      <c r="H82" s="114">
        <v>102272.45470302712</v>
      </c>
      <c r="I82" s="114">
        <v>104424.27647330935</v>
      </c>
      <c r="J82" s="114">
        <v>102010.99180286113</v>
      </c>
      <c r="K82" s="114">
        <v>91327.446113422455</v>
      </c>
      <c r="L82" s="114">
        <v>92697.811801603588</v>
      </c>
      <c r="M82" s="114">
        <v>88262.053676226074</v>
      </c>
      <c r="N82" s="114">
        <v>86422.676215513056</v>
      </c>
      <c r="O82" s="114">
        <v>90825.888790830606</v>
      </c>
      <c r="P82" s="114">
        <v>91223.228681043474</v>
      </c>
      <c r="Q82" s="114">
        <v>92445.599082960573</v>
      </c>
    </row>
    <row r="84" spans="1:17" ht="11.5" customHeight="1">
      <c r="A84" s="96" t="s">
        <v>181</v>
      </c>
      <c r="B84" s="109">
        <v>38145873.745744877</v>
      </c>
      <c r="C84" s="109">
        <v>38680453.94993861</v>
      </c>
      <c r="D84" s="109">
        <v>39189167.762402877</v>
      </c>
      <c r="E84" s="109">
        <v>39645870.85454011</v>
      </c>
      <c r="F84" s="109">
        <v>40055386.779398546</v>
      </c>
      <c r="G84" s="109">
        <v>40308103.572887987</v>
      </c>
      <c r="H84" s="109">
        <v>40744647.454703026</v>
      </c>
      <c r="I84" s="109">
        <v>41340239.276473314</v>
      </c>
      <c r="J84" s="109">
        <v>41619016.991802864</v>
      </c>
      <c r="K84" s="109">
        <v>42026693.446113423</v>
      </c>
      <c r="L84" s="109">
        <v>42416210.811801605</v>
      </c>
      <c r="M84" s="109">
        <v>42595592.053676225</v>
      </c>
      <c r="N84" s="109">
        <v>42594392.676215515</v>
      </c>
      <c r="O84" s="109">
        <v>43667416.888790831</v>
      </c>
      <c r="P84" s="109">
        <v>43268168.228681043</v>
      </c>
      <c r="Q84" s="109">
        <v>42933863.599082962</v>
      </c>
    </row>
    <row r="85" spans="1:17" ht="11.5" customHeight="1">
      <c r="A85" s="98" t="s">
        <v>178</v>
      </c>
      <c r="B85" s="110">
        <v>31727690</v>
      </c>
      <c r="C85" s="110">
        <v>32201798</v>
      </c>
      <c r="D85" s="110">
        <v>32663179</v>
      </c>
      <c r="E85" s="110">
        <v>33076055</v>
      </c>
      <c r="F85" s="110">
        <v>33436297</v>
      </c>
      <c r="G85" s="110">
        <v>33655782</v>
      </c>
      <c r="H85" s="110">
        <v>34058329</v>
      </c>
      <c r="I85" s="110">
        <v>34612811</v>
      </c>
      <c r="J85" s="110">
        <v>34850185</v>
      </c>
      <c r="K85" s="110">
        <v>35237721</v>
      </c>
      <c r="L85" s="110">
        <v>35590142</v>
      </c>
      <c r="M85" s="110">
        <v>35816955</v>
      </c>
      <c r="N85" s="110">
        <v>35831606</v>
      </c>
      <c r="O85" s="110">
        <v>36889788</v>
      </c>
      <c r="P85" s="110">
        <v>36403162</v>
      </c>
      <c r="Q85" s="110">
        <v>36038327</v>
      </c>
    </row>
    <row r="86" spans="1:17" ht="11.5" customHeight="1">
      <c r="A86" s="100" t="s">
        <v>163</v>
      </c>
      <c r="B86" s="111">
        <v>3228941</v>
      </c>
      <c r="C86" s="111">
        <v>3269135</v>
      </c>
      <c r="D86" s="111">
        <v>3270475</v>
      </c>
      <c r="E86" s="111">
        <v>3279854</v>
      </c>
      <c r="F86" s="111">
        <v>3298611</v>
      </c>
      <c r="G86" s="111">
        <v>3316438</v>
      </c>
      <c r="H86" s="111">
        <v>3407887</v>
      </c>
      <c r="I86" s="111">
        <v>3659899</v>
      </c>
      <c r="J86" s="111">
        <v>3905029</v>
      </c>
      <c r="K86" s="111">
        <v>4094912</v>
      </c>
      <c r="L86" s="111">
        <v>4200457</v>
      </c>
      <c r="M86" s="111">
        <v>4175456</v>
      </c>
      <c r="N86" s="111">
        <v>4138839</v>
      </c>
      <c r="O86" s="111">
        <v>3934073</v>
      </c>
      <c r="P86" s="111">
        <v>3771690</v>
      </c>
      <c r="Q86" s="111">
        <v>3609669</v>
      </c>
    </row>
    <row r="87" spans="1:17" ht="11.5" customHeight="1">
      <c r="A87" s="102" t="s">
        <v>164</v>
      </c>
      <c r="B87" s="112">
        <v>28413000</v>
      </c>
      <c r="C87" s="112">
        <v>28845000</v>
      </c>
      <c r="D87" s="112">
        <v>29306000</v>
      </c>
      <c r="E87" s="112">
        <v>29708000</v>
      </c>
      <c r="F87" s="112">
        <v>30048000</v>
      </c>
      <c r="G87" s="112">
        <v>30248000</v>
      </c>
      <c r="H87" s="112">
        <v>30557000</v>
      </c>
      <c r="I87" s="112">
        <v>30857000</v>
      </c>
      <c r="J87" s="112">
        <v>30850000</v>
      </c>
      <c r="K87" s="112">
        <v>31050000</v>
      </c>
      <c r="L87" s="112">
        <v>31300000</v>
      </c>
      <c r="M87" s="112">
        <v>31550000</v>
      </c>
      <c r="N87" s="112">
        <v>31600000</v>
      </c>
      <c r="O87" s="112">
        <v>32858000</v>
      </c>
      <c r="P87" s="112">
        <v>32531000</v>
      </c>
      <c r="Q87" s="112">
        <v>32326000</v>
      </c>
    </row>
    <row r="88" spans="1:17" ht="11.5" customHeight="1">
      <c r="A88" s="104" t="s">
        <v>165</v>
      </c>
      <c r="B88" s="113">
        <v>18086443</v>
      </c>
      <c r="C88" s="113">
        <v>17689745</v>
      </c>
      <c r="D88" s="113">
        <v>17237258</v>
      </c>
      <c r="E88" s="113">
        <v>16753192</v>
      </c>
      <c r="F88" s="113">
        <v>16244787</v>
      </c>
      <c r="G88" s="113">
        <v>15701047</v>
      </c>
      <c r="H88" s="113">
        <v>15225334</v>
      </c>
      <c r="I88" s="113">
        <v>14760887</v>
      </c>
      <c r="J88" s="113">
        <v>13568578</v>
      </c>
      <c r="K88" s="113">
        <v>12656783</v>
      </c>
      <c r="L88" s="113">
        <v>11765384</v>
      </c>
      <c r="M88" s="113">
        <v>10999101</v>
      </c>
      <c r="N88" s="113">
        <v>10247340</v>
      </c>
      <c r="O88" s="113">
        <v>10257842</v>
      </c>
      <c r="P88" s="113">
        <v>9767186</v>
      </c>
      <c r="Q88" s="113">
        <v>9558580</v>
      </c>
    </row>
    <row r="89" spans="1:17" ht="11.5" customHeight="1">
      <c r="A89" s="104" t="s">
        <v>166</v>
      </c>
      <c r="B89" s="113">
        <v>9983557</v>
      </c>
      <c r="C89" s="113">
        <v>10814869</v>
      </c>
      <c r="D89" s="113">
        <v>11753309</v>
      </c>
      <c r="E89" s="113">
        <v>12670155</v>
      </c>
      <c r="F89" s="113">
        <v>13535663</v>
      </c>
      <c r="G89" s="113">
        <v>14299705</v>
      </c>
      <c r="H89" s="113">
        <v>15103566</v>
      </c>
      <c r="I89" s="113">
        <v>15888228</v>
      </c>
      <c r="J89" s="113">
        <v>17093681</v>
      </c>
      <c r="K89" s="113">
        <v>18232612</v>
      </c>
      <c r="L89" s="113">
        <v>19268119</v>
      </c>
      <c r="M89" s="113">
        <v>20289662</v>
      </c>
      <c r="N89" s="113">
        <v>21103789</v>
      </c>
      <c r="O89" s="113">
        <v>22357630</v>
      </c>
      <c r="P89" s="113">
        <v>22526082</v>
      </c>
      <c r="Q89" s="113">
        <v>22523435</v>
      </c>
    </row>
    <row r="90" spans="1:17" ht="11.5" customHeight="1">
      <c r="A90" s="104" t="s">
        <v>167</v>
      </c>
      <c r="B90" s="113">
        <v>343000</v>
      </c>
      <c r="C90" s="113">
        <v>340386</v>
      </c>
      <c r="D90" s="113">
        <v>315433</v>
      </c>
      <c r="E90" s="113">
        <v>284653</v>
      </c>
      <c r="F90" s="113">
        <v>267550</v>
      </c>
      <c r="G90" s="113">
        <v>247248</v>
      </c>
      <c r="H90" s="113">
        <v>228086</v>
      </c>
      <c r="I90" s="113">
        <v>207390</v>
      </c>
      <c r="J90" s="113">
        <v>186797</v>
      </c>
      <c r="K90" s="113">
        <v>159283</v>
      </c>
      <c r="L90" s="113">
        <v>264876</v>
      </c>
      <c r="M90" s="113">
        <v>256802</v>
      </c>
      <c r="N90" s="113">
        <v>238793</v>
      </c>
      <c r="O90" s="113">
        <v>222158</v>
      </c>
      <c r="P90" s="113">
        <v>205642</v>
      </c>
      <c r="Q90" s="113">
        <v>189225</v>
      </c>
    </row>
    <row r="91" spans="1:17" ht="11.5" customHeight="1">
      <c r="A91" s="104" t="s">
        <v>168</v>
      </c>
      <c r="B91" s="113">
        <v>0</v>
      </c>
      <c r="C91" s="113">
        <v>0</v>
      </c>
      <c r="D91" s="113">
        <v>0</v>
      </c>
      <c r="E91" s="113">
        <v>0</v>
      </c>
      <c r="F91" s="113">
        <v>0</v>
      </c>
      <c r="G91" s="113">
        <v>0</v>
      </c>
      <c r="H91" s="113">
        <v>0</v>
      </c>
      <c r="I91" s="113">
        <v>475</v>
      </c>
      <c r="J91" s="113">
        <v>921</v>
      </c>
      <c r="K91" s="113">
        <v>1287</v>
      </c>
      <c r="L91" s="113">
        <v>1436</v>
      </c>
      <c r="M91" s="113">
        <v>1581</v>
      </c>
      <c r="N91" s="113">
        <v>1704</v>
      </c>
      <c r="O91" s="113">
        <v>1769</v>
      </c>
      <c r="P91" s="113">
        <v>1815</v>
      </c>
      <c r="Q91" s="113">
        <v>1936</v>
      </c>
    </row>
    <row r="92" spans="1:17" ht="11.5" customHeight="1">
      <c r="A92" s="104" t="s">
        <v>169</v>
      </c>
      <c r="B92" s="113">
        <v>0</v>
      </c>
      <c r="C92" s="113">
        <v>0</v>
      </c>
      <c r="D92" s="113">
        <v>0</v>
      </c>
      <c r="E92" s="113">
        <v>0</v>
      </c>
      <c r="F92" s="113">
        <v>0</v>
      </c>
      <c r="G92" s="113">
        <v>0</v>
      </c>
      <c r="H92" s="113">
        <v>0</v>
      </c>
      <c r="I92" s="113">
        <v>0</v>
      </c>
      <c r="J92" s="113">
        <v>0</v>
      </c>
      <c r="K92" s="113">
        <v>0</v>
      </c>
      <c r="L92" s="113">
        <v>0</v>
      </c>
      <c r="M92" s="113">
        <v>0</v>
      </c>
      <c r="N92" s="113">
        <v>0</v>
      </c>
      <c r="O92" s="113">
        <v>601</v>
      </c>
      <c r="P92" s="113">
        <v>2435</v>
      </c>
      <c r="Q92" s="113">
        <v>8059</v>
      </c>
    </row>
    <row r="93" spans="1:17" ht="11.5" customHeight="1">
      <c r="A93" s="104" t="s">
        <v>170</v>
      </c>
      <c r="B93" s="113">
        <v>0</v>
      </c>
      <c r="C93" s="113">
        <v>0</v>
      </c>
      <c r="D93" s="113">
        <v>0</v>
      </c>
      <c r="E93" s="113">
        <v>0</v>
      </c>
      <c r="F93" s="113">
        <v>0</v>
      </c>
      <c r="G93" s="113">
        <v>0</v>
      </c>
      <c r="H93" s="113">
        <v>14</v>
      </c>
      <c r="I93" s="113">
        <v>20</v>
      </c>
      <c r="J93" s="113">
        <v>23</v>
      </c>
      <c r="K93" s="113">
        <v>35</v>
      </c>
      <c r="L93" s="113">
        <v>185</v>
      </c>
      <c r="M93" s="113">
        <v>2854</v>
      </c>
      <c r="N93" s="113">
        <v>8374</v>
      </c>
      <c r="O93" s="113">
        <v>18000</v>
      </c>
      <c r="P93" s="113">
        <v>27840</v>
      </c>
      <c r="Q93" s="113">
        <v>44765</v>
      </c>
    </row>
    <row r="94" spans="1:17" ht="11.5" customHeight="1">
      <c r="A94" s="102" t="s">
        <v>171</v>
      </c>
      <c r="B94" s="112">
        <v>85749</v>
      </c>
      <c r="C94" s="112">
        <v>87663</v>
      </c>
      <c r="D94" s="112">
        <v>86704</v>
      </c>
      <c r="E94" s="112">
        <v>88201</v>
      </c>
      <c r="F94" s="112">
        <v>89686</v>
      </c>
      <c r="G94" s="112">
        <v>91344</v>
      </c>
      <c r="H94" s="112">
        <v>93442</v>
      </c>
      <c r="I94" s="112">
        <v>95912</v>
      </c>
      <c r="J94" s="112">
        <v>95156</v>
      </c>
      <c r="K94" s="112">
        <v>92809</v>
      </c>
      <c r="L94" s="112">
        <v>89685</v>
      </c>
      <c r="M94" s="112">
        <v>91499</v>
      </c>
      <c r="N94" s="112">
        <v>92767</v>
      </c>
      <c r="O94" s="112">
        <v>97715</v>
      </c>
      <c r="P94" s="112">
        <v>100472</v>
      </c>
      <c r="Q94" s="112">
        <v>102658</v>
      </c>
    </row>
    <row r="95" spans="1:17" ht="11.5" customHeight="1">
      <c r="A95" s="104" t="s">
        <v>165</v>
      </c>
      <c r="B95" s="113">
        <v>1273</v>
      </c>
      <c r="C95" s="113">
        <v>1208</v>
      </c>
      <c r="D95" s="113">
        <v>1138</v>
      </c>
      <c r="E95" s="113">
        <v>1062</v>
      </c>
      <c r="F95" s="113">
        <v>984</v>
      </c>
      <c r="G95" s="113">
        <v>903</v>
      </c>
      <c r="H95" s="113">
        <v>821</v>
      </c>
      <c r="I95" s="113">
        <v>740</v>
      </c>
      <c r="J95" s="113">
        <v>661</v>
      </c>
      <c r="K95" s="113">
        <v>584</v>
      </c>
      <c r="L95" s="113">
        <v>511</v>
      </c>
      <c r="M95" s="113">
        <v>441</v>
      </c>
      <c r="N95" s="113">
        <v>378</v>
      </c>
      <c r="O95" s="113">
        <v>319</v>
      </c>
      <c r="P95" s="113">
        <v>265</v>
      </c>
      <c r="Q95" s="113">
        <v>218</v>
      </c>
    </row>
    <row r="96" spans="1:17" ht="11.5" customHeight="1">
      <c r="A96" s="104" t="s">
        <v>166</v>
      </c>
      <c r="B96" s="113">
        <v>84091</v>
      </c>
      <c r="C96" s="113">
        <v>84777</v>
      </c>
      <c r="D96" s="113">
        <v>83635</v>
      </c>
      <c r="E96" s="113">
        <v>84612</v>
      </c>
      <c r="F96" s="113">
        <v>85935</v>
      </c>
      <c r="G96" s="113">
        <v>87561</v>
      </c>
      <c r="H96" s="113">
        <v>89037</v>
      </c>
      <c r="I96" s="113">
        <v>91250</v>
      </c>
      <c r="J96" s="113">
        <v>89840</v>
      </c>
      <c r="K96" s="113">
        <v>87535</v>
      </c>
      <c r="L96" s="113">
        <v>84598</v>
      </c>
      <c r="M96" s="113">
        <v>86412</v>
      </c>
      <c r="N96" s="113">
        <v>87678</v>
      </c>
      <c r="O96" s="113">
        <v>92459</v>
      </c>
      <c r="P96" s="113">
        <v>93174</v>
      </c>
      <c r="Q96" s="113">
        <v>95350</v>
      </c>
    </row>
    <row r="97" spans="1:17" ht="11.5" customHeight="1">
      <c r="A97" s="104" t="s">
        <v>167</v>
      </c>
      <c r="B97" s="113">
        <v>147</v>
      </c>
      <c r="C97" s="113">
        <v>175</v>
      </c>
      <c r="D97" s="113">
        <v>173</v>
      </c>
      <c r="E97" s="113">
        <v>183</v>
      </c>
      <c r="F97" s="113">
        <v>189</v>
      </c>
      <c r="G97" s="113">
        <v>191</v>
      </c>
      <c r="H97" s="113">
        <v>153</v>
      </c>
      <c r="I97" s="113">
        <v>180</v>
      </c>
      <c r="J97" s="113">
        <v>171</v>
      </c>
      <c r="K97" s="113">
        <v>163</v>
      </c>
      <c r="L97" s="113">
        <v>154</v>
      </c>
      <c r="M97" s="113">
        <v>144</v>
      </c>
      <c r="N97" s="113">
        <v>135</v>
      </c>
      <c r="O97" s="113">
        <v>134</v>
      </c>
      <c r="P97" s="113">
        <v>130</v>
      </c>
      <c r="Q97" s="113">
        <v>125</v>
      </c>
    </row>
    <row r="98" spans="1:17" ht="11.5" customHeight="1">
      <c r="A98" s="104" t="s">
        <v>168</v>
      </c>
      <c r="B98" s="113">
        <v>91</v>
      </c>
      <c r="C98" s="113">
        <v>1339</v>
      </c>
      <c r="D98" s="113">
        <v>1575</v>
      </c>
      <c r="E98" s="113">
        <v>2146</v>
      </c>
      <c r="F98" s="113">
        <v>2365</v>
      </c>
      <c r="G98" s="113">
        <v>2478</v>
      </c>
      <c r="H98" s="113">
        <v>3225</v>
      </c>
      <c r="I98" s="113">
        <v>3542</v>
      </c>
      <c r="J98" s="113">
        <v>4290</v>
      </c>
      <c r="K98" s="113">
        <v>4343</v>
      </c>
      <c r="L98" s="113">
        <v>4249</v>
      </c>
      <c r="M98" s="113">
        <v>4339</v>
      </c>
      <c r="N98" s="113">
        <v>4395</v>
      </c>
      <c r="O98" s="113">
        <v>4540</v>
      </c>
      <c r="P98" s="113">
        <v>6599</v>
      </c>
      <c r="Q98" s="113">
        <v>6611</v>
      </c>
    </row>
    <row r="99" spans="1:17" ht="11.5" customHeight="1">
      <c r="A99" s="104" t="s">
        <v>170</v>
      </c>
      <c r="B99" s="113">
        <v>147</v>
      </c>
      <c r="C99" s="113">
        <v>164</v>
      </c>
      <c r="D99" s="113">
        <v>183</v>
      </c>
      <c r="E99" s="113">
        <v>198</v>
      </c>
      <c r="F99" s="113">
        <v>213</v>
      </c>
      <c r="G99" s="113">
        <v>211</v>
      </c>
      <c r="H99" s="113">
        <v>206</v>
      </c>
      <c r="I99" s="113">
        <v>200</v>
      </c>
      <c r="J99" s="113">
        <v>194</v>
      </c>
      <c r="K99" s="113">
        <v>184</v>
      </c>
      <c r="L99" s="113">
        <v>173</v>
      </c>
      <c r="M99" s="113">
        <v>163</v>
      </c>
      <c r="N99" s="113">
        <v>181</v>
      </c>
      <c r="O99" s="113">
        <v>263</v>
      </c>
      <c r="P99" s="113">
        <v>304</v>
      </c>
      <c r="Q99" s="113">
        <v>354</v>
      </c>
    </row>
    <row r="100" spans="1:17" ht="11.5" customHeight="1">
      <c r="A100" s="98" t="s">
        <v>179</v>
      </c>
      <c r="B100" s="110">
        <v>6418183.7457448766</v>
      </c>
      <c r="C100" s="110">
        <v>6478655.9499386065</v>
      </c>
      <c r="D100" s="110">
        <v>6525988.76240288</v>
      </c>
      <c r="E100" s="110">
        <v>6569815.8545401078</v>
      </c>
      <c r="F100" s="110">
        <v>6619089.7793985438</v>
      </c>
      <c r="G100" s="110">
        <v>6652321.5728879888</v>
      </c>
      <c r="H100" s="110">
        <v>6686318.4547030274</v>
      </c>
      <c r="I100" s="110">
        <v>6727428.2764733098</v>
      </c>
      <c r="J100" s="110">
        <v>6768831.991802861</v>
      </c>
      <c r="K100" s="110">
        <v>6788972.4461134225</v>
      </c>
      <c r="L100" s="110">
        <v>6826068.8118016031</v>
      </c>
      <c r="M100" s="110">
        <v>6778637.0536762262</v>
      </c>
      <c r="N100" s="110">
        <v>6762786.6762155127</v>
      </c>
      <c r="O100" s="110">
        <v>6777628.888790831</v>
      </c>
      <c r="P100" s="110">
        <v>6865006.2286810437</v>
      </c>
      <c r="Q100" s="110">
        <v>6895536.5990829607</v>
      </c>
    </row>
    <row r="101" spans="1:17" ht="11.5" customHeight="1">
      <c r="A101" s="100" t="s">
        <v>173</v>
      </c>
      <c r="B101" s="111">
        <v>5894666</v>
      </c>
      <c r="C101" s="111">
        <v>5936465</v>
      </c>
      <c r="D101" s="111">
        <v>5969141</v>
      </c>
      <c r="E101" s="111">
        <v>6002578</v>
      </c>
      <c r="F101" s="111">
        <v>6033918</v>
      </c>
      <c r="G101" s="111">
        <v>6056108</v>
      </c>
      <c r="H101" s="111">
        <v>6079536</v>
      </c>
      <c r="I101" s="111">
        <v>6109204</v>
      </c>
      <c r="J101" s="111">
        <v>6136275</v>
      </c>
      <c r="K101" s="111">
        <v>6154035</v>
      </c>
      <c r="L101" s="111">
        <v>6168004</v>
      </c>
      <c r="M101" s="111">
        <v>6128783</v>
      </c>
      <c r="N101" s="111">
        <v>6124619</v>
      </c>
      <c r="O101" s="111">
        <v>6145325</v>
      </c>
      <c r="P101" s="111">
        <v>6231811</v>
      </c>
      <c r="Q101" s="111">
        <v>6270612</v>
      </c>
    </row>
    <row r="102" spans="1:17" ht="11.5" customHeight="1">
      <c r="A102" s="104" t="s">
        <v>165</v>
      </c>
      <c r="B102" s="113">
        <v>770989</v>
      </c>
      <c r="C102" s="113">
        <v>643004</v>
      </c>
      <c r="D102" s="113">
        <v>536982</v>
      </c>
      <c r="E102" s="113">
        <v>431848</v>
      </c>
      <c r="F102" s="113">
        <v>346145</v>
      </c>
      <c r="G102" s="113">
        <v>291811</v>
      </c>
      <c r="H102" s="113">
        <v>249479</v>
      </c>
      <c r="I102" s="113">
        <v>221454</v>
      </c>
      <c r="J102" s="113">
        <v>210763</v>
      </c>
      <c r="K102" s="113">
        <v>196991</v>
      </c>
      <c r="L102" s="113">
        <v>185893</v>
      </c>
      <c r="M102" s="113">
        <v>179792</v>
      </c>
      <c r="N102" s="113">
        <v>174754</v>
      </c>
      <c r="O102" s="113">
        <v>171996</v>
      </c>
      <c r="P102" s="113">
        <v>157933</v>
      </c>
      <c r="Q102" s="113">
        <v>146189</v>
      </c>
    </row>
    <row r="103" spans="1:17" ht="11.5" customHeight="1">
      <c r="A103" s="104" t="s">
        <v>166</v>
      </c>
      <c r="B103" s="113">
        <v>5097990</v>
      </c>
      <c r="C103" s="113">
        <v>5265605</v>
      </c>
      <c r="D103" s="113">
        <v>5403184</v>
      </c>
      <c r="E103" s="113">
        <v>5540874</v>
      </c>
      <c r="F103" s="113">
        <v>5656919</v>
      </c>
      <c r="G103" s="113">
        <v>5732573</v>
      </c>
      <c r="H103" s="113">
        <v>5795993</v>
      </c>
      <c r="I103" s="113">
        <v>5858848</v>
      </c>
      <c r="J103" s="113">
        <v>5898297</v>
      </c>
      <c r="K103" s="113">
        <v>5930790</v>
      </c>
      <c r="L103" s="113">
        <v>5958014</v>
      </c>
      <c r="M103" s="113">
        <v>5925820</v>
      </c>
      <c r="N103" s="113">
        <v>5924253</v>
      </c>
      <c r="O103" s="113">
        <v>5943607</v>
      </c>
      <c r="P103" s="113">
        <v>6041366</v>
      </c>
      <c r="Q103" s="113">
        <v>6088689</v>
      </c>
    </row>
    <row r="104" spans="1:17" ht="11.5" customHeight="1">
      <c r="A104" s="104" t="s">
        <v>167</v>
      </c>
      <c r="B104" s="113">
        <v>21292</v>
      </c>
      <c r="C104" s="113">
        <v>22772</v>
      </c>
      <c r="D104" s="113">
        <v>23556</v>
      </c>
      <c r="E104" s="113">
        <v>24074</v>
      </c>
      <c r="F104" s="113">
        <v>24854</v>
      </c>
      <c r="G104" s="113">
        <v>25804</v>
      </c>
      <c r="H104" s="113">
        <v>27723</v>
      </c>
      <c r="I104" s="113">
        <v>22343</v>
      </c>
      <c r="J104" s="113">
        <v>21154</v>
      </c>
      <c r="K104" s="113">
        <v>19697</v>
      </c>
      <c r="L104" s="113">
        <v>18099</v>
      </c>
      <c r="M104" s="113">
        <v>16606</v>
      </c>
      <c r="N104" s="113">
        <v>15145</v>
      </c>
      <c r="O104" s="113">
        <v>13731</v>
      </c>
      <c r="P104" s="113">
        <v>12263</v>
      </c>
      <c r="Q104" s="113">
        <v>10839</v>
      </c>
    </row>
    <row r="105" spans="1:17" ht="11.5" customHeight="1">
      <c r="A105" s="104" t="s">
        <v>168</v>
      </c>
      <c r="B105" s="113">
        <v>300</v>
      </c>
      <c r="C105" s="113">
        <v>274</v>
      </c>
      <c r="D105" s="113">
        <v>281</v>
      </c>
      <c r="E105" s="113">
        <v>455</v>
      </c>
      <c r="F105" s="113">
        <v>437</v>
      </c>
      <c r="G105" s="113">
        <v>420</v>
      </c>
      <c r="H105" s="113">
        <v>859</v>
      </c>
      <c r="I105" s="113">
        <v>806</v>
      </c>
      <c r="J105" s="113">
        <v>826</v>
      </c>
      <c r="K105" s="113">
        <v>1011</v>
      </c>
      <c r="L105" s="113">
        <v>965</v>
      </c>
      <c r="M105" s="113">
        <v>1159</v>
      </c>
      <c r="N105" s="113">
        <v>1598</v>
      </c>
      <c r="O105" s="113">
        <v>2055</v>
      </c>
      <c r="P105" s="113">
        <v>2483</v>
      </c>
      <c r="Q105" s="113">
        <v>2757</v>
      </c>
    </row>
    <row r="106" spans="1:17" ht="11.5" customHeight="1">
      <c r="A106" s="104" t="s">
        <v>170</v>
      </c>
      <c r="B106" s="113">
        <v>4095</v>
      </c>
      <c r="C106" s="113">
        <v>4810</v>
      </c>
      <c r="D106" s="113">
        <v>5138</v>
      </c>
      <c r="E106" s="113">
        <v>5327</v>
      </c>
      <c r="F106" s="113">
        <v>5563</v>
      </c>
      <c r="G106" s="113">
        <v>5500</v>
      </c>
      <c r="H106" s="113">
        <v>5482</v>
      </c>
      <c r="I106" s="113">
        <v>5753</v>
      </c>
      <c r="J106" s="113">
        <v>5235</v>
      </c>
      <c r="K106" s="113">
        <v>5546</v>
      </c>
      <c r="L106" s="113">
        <v>5033</v>
      </c>
      <c r="M106" s="113">
        <v>5406</v>
      </c>
      <c r="N106" s="113">
        <v>8869</v>
      </c>
      <c r="O106" s="113">
        <v>13936</v>
      </c>
      <c r="P106" s="113">
        <v>17766</v>
      </c>
      <c r="Q106" s="113">
        <v>22138</v>
      </c>
    </row>
    <row r="107" spans="1:17" ht="11.5" customHeight="1">
      <c r="A107" s="102" t="s">
        <v>174</v>
      </c>
      <c r="B107" s="112">
        <v>523517.74574487645</v>
      </c>
      <c r="C107" s="112">
        <v>542190.94993860624</v>
      </c>
      <c r="D107" s="112">
        <v>556847.76240288024</v>
      </c>
      <c r="E107" s="112">
        <v>567237.85454010766</v>
      </c>
      <c r="F107" s="112">
        <v>585171.77939854341</v>
      </c>
      <c r="G107" s="112">
        <v>596213.57288798923</v>
      </c>
      <c r="H107" s="112">
        <v>606782.45470302715</v>
      </c>
      <c r="I107" s="112">
        <v>618224.27647330938</v>
      </c>
      <c r="J107" s="112">
        <v>632556.9918028611</v>
      </c>
      <c r="K107" s="112">
        <v>634937.44611342251</v>
      </c>
      <c r="L107" s="112">
        <v>658064.81180160353</v>
      </c>
      <c r="M107" s="112">
        <v>649854.05367622606</v>
      </c>
      <c r="N107" s="112">
        <v>638167.67621551303</v>
      </c>
      <c r="O107" s="112">
        <v>632303.88879083062</v>
      </c>
      <c r="P107" s="112">
        <v>633195.22868104349</v>
      </c>
      <c r="Q107" s="112">
        <v>624924.59908296051</v>
      </c>
    </row>
    <row r="108" spans="1:17" ht="11.5" customHeight="1">
      <c r="A108" s="104" t="s">
        <v>175</v>
      </c>
      <c r="B108" s="113">
        <v>450511</v>
      </c>
      <c r="C108" s="113">
        <v>464550</v>
      </c>
      <c r="D108" s="113">
        <v>475467</v>
      </c>
      <c r="E108" s="113">
        <v>484281</v>
      </c>
      <c r="F108" s="113">
        <v>488482</v>
      </c>
      <c r="G108" s="113">
        <v>496463</v>
      </c>
      <c r="H108" s="113">
        <v>504510</v>
      </c>
      <c r="I108" s="113">
        <v>513800</v>
      </c>
      <c r="J108" s="113">
        <v>530546</v>
      </c>
      <c r="K108" s="113">
        <v>543610</v>
      </c>
      <c r="L108" s="113">
        <v>565367</v>
      </c>
      <c r="M108" s="113">
        <v>561592</v>
      </c>
      <c r="N108" s="113">
        <v>551745</v>
      </c>
      <c r="O108" s="113">
        <v>541478</v>
      </c>
      <c r="P108" s="113">
        <v>541972</v>
      </c>
      <c r="Q108" s="113">
        <v>532479</v>
      </c>
    </row>
    <row r="109" spans="1:17" ht="11.5" customHeight="1">
      <c r="A109" s="106" t="s">
        <v>176</v>
      </c>
      <c r="B109" s="114">
        <v>73006.745744876418</v>
      </c>
      <c r="C109" s="114">
        <v>77640.949938606296</v>
      </c>
      <c r="D109" s="114">
        <v>81380.76240288018</v>
      </c>
      <c r="E109" s="114">
        <v>82956.85454010767</v>
      </c>
      <c r="F109" s="114">
        <v>96689.779398543455</v>
      </c>
      <c r="G109" s="114">
        <v>99750.572887989212</v>
      </c>
      <c r="H109" s="114">
        <v>102272.45470302712</v>
      </c>
      <c r="I109" s="114">
        <v>104424.27647330935</v>
      </c>
      <c r="J109" s="114">
        <v>102010.99180286113</v>
      </c>
      <c r="K109" s="114">
        <v>91327.446113422455</v>
      </c>
      <c r="L109" s="114">
        <v>92697.811801603588</v>
      </c>
      <c r="M109" s="114">
        <v>88262.053676226074</v>
      </c>
      <c r="N109" s="114">
        <v>86422.676215513056</v>
      </c>
      <c r="O109" s="114">
        <v>90825.888790830606</v>
      </c>
      <c r="P109" s="114">
        <v>91223.228681043474</v>
      </c>
      <c r="Q109" s="114">
        <v>92445.599082960573</v>
      </c>
    </row>
    <row r="111" spans="1:17" ht="11.5" customHeight="1">
      <c r="A111" s="96" t="s">
        <v>182</v>
      </c>
      <c r="B111" s="109"/>
      <c r="C111" s="109">
        <v>2944042</v>
      </c>
      <c r="D111" s="109">
        <v>2766922</v>
      </c>
      <c r="E111" s="109">
        <v>2639950</v>
      </c>
      <c r="F111" s="109">
        <v>2727825</v>
      </c>
      <c r="G111" s="109">
        <v>2786748</v>
      </c>
      <c r="H111" s="109">
        <v>2767390</v>
      </c>
      <c r="I111" s="109">
        <v>3356873</v>
      </c>
      <c r="J111" s="109">
        <v>2849660</v>
      </c>
      <c r="K111" s="109">
        <v>2994777</v>
      </c>
      <c r="L111" s="109">
        <v>3108031</v>
      </c>
      <c r="M111" s="109">
        <v>2891810</v>
      </c>
      <c r="N111" s="109">
        <v>2652289</v>
      </c>
      <c r="O111" s="109">
        <v>2942828</v>
      </c>
      <c r="P111" s="109">
        <v>2660246</v>
      </c>
      <c r="Q111" s="109">
        <v>2790838</v>
      </c>
    </row>
    <row r="112" spans="1:17" ht="11.5" customHeight="1">
      <c r="A112" s="98" t="s">
        <v>178</v>
      </c>
      <c r="B112" s="110"/>
      <c r="C112" s="110">
        <v>2455177</v>
      </c>
      <c r="D112" s="110">
        <v>2314682</v>
      </c>
      <c r="E112" s="110">
        <v>2207386</v>
      </c>
      <c r="F112" s="110">
        <v>2240030</v>
      </c>
      <c r="G112" s="110">
        <v>2314254</v>
      </c>
      <c r="H112" s="110">
        <v>2282791</v>
      </c>
      <c r="I112" s="110">
        <v>2851512</v>
      </c>
      <c r="J112" s="110">
        <v>2347789</v>
      </c>
      <c r="K112" s="110">
        <v>2511401</v>
      </c>
      <c r="L112" s="110">
        <v>2607287</v>
      </c>
      <c r="M112" s="110">
        <v>2430274</v>
      </c>
      <c r="N112" s="110">
        <v>2167049</v>
      </c>
      <c r="O112" s="110">
        <v>2422659</v>
      </c>
      <c r="P112" s="110">
        <v>2074525</v>
      </c>
      <c r="Q112" s="110">
        <v>2253089</v>
      </c>
    </row>
    <row r="113" spans="1:17" ht="11.5" customHeight="1">
      <c r="A113" s="100" t="s">
        <v>163</v>
      </c>
      <c r="B113" s="111"/>
      <c r="C113" s="111">
        <v>180425</v>
      </c>
      <c r="D113" s="111">
        <v>169587</v>
      </c>
      <c r="E113" s="111">
        <v>196928</v>
      </c>
      <c r="F113" s="111">
        <v>224696</v>
      </c>
      <c r="G113" s="111">
        <v>241023</v>
      </c>
      <c r="H113" s="111">
        <v>274502</v>
      </c>
      <c r="I113" s="111">
        <v>290446</v>
      </c>
      <c r="J113" s="111">
        <v>287398</v>
      </c>
      <c r="K113" s="111">
        <v>254067</v>
      </c>
      <c r="L113" s="111">
        <v>231020</v>
      </c>
      <c r="M113" s="111">
        <v>215309</v>
      </c>
      <c r="N113" s="111">
        <v>197455</v>
      </c>
      <c r="O113" s="111">
        <v>172383</v>
      </c>
      <c r="P113" s="111">
        <v>175894</v>
      </c>
      <c r="Q113" s="111">
        <v>173432</v>
      </c>
    </row>
    <row r="114" spans="1:17" ht="11.5" customHeight="1">
      <c r="A114" s="102" t="s">
        <v>164</v>
      </c>
      <c r="B114" s="112"/>
      <c r="C114" s="112">
        <v>2268266</v>
      </c>
      <c r="D114" s="112">
        <v>2139732</v>
      </c>
      <c r="E114" s="112">
        <v>2005270</v>
      </c>
      <c r="F114" s="112">
        <v>2010374</v>
      </c>
      <c r="G114" s="112">
        <v>2067789.0000000002</v>
      </c>
      <c r="H114" s="112">
        <v>2001956</v>
      </c>
      <c r="I114" s="112">
        <v>2554698</v>
      </c>
      <c r="J114" s="112">
        <v>2053067</v>
      </c>
      <c r="K114" s="112">
        <v>2249900</v>
      </c>
      <c r="L114" s="112">
        <v>2370367</v>
      </c>
      <c r="M114" s="112">
        <v>2208165</v>
      </c>
      <c r="N114" s="112">
        <v>1963420</v>
      </c>
      <c r="O114" s="112">
        <v>2242939</v>
      </c>
      <c r="P114" s="112">
        <v>1889722</v>
      </c>
      <c r="Q114" s="112">
        <v>2072313</v>
      </c>
    </row>
    <row r="115" spans="1:17" ht="11.5" customHeight="1">
      <c r="A115" s="104" t="s">
        <v>165</v>
      </c>
      <c r="B115" s="113"/>
      <c r="C115" s="113">
        <v>981301</v>
      </c>
      <c r="D115" s="113">
        <v>784799</v>
      </c>
      <c r="E115" s="113">
        <v>651356</v>
      </c>
      <c r="F115" s="113">
        <v>617449</v>
      </c>
      <c r="G115" s="113">
        <v>638752.00000000023</v>
      </c>
      <c r="H115" s="113">
        <v>574245</v>
      </c>
      <c r="I115" s="113">
        <v>1028778</v>
      </c>
      <c r="J115" s="113">
        <v>468154</v>
      </c>
      <c r="K115" s="113">
        <v>650960</v>
      </c>
      <c r="L115" s="113">
        <v>611856</v>
      </c>
      <c r="M115" s="113">
        <v>605044</v>
      </c>
      <c r="N115" s="113">
        <v>532509</v>
      </c>
      <c r="O115" s="113">
        <v>633521</v>
      </c>
      <c r="P115" s="113">
        <v>678485</v>
      </c>
      <c r="Q115" s="113">
        <v>844920</v>
      </c>
    </row>
    <row r="116" spans="1:17" ht="11.5" customHeight="1">
      <c r="A116" s="104" t="s">
        <v>166</v>
      </c>
      <c r="B116" s="113"/>
      <c r="C116" s="113">
        <v>1267761</v>
      </c>
      <c r="D116" s="113">
        <v>1354933</v>
      </c>
      <c r="E116" s="113">
        <v>1353914</v>
      </c>
      <c r="F116" s="113">
        <v>1392925</v>
      </c>
      <c r="G116" s="113">
        <v>1429037</v>
      </c>
      <c r="H116" s="113">
        <v>1427697</v>
      </c>
      <c r="I116" s="113">
        <v>1525439</v>
      </c>
      <c r="J116" s="113">
        <v>1584438</v>
      </c>
      <c r="K116" s="113">
        <v>1598535</v>
      </c>
      <c r="L116" s="113">
        <v>1652588</v>
      </c>
      <c r="M116" s="113">
        <v>1588444</v>
      </c>
      <c r="N116" s="113">
        <v>1422910</v>
      </c>
      <c r="O116" s="113">
        <v>1596438</v>
      </c>
      <c r="P116" s="113">
        <v>1196396</v>
      </c>
      <c r="Q116" s="113">
        <v>1202408</v>
      </c>
    </row>
    <row r="117" spans="1:17" ht="11.5" customHeight="1">
      <c r="A117" s="104" t="s">
        <v>167</v>
      </c>
      <c r="B117" s="113"/>
      <c r="C117" s="113">
        <v>19204</v>
      </c>
      <c r="D117" s="113">
        <v>0</v>
      </c>
      <c r="E117" s="113">
        <v>0</v>
      </c>
      <c r="F117" s="113">
        <v>0</v>
      </c>
      <c r="G117" s="113">
        <v>0</v>
      </c>
      <c r="H117" s="113">
        <v>0</v>
      </c>
      <c r="I117" s="113">
        <v>0</v>
      </c>
      <c r="J117" s="113">
        <v>0</v>
      </c>
      <c r="K117" s="113">
        <v>0</v>
      </c>
      <c r="L117" s="113">
        <v>105593</v>
      </c>
      <c r="M117" s="113">
        <v>11830</v>
      </c>
      <c r="N117" s="113">
        <v>2185</v>
      </c>
      <c r="O117" s="113">
        <v>2647</v>
      </c>
      <c r="P117" s="113">
        <v>2154</v>
      </c>
      <c r="Q117" s="113">
        <v>1422</v>
      </c>
    </row>
    <row r="118" spans="1:17" ht="11.5" customHeight="1">
      <c r="A118" s="104" t="s">
        <v>168</v>
      </c>
      <c r="B118" s="113"/>
      <c r="C118" s="113">
        <v>0</v>
      </c>
      <c r="D118" s="113">
        <v>0</v>
      </c>
      <c r="E118" s="113">
        <v>0</v>
      </c>
      <c r="F118" s="113">
        <v>0</v>
      </c>
      <c r="G118" s="113">
        <v>0</v>
      </c>
      <c r="H118" s="113">
        <v>0</v>
      </c>
      <c r="I118" s="113">
        <v>475</v>
      </c>
      <c r="J118" s="113">
        <v>471</v>
      </c>
      <c r="K118" s="113">
        <v>393</v>
      </c>
      <c r="L118" s="113">
        <v>178</v>
      </c>
      <c r="M118" s="113">
        <v>170</v>
      </c>
      <c r="N118" s="113">
        <v>155</v>
      </c>
      <c r="O118" s="113">
        <v>106</v>
      </c>
      <c r="P118" s="113">
        <v>92</v>
      </c>
      <c r="Q118" s="113">
        <v>177</v>
      </c>
    </row>
    <row r="119" spans="1:17" ht="11.5" customHeight="1">
      <c r="A119" s="104" t="s">
        <v>169</v>
      </c>
      <c r="B119" s="113"/>
      <c r="C119" s="113">
        <v>0</v>
      </c>
      <c r="D119" s="113">
        <v>0</v>
      </c>
      <c r="E119" s="113">
        <v>0</v>
      </c>
      <c r="F119" s="113">
        <v>0</v>
      </c>
      <c r="G119" s="113">
        <v>0</v>
      </c>
      <c r="H119" s="113">
        <v>0</v>
      </c>
      <c r="I119" s="113">
        <v>0</v>
      </c>
      <c r="J119" s="113">
        <v>0</v>
      </c>
      <c r="K119" s="113">
        <v>0</v>
      </c>
      <c r="L119" s="113">
        <v>0</v>
      </c>
      <c r="M119" s="113">
        <v>0</v>
      </c>
      <c r="N119" s="113">
        <v>0</v>
      </c>
      <c r="O119" s="113">
        <v>601</v>
      </c>
      <c r="P119" s="113">
        <v>1865</v>
      </c>
      <c r="Q119" s="113">
        <v>5726</v>
      </c>
    </row>
    <row r="120" spans="1:17" ht="11.5" customHeight="1">
      <c r="A120" s="104" t="s">
        <v>170</v>
      </c>
      <c r="B120" s="113"/>
      <c r="C120" s="113">
        <v>0</v>
      </c>
      <c r="D120" s="113">
        <v>0</v>
      </c>
      <c r="E120" s="113">
        <v>0</v>
      </c>
      <c r="F120" s="113">
        <v>0</v>
      </c>
      <c r="G120" s="113">
        <v>0</v>
      </c>
      <c r="H120" s="113">
        <v>14</v>
      </c>
      <c r="I120" s="113">
        <v>6</v>
      </c>
      <c r="J120" s="113">
        <v>4</v>
      </c>
      <c r="K120" s="113">
        <v>12</v>
      </c>
      <c r="L120" s="113">
        <v>152</v>
      </c>
      <c r="M120" s="113">
        <v>2677</v>
      </c>
      <c r="N120" s="113">
        <v>5661</v>
      </c>
      <c r="O120" s="113">
        <v>9626</v>
      </c>
      <c r="P120" s="113">
        <v>10730</v>
      </c>
      <c r="Q120" s="113">
        <v>17660</v>
      </c>
    </row>
    <row r="121" spans="1:17" ht="11.5" customHeight="1">
      <c r="A121" s="102" t="s">
        <v>171</v>
      </c>
      <c r="B121" s="112"/>
      <c r="C121" s="112">
        <v>6486</v>
      </c>
      <c r="D121" s="112">
        <v>5363</v>
      </c>
      <c r="E121" s="112">
        <v>5188</v>
      </c>
      <c r="F121" s="112">
        <v>4960</v>
      </c>
      <c r="G121" s="112">
        <v>5442</v>
      </c>
      <c r="H121" s="112">
        <v>6333</v>
      </c>
      <c r="I121" s="112">
        <v>6368</v>
      </c>
      <c r="J121" s="112">
        <v>7324</v>
      </c>
      <c r="K121" s="112">
        <v>7434</v>
      </c>
      <c r="L121" s="112">
        <v>5900</v>
      </c>
      <c r="M121" s="112">
        <v>6800</v>
      </c>
      <c r="N121" s="112">
        <v>6174</v>
      </c>
      <c r="O121" s="112">
        <v>7337</v>
      </c>
      <c r="P121" s="112">
        <v>8909</v>
      </c>
      <c r="Q121" s="112">
        <v>7344</v>
      </c>
    </row>
    <row r="122" spans="1:17" ht="11.5" customHeight="1">
      <c r="A122" s="104" t="s">
        <v>165</v>
      </c>
      <c r="B122" s="113"/>
      <c r="C122" s="113">
        <v>5</v>
      </c>
      <c r="D122" s="113">
        <v>4</v>
      </c>
      <c r="E122" s="113">
        <v>1</v>
      </c>
      <c r="F122" s="113">
        <v>1</v>
      </c>
      <c r="G122" s="113">
        <v>0</v>
      </c>
      <c r="H122" s="113">
        <v>0</v>
      </c>
      <c r="I122" s="113">
        <v>0</v>
      </c>
      <c r="J122" s="113">
        <v>0</v>
      </c>
      <c r="K122" s="113">
        <v>0</v>
      </c>
      <c r="L122" s="113">
        <v>0</v>
      </c>
      <c r="M122" s="113">
        <v>0</v>
      </c>
      <c r="N122" s="113">
        <v>1</v>
      </c>
      <c r="O122" s="113">
        <v>0</v>
      </c>
      <c r="P122" s="113">
        <v>0</v>
      </c>
      <c r="Q122" s="113">
        <v>0</v>
      </c>
    </row>
    <row r="123" spans="1:17" ht="11.5" customHeight="1">
      <c r="A123" s="104" t="s">
        <v>166</v>
      </c>
      <c r="B123" s="113"/>
      <c r="C123" s="113">
        <v>5177</v>
      </c>
      <c r="D123" s="113">
        <v>5089</v>
      </c>
      <c r="E123" s="113">
        <v>4570</v>
      </c>
      <c r="F123" s="113">
        <v>4691</v>
      </c>
      <c r="G123" s="113">
        <v>5287</v>
      </c>
      <c r="H123" s="113">
        <v>5544</v>
      </c>
      <c r="I123" s="113">
        <v>5963</v>
      </c>
      <c r="J123" s="113">
        <v>6510</v>
      </c>
      <c r="K123" s="113">
        <v>7303</v>
      </c>
      <c r="L123" s="113">
        <v>5900</v>
      </c>
      <c r="M123" s="113">
        <v>6600</v>
      </c>
      <c r="N123" s="113">
        <v>5959</v>
      </c>
      <c r="O123" s="113">
        <v>6966</v>
      </c>
      <c r="P123" s="113">
        <v>6646</v>
      </c>
      <c r="Q123" s="113">
        <v>7100</v>
      </c>
    </row>
    <row r="124" spans="1:17" ht="11.5" customHeight="1">
      <c r="A124" s="104" t="s">
        <v>167</v>
      </c>
      <c r="B124" s="113"/>
      <c r="C124" s="113">
        <v>28</v>
      </c>
      <c r="D124" s="113">
        <v>1</v>
      </c>
      <c r="E124" s="113">
        <v>10</v>
      </c>
      <c r="F124" s="113">
        <v>6</v>
      </c>
      <c r="G124" s="113">
        <v>7</v>
      </c>
      <c r="H124" s="113">
        <v>1</v>
      </c>
      <c r="I124" s="113">
        <v>36</v>
      </c>
      <c r="J124" s="113">
        <v>0</v>
      </c>
      <c r="K124" s="113">
        <v>2</v>
      </c>
      <c r="L124" s="113">
        <v>0</v>
      </c>
      <c r="M124" s="113">
        <v>0</v>
      </c>
      <c r="N124" s="113">
        <v>1</v>
      </c>
      <c r="O124" s="113">
        <v>0</v>
      </c>
      <c r="P124" s="113">
        <v>0</v>
      </c>
      <c r="Q124" s="113">
        <v>0</v>
      </c>
    </row>
    <row r="125" spans="1:17" ht="11.5" customHeight="1">
      <c r="A125" s="104" t="s">
        <v>168</v>
      </c>
      <c r="B125" s="113"/>
      <c r="C125" s="113">
        <v>1253</v>
      </c>
      <c r="D125" s="113">
        <v>243</v>
      </c>
      <c r="E125" s="113">
        <v>584</v>
      </c>
      <c r="F125" s="113">
        <v>239</v>
      </c>
      <c r="G125" s="113">
        <v>141</v>
      </c>
      <c r="H125" s="113">
        <v>784</v>
      </c>
      <c r="I125" s="113">
        <v>365</v>
      </c>
      <c r="J125" s="113">
        <v>810</v>
      </c>
      <c r="K125" s="113">
        <v>129</v>
      </c>
      <c r="L125" s="113">
        <v>0</v>
      </c>
      <c r="M125" s="113">
        <v>200</v>
      </c>
      <c r="N125" s="113">
        <v>184</v>
      </c>
      <c r="O125" s="113">
        <v>289</v>
      </c>
      <c r="P125" s="113">
        <v>2220</v>
      </c>
      <c r="Q125" s="113">
        <v>193</v>
      </c>
    </row>
    <row r="126" spans="1:17" ht="11.5" customHeight="1">
      <c r="A126" s="104" t="s">
        <v>170</v>
      </c>
      <c r="B126" s="113"/>
      <c r="C126" s="113">
        <v>23</v>
      </c>
      <c r="D126" s="113">
        <v>26</v>
      </c>
      <c r="E126" s="113">
        <v>23</v>
      </c>
      <c r="F126" s="113">
        <v>23</v>
      </c>
      <c r="G126" s="113">
        <v>7</v>
      </c>
      <c r="H126" s="113">
        <v>4</v>
      </c>
      <c r="I126" s="113">
        <v>4</v>
      </c>
      <c r="J126" s="113">
        <v>4</v>
      </c>
      <c r="K126" s="113">
        <v>0</v>
      </c>
      <c r="L126" s="113">
        <v>0</v>
      </c>
      <c r="M126" s="113">
        <v>0</v>
      </c>
      <c r="N126" s="113">
        <v>29</v>
      </c>
      <c r="O126" s="113">
        <v>82</v>
      </c>
      <c r="P126" s="113">
        <v>43</v>
      </c>
      <c r="Q126" s="113">
        <v>51</v>
      </c>
    </row>
    <row r="127" spans="1:17" ht="11.5" customHeight="1">
      <c r="A127" s="98" t="s">
        <v>179</v>
      </c>
      <c r="B127" s="110"/>
      <c r="C127" s="110">
        <v>488865</v>
      </c>
      <c r="D127" s="110">
        <v>452240</v>
      </c>
      <c r="E127" s="110">
        <v>432564</v>
      </c>
      <c r="F127" s="110">
        <v>487795</v>
      </c>
      <c r="G127" s="110">
        <v>472494</v>
      </c>
      <c r="H127" s="110">
        <v>484599</v>
      </c>
      <c r="I127" s="110">
        <v>505361</v>
      </c>
      <c r="J127" s="110">
        <v>501871</v>
      </c>
      <c r="K127" s="110">
        <v>483376</v>
      </c>
      <c r="L127" s="110">
        <v>500744</v>
      </c>
      <c r="M127" s="110">
        <v>461536</v>
      </c>
      <c r="N127" s="110">
        <v>485240</v>
      </c>
      <c r="O127" s="110">
        <v>520169</v>
      </c>
      <c r="P127" s="110">
        <v>585721</v>
      </c>
      <c r="Q127" s="110">
        <v>537749</v>
      </c>
    </row>
    <row r="128" spans="1:17" ht="11.5" customHeight="1">
      <c r="A128" s="100" t="s">
        <v>173</v>
      </c>
      <c r="B128" s="111"/>
      <c r="C128" s="111">
        <v>411239</v>
      </c>
      <c r="D128" s="111">
        <v>382489</v>
      </c>
      <c r="E128" s="111">
        <v>372062</v>
      </c>
      <c r="F128" s="111">
        <v>415172</v>
      </c>
      <c r="G128" s="111">
        <v>402185</v>
      </c>
      <c r="H128" s="111">
        <v>415658</v>
      </c>
      <c r="I128" s="111">
        <v>435249</v>
      </c>
      <c r="J128" s="111">
        <v>430402</v>
      </c>
      <c r="K128" s="111">
        <v>439856</v>
      </c>
      <c r="L128" s="111">
        <v>447031</v>
      </c>
      <c r="M128" s="111">
        <v>401715</v>
      </c>
      <c r="N128" s="111">
        <v>427260</v>
      </c>
      <c r="O128" s="111">
        <v>456977</v>
      </c>
      <c r="P128" s="111">
        <v>532097</v>
      </c>
      <c r="Q128" s="111">
        <v>479177</v>
      </c>
    </row>
    <row r="129" spans="1:17" ht="11.5" customHeight="1">
      <c r="A129" s="104" t="s">
        <v>165</v>
      </c>
      <c r="B129" s="113"/>
      <c r="C129" s="113">
        <v>12705</v>
      </c>
      <c r="D129" s="113">
        <v>9481</v>
      </c>
      <c r="E129" s="113">
        <v>6995</v>
      </c>
      <c r="F129" s="113">
        <v>6749</v>
      </c>
      <c r="G129" s="113">
        <v>6275</v>
      </c>
      <c r="H129" s="113">
        <v>5374</v>
      </c>
      <c r="I129" s="113">
        <v>4575</v>
      </c>
      <c r="J129" s="113">
        <v>3969</v>
      </c>
      <c r="K129" s="113">
        <v>4829</v>
      </c>
      <c r="L129" s="113">
        <v>5399</v>
      </c>
      <c r="M129" s="113">
        <v>5578</v>
      </c>
      <c r="N129" s="113">
        <v>4973</v>
      </c>
      <c r="O129" s="113">
        <v>5131</v>
      </c>
      <c r="P129" s="113">
        <v>3783</v>
      </c>
      <c r="Q129" s="113">
        <v>3855</v>
      </c>
    </row>
    <row r="130" spans="1:17" ht="11.5" customHeight="1">
      <c r="A130" s="104" t="s">
        <v>166</v>
      </c>
      <c r="B130" s="113"/>
      <c r="C130" s="113">
        <v>395934</v>
      </c>
      <c r="D130" s="113">
        <v>371128</v>
      </c>
      <c r="E130" s="113">
        <v>363195</v>
      </c>
      <c r="F130" s="113">
        <v>406453</v>
      </c>
      <c r="G130" s="113">
        <v>394206</v>
      </c>
      <c r="H130" s="113">
        <v>407668</v>
      </c>
      <c r="I130" s="113">
        <v>429755</v>
      </c>
      <c r="J130" s="113">
        <v>425585</v>
      </c>
      <c r="K130" s="113">
        <v>434089</v>
      </c>
      <c r="L130" s="113">
        <v>440516</v>
      </c>
      <c r="M130" s="113">
        <v>394808</v>
      </c>
      <c r="N130" s="113">
        <v>418299</v>
      </c>
      <c r="O130" s="113">
        <v>446201</v>
      </c>
      <c r="P130" s="113">
        <v>523386</v>
      </c>
      <c r="Q130" s="113">
        <v>470274</v>
      </c>
    </row>
    <row r="131" spans="1:17" ht="11.5" customHeight="1">
      <c r="A131" s="104" t="s">
        <v>167</v>
      </c>
      <c r="B131" s="113"/>
      <c r="C131" s="113">
        <v>1885</v>
      </c>
      <c r="D131" s="113">
        <v>1530</v>
      </c>
      <c r="E131" s="113">
        <v>1433</v>
      </c>
      <c r="F131" s="113">
        <v>1576</v>
      </c>
      <c r="G131" s="113">
        <v>1438</v>
      </c>
      <c r="H131" s="113">
        <v>1919</v>
      </c>
      <c r="I131" s="113">
        <v>454</v>
      </c>
      <c r="J131" s="113">
        <v>332</v>
      </c>
      <c r="K131" s="113">
        <v>116</v>
      </c>
      <c r="L131" s="113">
        <v>116</v>
      </c>
      <c r="M131" s="113">
        <v>110</v>
      </c>
      <c r="N131" s="113">
        <v>86</v>
      </c>
      <c r="O131" s="113">
        <v>90</v>
      </c>
      <c r="P131" s="113">
        <v>42</v>
      </c>
      <c r="Q131" s="113">
        <v>14</v>
      </c>
    </row>
    <row r="132" spans="1:17" ht="11.5" customHeight="1">
      <c r="A132" s="104" t="s">
        <v>168</v>
      </c>
      <c r="B132" s="113"/>
      <c r="C132" s="113">
        <v>0</v>
      </c>
      <c r="D132" s="113">
        <v>7</v>
      </c>
      <c r="E132" s="113">
        <v>204</v>
      </c>
      <c r="F132" s="113">
        <v>9</v>
      </c>
      <c r="G132" s="113">
        <v>3</v>
      </c>
      <c r="H132" s="113">
        <v>439</v>
      </c>
      <c r="I132" s="113">
        <v>14</v>
      </c>
      <c r="J132" s="113">
        <v>49</v>
      </c>
      <c r="K132" s="113">
        <v>219</v>
      </c>
      <c r="L132" s="113">
        <v>247</v>
      </c>
      <c r="M132" s="113">
        <v>295</v>
      </c>
      <c r="N132" s="113">
        <v>439</v>
      </c>
      <c r="O132" s="113">
        <v>457</v>
      </c>
      <c r="P132" s="113">
        <v>428</v>
      </c>
      <c r="Q132" s="113">
        <v>298</v>
      </c>
    </row>
    <row r="133" spans="1:17" ht="11.5" customHeight="1">
      <c r="A133" s="104" t="s">
        <v>170</v>
      </c>
      <c r="B133" s="113"/>
      <c r="C133" s="113">
        <v>715</v>
      </c>
      <c r="D133" s="113">
        <v>343</v>
      </c>
      <c r="E133" s="113">
        <v>235</v>
      </c>
      <c r="F133" s="113">
        <v>385</v>
      </c>
      <c r="G133" s="113">
        <v>263</v>
      </c>
      <c r="H133" s="113">
        <v>258</v>
      </c>
      <c r="I133" s="113">
        <v>451</v>
      </c>
      <c r="J133" s="113">
        <v>467</v>
      </c>
      <c r="K133" s="113">
        <v>603</v>
      </c>
      <c r="L133" s="113">
        <v>753</v>
      </c>
      <c r="M133" s="113">
        <v>924</v>
      </c>
      <c r="N133" s="113">
        <v>3463</v>
      </c>
      <c r="O133" s="113">
        <v>5098</v>
      </c>
      <c r="P133" s="113">
        <v>4458</v>
      </c>
      <c r="Q133" s="113">
        <v>4736</v>
      </c>
    </row>
    <row r="134" spans="1:17" ht="11.5" customHeight="1">
      <c r="A134" s="102" t="s">
        <v>174</v>
      </c>
      <c r="B134" s="112"/>
      <c r="C134" s="112">
        <v>77626</v>
      </c>
      <c r="D134" s="112">
        <v>69751</v>
      </c>
      <c r="E134" s="112">
        <v>60502</v>
      </c>
      <c r="F134" s="112">
        <v>72623</v>
      </c>
      <c r="G134" s="112">
        <v>70309</v>
      </c>
      <c r="H134" s="112">
        <v>68941</v>
      </c>
      <c r="I134" s="112">
        <v>70112</v>
      </c>
      <c r="J134" s="112">
        <v>71469</v>
      </c>
      <c r="K134" s="112">
        <v>43520</v>
      </c>
      <c r="L134" s="112">
        <v>53713</v>
      </c>
      <c r="M134" s="112">
        <v>59821</v>
      </c>
      <c r="N134" s="112">
        <v>57980</v>
      </c>
      <c r="O134" s="112">
        <v>63192</v>
      </c>
      <c r="P134" s="112">
        <v>53624</v>
      </c>
      <c r="Q134" s="112">
        <v>58572</v>
      </c>
    </row>
    <row r="135" spans="1:17" ht="11.5" customHeight="1">
      <c r="A135" s="104" t="s">
        <v>175</v>
      </c>
      <c r="B135" s="113"/>
      <c r="C135" s="113">
        <v>50753</v>
      </c>
      <c r="D135" s="113">
        <v>45136</v>
      </c>
      <c r="E135" s="113">
        <v>40159</v>
      </c>
      <c r="F135" s="113">
        <v>41834</v>
      </c>
      <c r="G135" s="113">
        <v>49820</v>
      </c>
      <c r="H135" s="113">
        <v>47575</v>
      </c>
      <c r="I135" s="113">
        <v>47275</v>
      </c>
      <c r="J135" s="113">
        <v>51727</v>
      </c>
      <c r="K135" s="113">
        <v>31527</v>
      </c>
      <c r="L135" s="113">
        <v>30385</v>
      </c>
      <c r="M135" s="113">
        <v>42982</v>
      </c>
      <c r="N135" s="113">
        <v>39514</v>
      </c>
      <c r="O135" s="113">
        <v>39289</v>
      </c>
      <c r="P135" s="113">
        <v>33928</v>
      </c>
      <c r="Q135" s="113">
        <v>38042</v>
      </c>
    </row>
    <row r="136" spans="1:17" ht="11.5" customHeight="1">
      <c r="A136" s="106" t="s">
        <v>176</v>
      </c>
      <c r="B136" s="114"/>
      <c r="C136" s="114">
        <v>26873</v>
      </c>
      <c r="D136" s="114">
        <v>24615</v>
      </c>
      <c r="E136" s="114">
        <v>20343</v>
      </c>
      <c r="F136" s="114">
        <v>30789</v>
      </c>
      <c r="G136" s="114">
        <v>20489</v>
      </c>
      <c r="H136" s="114">
        <v>21366</v>
      </c>
      <c r="I136" s="114">
        <v>22837</v>
      </c>
      <c r="J136" s="114">
        <v>19742</v>
      </c>
      <c r="K136" s="114">
        <v>11993</v>
      </c>
      <c r="L136" s="114">
        <v>23328</v>
      </c>
      <c r="M136" s="114">
        <v>16839</v>
      </c>
      <c r="N136" s="114">
        <v>18466</v>
      </c>
      <c r="O136" s="114">
        <v>23903</v>
      </c>
      <c r="P136" s="114">
        <v>19696</v>
      </c>
      <c r="Q136" s="114">
        <v>20530</v>
      </c>
    </row>
    <row r="138" spans="1:17" ht="11.5" customHeight="1">
      <c r="A138" s="115" t="s">
        <v>183</v>
      </c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</row>
    <row r="140" spans="1:17" ht="11.5" customHeight="1">
      <c r="A140" s="96" t="s">
        <v>184</v>
      </c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</row>
    <row r="141" spans="1:17" ht="11.5" customHeight="1">
      <c r="A141" s="98" t="s">
        <v>185</v>
      </c>
      <c r="B141" s="118">
        <v>2.0023459833339232</v>
      </c>
      <c r="C141" s="118">
        <v>1.9754227501807395</v>
      </c>
      <c r="D141" s="118">
        <v>1.9773276441842784</v>
      </c>
      <c r="E141" s="118">
        <v>1.9888298646827909</v>
      </c>
      <c r="F141" s="118">
        <v>1.9841505545097755</v>
      </c>
      <c r="G141" s="118">
        <v>1.9782501489915389</v>
      </c>
      <c r="H141" s="118">
        <v>1.9419132210993122</v>
      </c>
      <c r="I141" s="118">
        <v>1.914749303978263</v>
      </c>
      <c r="J141" s="118">
        <v>1.8829382207105883</v>
      </c>
      <c r="K141" s="118">
        <v>1.8324974846069688</v>
      </c>
      <c r="L141" s="118">
        <v>1.8803961324458291</v>
      </c>
      <c r="M141" s="118">
        <v>1.8959604885520895</v>
      </c>
      <c r="N141" s="118">
        <v>1.8467341138906481</v>
      </c>
      <c r="O141" s="118">
        <v>1.8574324683085432</v>
      </c>
      <c r="P141" s="118">
        <v>1.8173059105085325</v>
      </c>
      <c r="Q141" s="118">
        <v>1.7963002796892997</v>
      </c>
    </row>
    <row r="142" spans="1:17" ht="11.5" customHeight="1">
      <c r="A142" s="100" t="s">
        <v>163</v>
      </c>
      <c r="B142" s="119">
        <v>1.1549472685768511</v>
      </c>
      <c r="C142" s="119">
        <v>1.1549251164250136</v>
      </c>
      <c r="D142" s="119">
        <v>1.1547244330057378</v>
      </c>
      <c r="E142" s="119">
        <v>1.1593924208258375</v>
      </c>
      <c r="F142" s="119">
        <v>1.1632003911715167</v>
      </c>
      <c r="G142" s="119">
        <v>1.169547592467151</v>
      </c>
      <c r="H142" s="119">
        <v>1.16979883653808</v>
      </c>
      <c r="I142" s="119">
        <v>1.1637961343866963</v>
      </c>
      <c r="J142" s="119">
        <v>1.1708968384000362</v>
      </c>
      <c r="K142" s="119">
        <v>1.1609748452142219</v>
      </c>
      <c r="L142" s="119">
        <v>1.1589803003582224</v>
      </c>
      <c r="M142" s="119">
        <v>1.1711851548658032</v>
      </c>
      <c r="N142" s="119">
        <v>1.1721473870595756</v>
      </c>
      <c r="O142" s="119">
        <v>1.1647954350029754</v>
      </c>
      <c r="P142" s="119">
        <v>1.1586299996270717</v>
      </c>
      <c r="Q142" s="119">
        <v>1.1524003878446358</v>
      </c>
    </row>
    <row r="143" spans="1:17" ht="11.5" customHeight="1">
      <c r="A143" s="102" t="s">
        <v>164</v>
      </c>
      <c r="B143" s="120">
        <v>1.8876547901154583</v>
      </c>
      <c r="C143" s="120">
        <v>1.8706863492318517</v>
      </c>
      <c r="D143" s="120">
        <v>1.8743745201559752</v>
      </c>
      <c r="E143" s="120">
        <v>1.8846597759819563</v>
      </c>
      <c r="F143" s="120">
        <v>1.8794393360164205</v>
      </c>
      <c r="G143" s="120">
        <v>1.872952691151059</v>
      </c>
      <c r="H143" s="120">
        <v>1.83168492961411</v>
      </c>
      <c r="I143" s="120">
        <v>1.8017509368863054</v>
      </c>
      <c r="J143" s="120">
        <v>1.7643283005280557</v>
      </c>
      <c r="K143" s="120">
        <v>1.7148225831326571</v>
      </c>
      <c r="L143" s="120">
        <v>1.7559993821910136</v>
      </c>
      <c r="M143" s="120">
        <v>1.7675618052841684</v>
      </c>
      <c r="N143" s="120">
        <v>1.7186533944511639</v>
      </c>
      <c r="O143" s="120">
        <v>1.7301781479140392</v>
      </c>
      <c r="P143" s="120">
        <v>1.692570999707153</v>
      </c>
      <c r="Q143" s="120">
        <v>1.6731091078007563</v>
      </c>
    </row>
    <row r="144" spans="1:17" ht="11.5" customHeight="1">
      <c r="A144" s="104" t="s">
        <v>165</v>
      </c>
      <c r="B144" s="121">
        <v>1.8508678021362612</v>
      </c>
      <c r="C144" s="121">
        <v>1.8323941230542777</v>
      </c>
      <c r="D144" s="121">
        <v>1.8348322492659914</v>
      </c>
      <c r="E144" s="121">
        <v>1.8431149884914841</v>
      </c>
      <c r="F144" s="121">
        <v>1.8365907722558397</v>
      </c>
      <c r="G144" s="121">
        <v>1.8288834389525481</v>
      </c>
      <c r="H144" s="121">
        <v>1.786520695464699</v>
      </c>
      <c r="I144" s="121">
        <v>1.7555249941475015</v>
      </c>
      <c r="J144" s="121">
        <v>1.7170076034437796</v>
      </c>
      <c r="K144" s="121">
        <v>1.6676511798798632</v>
      </c>
      <c r="L144" s="121">
        <v>1.7067882036846045</v>
      </c>
      <c r="M144" s="121">
        <v>1.7173046518341379</v>
      </c>
      <c r="N144" s="121">
        <v>1.6686077620574542</v>
      </c>
      <c r="O144" s="121">
        <v>1.6795645388391951</v>
      </c>
      <c r="P144" s="121">
        <v>1.6432354328376195</v>
      </c>
      <c r="Q144" s="121">
        <v>1.6245873214708002</v>
      </c>
    </row>
    <row r="145" spans="1:17" ht="11.5" customHeight="1">
      <c r="A145" s="104" t="s">
        <v>166</v>
      </c>
      <c r="B145" s="121">
        <v>1.9245728538919011</v>
      </c>
      <c r="C145" s="121">
        <v>1.9053635180162329</v>
      </c>
      <c r="D145" s="121">
        <v>1.9078987350187711</v>
      </c>
      <c r="E145" s="121">
        <v>1.9165113085644618</v>
      </c>
      <c r="F145" s="121">
        <v>1.9097272857155321</v>
      </c>
      <c r="G145" s="121">
        <v>1.9017130318426767</v>
      </c>
      <c r="H145" s="121">
        <v>1.8576633238954108</v>
      </c>
      <c r="I145" s="121">
        <v>1.8254333152078273</v>
      </c>
      <c r="J145" s="121">
        <v>1.7853820892555627</v>
      </c>
      <c r="K145" s="121">
        <v>1.7340601996821057</v>
      </c>
      <c r="L145" s="121">
        <v>1.7747557336958208</v>
      </c>
      <c r="M145" s="121">
        <v>1.7856909666738832</v>
      </c>
      <c r="N145" s="121">
        <v>1.7350548747687777</v>
      </c>
      <c r="O145" s="121">
        <v>1.7464479710968641</v>
      </c>
      <c r="P145" s="121">
        <v>1.7086721714767643</v>
      </c>
      <c r="Q145" s="121">
        <v>1.6892814570932142</v>
      </c>
    </row>
    <row r="146" spans="1:17" ht="11.5" customHeight="1">
      <c r="A146" s="104" t="s">
        <v>167</v>
      </c>
      <c r="B146" s="121">
        <v>1.8310251464119947</v>
      </c>
      <c r="C146" s="121">
        <v>1.8145657587548962</v>
      </c>
      <c r="D146" s="121">
        <v>1.8181432845512964</v>
      </c>
      <c r="E146" s="121">
        <v>1.8281199827024979</v>
      </c>
      <c r="F146" s="121">
        <v>1.823056155935928</v>
      </c>
      <c r="G146" s="121">
        <v>1.8167641104165273</v>
      </c>
      <c r="H146" s="121">
        <v>1.7767343817256869</v>
      </c>
      <c r="I146" s="121">
        <v>1.7476984087797165</v>
      </c>
      <c r="J146" s="121">
        <v>1.711398451512214</v>
      </c>
      <c r="K146" s="121">
        <v>1.6633779056386775</v>
      </c>
      <c r="L146" s="121">
        <v>1.7033194007252834</v>
      </c>
      <c r="M146" s="121">
        <v>1.7145349511256436</v>
      </c>
      <c r="N146" s="121">
        <v>1.6670937926176292</v>
      </c>
      <c r="O146" s="121">
        <v>1.6782728034766181</v>
      </c>
      <c r="P146" s="121">
        <v>1.6417938697159382</v>
      </c>
      <c r="Q146" s="121">
        <v>1.6229158345667343</v>
      </c>
    </row>
    <row r="147" spans="1:17" ht="11.5" customHeight="1">
      <c r="A147" s="104" t="s">
        <v>168</v>
      </c>
      <c r="B147" s="121" t="s">
        <v>186</v>
      </c>
      <c r="C147" s="121" t="s">
        <v>186</v>
      </c>
      <c r="D147" s="121" t="s">
        <v>186</v>
      </c>
      <c r="E147" s="121" t="s">
        <v>186</v>
      </c>
      <c r="F147" s="121" t="s">
        <v>186</v>
      </c>
      <c r="G147" s="121" t="s">
        <v>186</v>
      </c>
      <c r="H147" s="121" t="s">
        <v>186</v>
      </c>
      <c r="I147" s="121">
        <v>1.7476984087797165</v>
      </c>
      <c r="J147" s="121">
        <v>1.7113984515122143</v>
      </c>
      <c r="K147" s="121">
        <v>1.6633779056386775</v>
      </c>
      <c r="L147" s="121">
        <v>1.7033194007252834</v>
      </c>
      <c r="M147" s="121">
        <v>1.7145349511256436</v>
      </c>
      <c r="N147" s="121">
        <v>1.6670937926176292</v>
      </c>
      <c r="O147" s="121">
        <v>1.6782728034766181</v>
      </c>
      <c r="P147" s="121">
        <v>1.6417938697159382</v>
      </c>
      <c r="Q147" s="121">
        <v>1.6229158345667343</v>
      </c>
    </row>
    <row r="148" spans="1:17" ht="11.5" customHeight="1">
      <c r="A148" s="104" t="s">
        <v>169</v>
      </c>
      <c r="B148" s="121" t="s">
        <v>186</v>
      </c>
      <c r="C148" s="121" t="s">
        <v>186</v>
      </c>
      <c r="D148" s="121" t="s">
        <v>186</v>
      </c>
      <c r="E148" s="121" t="s">
        <v>186</v>
      </c>
      <c r="F148" s="121" t="s">
        <v>186</v>
      </c>
      <c r="G148" s="121" t="s">
        <v>186</v>
      </c>
      <c r="H148" s="121" t="s">
        <v>186</v>
      </c>
      <c r="I148" s="121" t="s">
        <v>186</v>
      </c>
      <c r="J148" s="121" t="s">
        <v>186</v>
      </c>
      <c r="K148" s="121" t="s">
        <v>186</v>
      </c>
      <c r="L148" s="121" t="s">
        <v>186</v>
      </c>
      <c r="M148" s="121" t="s">
        <v>186</v>
      </c>
      <c r="N148" s="121" t="s">
        <v>186</v>
      </c>
      <c r="O148" s="121">
        <v>1.6782728034766181</v>
      </c>
      <c r="P148" s="121">
        <v>1.6417938697159382</v>
      </c>
      <c r="Q148" s="121">
        <v>1.6229158345667343</v>
      </c>
    </row>
    <row r="149" spans="1:17" ht="11.5" customHeight="1">
      <c r="A149" s="104" t="s">
        <v>170</v>
      </c>
      <c r="B149" s="121" t="s">
        <v>186</v>
      </c>
      <c r="C149" s="121" t="s">
        <v>186</v>
      </c>
      <c r="D149" s="121" t="s">
        <v>186</v>
      </c>
      <c r="E149" s="121" t="s">
        <v>186</v>
      </c>
      <c r="F149" s="121" t="s">
        <v>186</v>
      </c>
      <c r="G149" s="121" t="s">
        <v>186</v>
      </c>
      <c r="H149" s="121">
        <v>1.648516436652699</v>
      </c>
      <c r="I149" s="121">
        <v>1.621575843197675</v>
      </c>
      <c r="J149" s="121">
        <v>1.5878954704752504</v>
      </c>
      <c r="K149" s="121">
        <v>1.5433403248193915</v>
      </c>
      <c r="L149" s="121">
        <v>1.5803994439719125</v>
      </c>
      <c r="M149" s="121">
        <v>1.5908056247557518</v>
      </c>
      <c r="N149" s="121">
        <v>1.5467880550060478</v>
      </c>
      <c r="O149" s="121">
        <v>1.5571603331226356</v>
      </c>
      <c r="P149" s="121">
        <v>1.5233138997364377</v>
      </c>
      <c r="Q149" s="121">
        <v>1.5057981970206815</v>
      </c>
    </row>
    <row r="150" spans="1:17" ht="11.5" customHeight="1">
      <c r="A150" s="102" t="s">
        <v>171</v>
      </c>
      <c r="B150" s="120">
        <v>19.645494947690803</v>
      </c>
      <c r="C150" s="120">
        <v>19.072062037068527</v>
      </c>
      <c r="D150" s="120">
        <v>19.108005967533863</v>
      </c>
      <c r="E150" s="120">
        <v>19.1089339253266</v>
      </c>
      <c r="F150" s="120">
        <v>18.718859575588219</v>
      </c>
      <c r="G150" s="120">
        <v>18.038580138209252</v>
      </c>
      <c r="H150" s="120">
        <v>17.962733347925219</v>
      </c>
      <c r="I150" s="120">
        <v>17.823240222290352</v>
      </c>
      <c r="J150" s="120">
        <v>18.229353056717898</v>
      </c>
      <c r="K150" s="120">
        <v>18.50793948846076</v>
      </c>
      <c r="L150" s="120">
        <v>19.613850126819031</v>
      </c>
      <c r="M150" s="120">
        <v>19.698400002836397</v>
      </c>
      <c r="N150" s="120">
        <v>19.949454918292798</v>
      </c>
      <c r="O150" s="120">
        <v>19.330146085493769</v>
      </c>
      <c r="P150" s="120">
        <v>19.110097763759399</v>
      </c>
      <c r="Q150" s="120">
        <v>19.121451781995788</v>
      </c>
    </row>
    <row r="151" spans="1:17" ht="11.5" customHeight="1">
      <c r="A151" s="104" t="s">
        <v>165</v>
      </c>
      <c r="B151" s="121">
        <v>7.5559595952656933</v>
      </c>
      <c r="C151" s="121">
        <v>7.335408475795588</v>
      </c>
      <c r="D151" s="121">
        <v>7.3492330644361008</v>
      </c>
      <c r="E151" s="121">
        <v>7.349589971279463</v>
      </c>
      <c r="F151" s="121">
        <v>7.1995613752262395</v>
      </c>
      <c r="G151" s="121">
        <v>6.9379154377727899</v>
      </c>
      <c r="H151" s="121">
        <v>6.9087435953558556</v>
      </c>
      <c r="I151" s="121">
        <v>6.8550923931885999</v>
      </c>
      <c r="J151" s="121">
        <v>7.0112896371991917</v>
      </c>
      <c r="K151" s="121">
        <v>7.1184382647926014</v>
      </c>
      <c r="L151" s="121">
        <v>7.5437885103150109</v>
      </c>
      <c r="M151" s="121">
        <v>7.576307693398614</v>
      </c>
      <c r="N151" s="121">
        <v>7.6728672762664614</v>
      </c>
      <c r="O151" s="121">
        <v>7.4346715713437579</v>
      </c>
      <c r="P151" s="121">
        <v>7.3500376014459228</v>
      </c>
      <c r="Q151" s="121">
        <v>7.3544045315368409</v>
      </c>
    </row>
    <row r="152" spans="1:17" ht="11.5" customHeight="1">
      <c r="A152" s="104" t="s">
        <v>166</v>
      </c>
      <c r="B152" s="121">
        <v>19.734551815573145</v>
      </c>
      <c r="C152" s="121">
        <v>19.153010708738332</v>
      </c>
      <c r="D152" s="121">
        <v>19.186089747613995</v>
      </c>
      <c r="E152" s="121">
        <v>19.181230140376137</v>
      </c>
      <c r="F152" s="121">
        <v>18.78407757254617</v>
      </c>
      <c r="G152" s="121">
        <v>18.095811295738851</v>
      </c>
      <c r="H152" s="121">
        <v>18.013924787073172</v>
      </c>
      <c r="I152" s="121">
        <v>17.868319385956006</v>
      </c>
      <c r="J152" s="121">
        <v>18.27130980739885</v>
      </c>
      <c r="K152" s="121">
        <v>18.546941399629837</v>
      </c>
      <c r="L152" s="121">
        <v>19.651677800858753</v>
      </c>
      <c r="M152" s="121">
        <v>19.730842621920566</v>
      </c>
      <c r="N152" s="121">
        <v>19.977475111383576</v>
      </c>
      <c r="O152" s="121">
        <v>19.352089686535695</v>
      </c>
      <c r="P152" s="121">
        <v>19.127786419218467</v>
      </c>
      <c r="Q152" s="121">
        <v>19.135837054408711</v>
      </c>
    </row>
    <row r="153" spans="1:17" ht="11.5" customHeight="1">
      <c r="A153" s="104" t="s">
        <v>167</v>
      </c>
      <c r="B153" s="121">
        <v>19.734551815573145</v>
      </c>
      <c r="C153" s="121">
        <v>19.153010708738332</v>
      </c>
      <c r="D153" s="121">
        <v>19.186089747613991</v>
      </c>
      <c r="E153" s="121">
        <v>19.18123014037614</v>
      </c>
      <c r="F153" s="121">
        <v>18.78407757254617</v>
      </c>
      <c r="G153" s="121">
        <v>18.095811295738855</v>
      </c>
      <c r="H153" s="121">
        <v>18.013924787073172</v>
      </c>
      <c r="I153" s="121">
        <v>17.868319385956006</v>
      </c>
      <c r="J153" s="121">
        <v>18.271309807398847</v>
      </c>
      <c r="K153" s="121">
        <v>18.546941399629837</v>
      </c>
      <c r="L153" s="121">
        <v>19.651677800858753</v>
      </c>
      <c r="M153" s="121">
        <v>19.730842621920566</v>
      </c>
      <c r="N153" s="121">
        <v>19.977475111383576</v>
      </c>
      <c r="O153" s="121">
        <v>19.352089686535699</v>
      </c>
      <c r="P153" s="121">
        <v>19.127786419218467</v>
      </c>
      <c r="Q153" s="121">
        <v>19.135837054408711</v>
      </c>
    </row>
    <row r="154" spans="1:17" ht="11.5" customHeight="1">
      <c r="A154" s="104" t="s">
        <v>168</v>
      </c>
      <c r="B154" s="121">
        <v>19.734551815573145</v>
      </c>
      <c r="C154" s="121">
        <v>19.153010708738332</v>
      </c>
      <c r="D154" s="121">
        <v>19.186089747613991</v>
      </c>
      <c r="E154" s="121">
        <v>19.18123014037614</v>
      </c>
      <c r="F154" s="121">
        <v>18.78407757254617</v>
      </c>
      <c r="G154" s="121">
        <v>18.095811295738855</v>
      </c>
      <c r="H154" s="121">
        <v>18.013924787073172</v>
      </c>
      <c r="I154" s="121">
        <v>17.868319385956006</v>
      </c>
      <c r="J154" s="121">
        <v>18.271309807398847</v>
      </c>
      <c r="K154" s="121">
        <v>18.546941399629837</v>
      </c>
      <c r="L154" s="121">
        <v>19.651677800858753</v>
      </c>
      <c r="M154" s="121">
        <v>19.730842621920566</v>
      </c>
      <c r="N154" s="121">
        <v>19.977475111383576</v>
      </c>
      <c r="O154" s="121">
        <v>19.352089686535699</v>
      </c>
      <c r="P154" s="121">
        <v>19.127786419218467</v>
      </c>
      <c r="Q154" s="121">
        <v>19.135837054408711</v>
      </c>
    </row>
    <row r="155" spans="1:17" ht="11.5" customHeight="1">
      <c r="A155" s="104" t="s">
        <v>170</v>
      </c>
      <c r="B155" s="121">
        <v>19.734551815573145</v>
      </c>
      <c r="C155" s="121">
        <v>19.153010708738332</v>
      </c>
      <c r="D155" s="121">
        <v>19.186089747613991</v>
      </c>
      <c r="E155" s="121">
        <v>19.18123014037614</v>
      </c>
      <c r="F155" s="121">
        <v>18.78407757254617</v>
      </c>
      <c r="G155" s="121">
        <v>18.095811295738855</v>
      </c>
      <c r="H155" s="121">
        <v>18.013924787073172</v>
      </c>
      <c r="I155" s="121">
        <v>17.868319385956006</v>
      </c>
      <c r="J155" s="121">
        <v>18.271309807398847</v>
      </c>
      <c r="K155" s="121">
        <v>18.546941399629837</v>
      </c>
      <c r="L155" s="121">
        <v>19.651677800858753</v>
      </c>
      <c r="M155" s="121">
        <v>19.730842621920566</v>
      </c>
      <c r="N155" s="121">
        <v>19.977475111383576</v>
      </c>
      <c r="O155" s="121">
        <v>19.352089686535699</v>
      </c>
      <c r="P155" s="121">
        <v>19.127786419218467</v>
      </c>
      <c r="Q155" s="121">
        <v>19.135837054408711</v>
      </c>
    </row>
    <row r="156" spans="1:17" ht="11.5" customHeight="1">
      <c r="A156" s="98" t="s">
        <v>187</v>
      </c>
      <c r="B156" s="118">
        <v>2.7036953557501926</v>
      </c>
      <c r="C156" s="118">
        <v>2.702400403037005</v>
      </c>
      <c r="D156" s="118">
        <v>2.6993329068379315</v>
      </c>
      <c r="E156" s="118">
        <v>2.6748446400026236</v>
      </c>
      <c r="F156" s="118">
        <v>2.8226905966077114</v>
      </c>
      <c r="G156" s="118">
        <v>2.8069443635805214</v>
      </c>
      <c r="H156" s="118">
        <v>2.8468715216711749</v>
      </c>
      <c r="I156" s="118">
        <v>2.9039865153635085</v>
      </c>
      <c r="J156" s="118">
        <v>2.8112321088996692</v>
      </c>
      <c r="K156" s="118">
        <v>2.4416310427749468</v>
      </c>
      <c r="L156" s="118">
        <v>2.4399848318461101</v>
      </c>
      <c r="M156" s="118">
        <v>2.3803831929947279</v>
      </c>
      <c r="N156" s="118">
        <v>2.2553626486045704</v>
      </c>
      <c r="O156" s="118">
        <v>2.2432228252958866</v>
      </c>
      <c r="P156" s="118">
        <v>2.1669334131140654</v>
      </c>
      <c r="Q156" s="118">
        <v>2.0527423169827448</v>
      </c>
    </row>
    <row r="157" spans="1:17" ht="11.5" customHeight="1">
      <c r="A157" s="100" t="s">
        <v>173</v>
      </c>
      <c r="B157" s="119">
        <v>0.24820271394950416</v>
      </c>
      <c r="C157" s="119">
        <v>0.24786082428032724</v>
      </c>
      <c r="D157" s="119">
        <v>0.24802129895254935</v>
      </c>
      <c r="E157" s="119">
        <v>0.2483883853880566</v>
      </c>
      <c r="F157" s="119">
        <v>0.24930221184183379</v>
      </c>
      <c r="G157" s="119">
        <v>0.249469471469592</v>
      </c>
      <c r="H157" s="119">
        <v>0.24934178534089133</v>
      </c>
      <c r="I157" s="119">
        <v>0.24941885814551379</v>
      </c>
      <c r="J157" s="119">
        <v>0.2497779498501192</v>
      </c>
      <c r="K157" s="119">
        <v>0.24783251547019333</v>
      </c>
      <c r="L157" s="119">
        <v>0.24555974054839125</v>
      </c>
      <c r="M157" s="119">
        <v>0.24421993901858202</v>
      </c>
      <c r="N157" s="119">
        <v>0.24334087605488516</v>
      </c>
      <c r="O157" s="119">
        <v>0.24232641637668484</v>
      </c>
      <c r="P157" s="119">
        <v>0.24174118034776951</v>
      </c>
      <c r="Q157" s="119">
        <v>0.24054491335023367</v>
      </c>
    </row>
    <row r="158" spans="1:17" ht="11.5" customHeight="1">
      <c r="A158" s="104" t="s">
        <v>165</v>
      </c>
      <c r="B158" s="121">
        <v>0.18958545400548737</v>
      </c>
      <c r="C158" s="121">
        <v>0.18815636234396046</v>
      </c>
      <c r="D158" s="121">
        <v>0.18733255887166425</v>
      </c>
      <c r="E158" s="121">
        <v>0.18669918539775651</v>
      </c>
      <c r="F158" s="121">
        <v>0.18670589806177135</v>
      </c>
      <c r="G158" s="121">
        <v>0.18636943776166218</v>
      </c>
      <c r="H158" s="121">
        <v>0.18596300744352828</v>
      </c>
      <c r="I158" s="121">
        <v>0.18630948262781516</v>
      </c>
      <c r="J158" s="121">
        <v>0.18816380183935774</v>
      </c>
      <c r="K158" s="121">
        <v>0.18830114520601995</v>
      </c>
      <c r="L158" s="121">
        <v>0.18814681967585759</v>
      </c>
      <c r="M158" s="121">
        <v>0.18880123676271168</v>
      </c>
      <c r="N158" s="121">
        <v>0.18988580225854673</v>
      </c>
      <c r="O158" s="121">
        <v>0.19088495878413209</v>
      </c>
      <c r="P158" s="121">
        <v>0.1921212681434567</v>
      </c>
      <c r="Q158" s="121">
        <v>0.19291412015779605</v>
      </c>
    </row>
    <row r="159" spans="1:17" ht="11.5" customHeight="1">
      <c r="A159" s="104" t="s">
        <v>166</v>
      </c>
      <c r="B159" s="121">
        <v>0.25836595794127698</v>
      </c>
      <c r="C159" s="121">
        <v>0.25621588379620186</v>
      </c>
      <c r="D159" s="121">
        <v>0.25493782672662779</v>
      </c>
      <c r="E159" s="121">
        <v>0.25391366568116674</v>
      </c>
      <c r="F159" s="121">
        <v>0.25371744908461619</v>
      </c>
      <c r="G159" s="121">
        <v>0.25319283757361466</v>
      </c>
      <c r="H159" s="121">
        <v>0.2525288869036601</v>
      </c>
      <c r="I159" s="121">
        <v>0.25216091141473718</v>
      </c>
      <c r="J159" s="121">
        <v>0.25219801364364391</v>
      </c>
      <c r="K159" s="121">
        <v>0.24991474348611281</v>
      </c>
      <c r="L159" s="121">
        <v>0.24736411818208151</v>
      </c>
      <c r="M159" s="121">
        <v>0.24584209435913426</v>
      </c>
      <c r="N159" s="121">
        <v>0.24481120974646178</v>
      </c>
      <c r="O159" s="121">
        <v>0.24367598904479709</v>
      </c>
      <c r="P159" s="121">
        <v>0.24289314384245977</v>
      </c>
      <c r="Q159" s="121">
        <v>0.2415434058742161</v>
      </c>
    </row>
    <row r="160" spans="1:17" ht="11.5" customHeight="1">
      <c r="A160" s="104" t="s">
        <v>167</v>
      </c>
      <c r="B160" s="121">
        <v>0.20997846802592446</v>
      </c>
      <c r="C160" s="121">
        <v>0.20839565420020043</v>
      </c>
      <c r="D160" s="121">
        <v>0.20748323720083411</v>
      </c>
      <c r="E160" s="121">
        <v>0.20678173405842765</v>
      </c>
      <c r="F160" s="121">
        <v>0.20678916877916401</v>
      </c>
      <c r="G160" s="121">
        <v>0.20621609454801451</v>
      </c>
      <c r="H160" s="121">
        <v>0.20535319423919923</v>
      </c>
      <c r="I160" s="121">
        <v>0.20470173657064708</v>
      </c>
      <c r="J160" s="121">
        <v>0.20432044492929857</v>
      </c>
      <c r="K160" s="121">
        <v>0.20207746570763657</v>
      </c>
      <c r="L160" s="121">
        <v>0.1995496572319701</v>
      </c>
      <c r="M160" s="121">
        <v>0.1979010591141051</v>
      </c>
      <c r="N160" s="121">
        <v>0.1967093287850645</v>
      </c>
      <c r="O160" s="121">
        <v>0.19543095321635948</v>
      </c>
      <c r="P160" s="121">
        <v>0.1943955260407372</v>
      </c>
      <c r="Q160" s="121">
        <v>0.19291412015779605</v>
      </c>
    </row>
    <row r="161" spans="1:18" ht="11.5" customHeight="1">
      <c r="A161" s="104" t="s">
        <v>168</v>
      </c>
      <c r="B161" s="121">
        <v>0.20997846802592451</v>
      </c>
      <c r="C161" s="121">
        <v>0.20839565420020054</v>
      </c>
      <c r="D161" s="121">
        <v>0.2074832372008342</v>
      </c>
      <c r="E161" s="121">
        <v>0.20678173405842776</v>
      </c>
      <c r="F161" s="121">
        <v>0.20678916877916412</v>
      </c>
      <c r="G161" s="121">
        <v>0.20621609454801457</v>
      </c>
      <c r="H161" s="121">
        <v>0.20535319423919929</v>
      </c>
      <c r="I161" s="121">
        <v>0.20470173657064714</v>
      </c>
      <c r="J161" s="121">
        <v>0.2043204449292986</v>
      </c>
      <c r="K161" s="121">
        <v>0.20207746570763663</v>
      </c>
      <c r="L161" s="121">
        <v>0.1995496572319701</v>
      </c>
      <c r="M161" s="121">
        <v>0.1979010591141051</v>
      </c>
      <c r="N161" s="121">
        <v>0.1967093287850645</v>
      </c>
      <c r="O161" s="121">
        <v>0.19543095321635948</v>
      </c>
      <c r="P161" s="121">
        <v>0.1943955260407372</v>
      </c>
      <c r="Q161" s="121">
        <v>0.19291412015779605</v>
      </c>
    </row>
    <row r="162" spans="1:18" ht="11.5" customHeight="1">
      <c r="A162" s="104" t="s">
        <v>170</v>
      </c>
      <c r="B162" s="121">
        <v>0.19350341566172091</v>
      </c>
      <c r="C162" s="121">
        <v>0.19343370676790897</v>
      </c>
      <c r="D162" s="121">
        <v>0.19339329343477529</v>
      </c>
      <c r="E162" s="121">
        <v>0.19336210677128704</v>
      </c>
      <c r="F162" s="121">
        <v>0.19336177571915997</v>
      </c>
      <c r="G162" s="121">
        <v>0.19334516837893526</v>
      </c>
      <c r="H162" s="121">
        <v>0.19332506926845569</v>
      </c>
      <c r="I162" s="121">
        <v>0.19331432297557977</v>
      </c>
      <c r="J162" s="121">
        <v>0.19331298210660899</v>
      </c>
      <c r="K162" s="121">
        <v>0.19322989025168322</v>
      </c>
      <c r="L162" s="121">
        <v>0.19313258268907041</v>
      </c>
      <c r="M162" s="121">
        <v>0.19307478177111176</v>
      </c>
      <c r="N162" s="121">
        <v>0.19303773348059111</v>
      </c>
      <c r="O162" s="121">
        <v>0.19299628126775067</v>
      </c>
      <c r="P162" s="121">
        <v>0.19296593552312113</v>
      </c>
      <c r="Q162" s="121">
        <v>0.19291412015779605</v>
      </c>
    </row>
    <row r="163" spans="1:18" ht="11.5" customHeight="1">
      <c r="A163" s="102" t="s">
        <v>174</v>
      </c>
      <c r="B163" s="120">
        <v>12.501166119914039</v>
      </c>
      <c r="C163" s="120">
        <v>12.586979805136263</v>
      </c>
      <c r="D163" s="120">
        <v>12.686663973841235</v>
      </c>
      <c r="E163" s="120">
        <v>12.714631060161199</v>
      </c>
      <c r="F163" s="120">
        <v>12.609979073546045</v>
      </c>
      <c r="G163" s="120">
        <v>12.558748938422601</v>
      </c>
      <c r="H163" s="120">
        <v>12.740130183070896</v>
      </c>
      <c r="I163" s="120">
        <v>12.830142045128884</v>
      </c>
      <c r="J163" s="120">
        <v>12.919614611933497</v>
      </c>
      <c r="K163" s="120">
        <v>12.757126199189685</v>
      </c>
      <c r="L163" s="120">
        <v>12.899753945059468</v>
      </c>
      <c r="M163" s="120">
        <v>12.735187901773593</v>
      </c>
      <c r="N163" s="120">
        <v>12.788575795166052</v>
      </c>
      <c r="O163" s="120">
        <v>12.829606982777072</v>
      </c>
      <c r="P163" s="120">
        <v>12.739751163494077</v>
      </c>
      <c r="Q163" s="120">
        <v>12.639733378903628</v>
      </c>
    </row>
    <row r="164" spans="1:18" ht="11.5" customHeight="1">
      <c r="A164" s="104" t="s">
        <v>175</v>
      </c>
      <c r="B164" s="121">
        <v>11.863811532029375</v>
      </c>
      <c r="C164" s="121">
        <v>11.963097012277339</v>
      </c>
      <c r="D164" s="121">
        <v>12.030760507477497</v>
      </c>
      <c r="E164" s="121">
        <v>12.087706889234687</v>
      </c>
      <c r="F164" s="121">
        <v>11.949516505501833</v>
      </c>
      <c r="G164" s="121">
        <v>11.842593829304127</v>
      </c>
      <c r="H164" s="121">
        <v>12.052562157884324</v>
      </c>
      <c r="I164" s="121">
        <v>12.189542067384243</v>
      </c>
      <c r="J164" s="121">
        <v>12.406480218281036</v>
      </c>
      <c r="K164" s="121">
        <v>12.232144257154058</v>
      </c>
      <c r="L164" s="121">
        <v>12.218380548739683</v>
      </c>
      <c r="M164" s="121">
        <v>12.048266972214265</v>
      </c>
      <c r="N164" s="121">
        <v>12.11749670823329</v>
      </c>
      <c r="O164" s="121">
        <v>12.131827035449941</v>
      </c>
      <c r="P164" s="121">
        <v>11.956009177941294</v>
      </c>
      <c r="Q164" s="121">
        <v>11.806570258296414</v>
      </c>
    </row>
    <row r="165" spans="1:18" ht="11.5" customHeight="1">
      <c r="A165" s="106" t="s">
        <v>176</v>
      </c>
      <c r="B165" s="122">
        <v>13.913692746975428</v>
      </c>
      <c r="C165" s="122">
        <v>13.919074370474084</v>
      </c>
      <c r="D165" s="122">
        <v>14.024477182889742</v>
      </c>
      <c r="E165" s="122">
        <v>13.971620963519552</v>
      </c>
      <c r="F165" s="122">
        <v>13.815001650654267</v>
      </c>
      <c r="G165" s="122">
        <v>13.823516152398085</v>
      </c>
      <c r="H165" s="122">
        <v>13.939417391086486</v>
      </c>
      <c r="I165" s="122">
        <v>13.963308820051854</v>
      </c>
      <c r="J165" s="122">
        <v>13.787173971497714</v>
      </c>
      <c r="K165" s="122">
        <v>13.619716537018856</v>
      </c>
      <c r="L165" s="122">
        <v>14.062772807292546</v>
      </c>
      <c r="M165" s="122">
        <v>14.013755325623858</v>
      </c>
      <c r="N165" s="122">
        <v>13.968045932457969</v>
      </c>
      <c r="O165" s="122">
        <v>13.989681202243819</v>
      </c>
      <c r="P165" s="122">
        <v>14.017252789885665</v>
      </c>
      <c r="Q165" s="122">
        <v>13.908158906450234</v>
      </c>
    </row>
    <row r="167" spans="1:18" ht="11.5" customHeight="1">
      <c r="A167" s="96" t="s">
        <v>188</v>
      </c>
      <c r="B167" s="97">
        <v>12493.278617815544</v>
      </c>
      <c r="C167" s="97">
        <v>12883.643502140791</v>
      </c>
      <c r="D167" s="97">
        <v>12860.778672666276</v>
      </c>
      <c r="E167" s="97">
        <v>12735.215702602425</v>
      </c>
      <c r="F167" s="97">
        <v>12676.093722317768</v>
      </c>
      <c r="G167" s="97">
        <v>12538.354054902924</v>
      </c>
      <c r="H167" s="97">
        <v>12612.61168731776</v>
      </c>
      <c r="I167" s="97">
        <v>12703.328455329036</v>
      </c>
      <c r="J167" s="97">
        <v>12598.967367193647</v>
      </c>
      <c r="K167" s="97">
        <v>12802.974108575041</v>
      </c>
      <c r="L167" s="97">
        <v>12680.056493211659</v>
      </c>
      <c r="M167" s="97">
        <v>12627.325700816178</v>
      </c>
      <c r="N167" s="97">
        <v>12923.413767804035</v>
      </c>
      <c r="O167" s="97">
        <v>12652.179344962617</v>
      </c>
      <c r="P167" s="97">
        <v>13166.886671031902</v>
      </c>
      <c r="Q167" s="97">
        <v>13701.162738354855</v>
      </c>
    </row>
    <row r="168" spans="1:18" ht="11.5" customHeight="1">
      <c r="A168" s="98" t="s">
        <v>178</v>
      </c>
      <c r="B168" s="123">
        <v>11881.523664902834</v>
      </c>
      <c r="C168" s="123">
        <v>12245.678969708249</v>
      </c>
      <c r="D168" s="123">
        <v>12163.835620136564</v>
      </c>
      <c r="E168" s="123">
        <v>11973.486383828322</v>
      </c>
      <c r="F168" s="123">
        <v>11850.729752343777</v>
      </c>
      <c r="G168" s="123">
        <v>11662.707835261775</v>
      </c>
      <c r="H168" s="123">
        <v>11720.447985203626</v>
      </c>
      <c r="I168" s="123">
        <v>11807.223707211166</v>
      </c>
      <c r="J168" s="123">
        <v>11734.62294147805</v>
      </c>
      <c r="K168" s="123">
        <v>11949.456228439722</v>
      </c>
      <c r="L168" s="123">
        <v>11656.312560710468</v>
      </c>
      <c r="M168" s="123">
        <v>11512.616092255532</v>
      </c>
      <c r="N168" s="123">
        <v>11837.59966758601</v>
      </c>
      <c r="O168" s="123">
        <v>11471.437806091059</v>
      </c>
      <c r="P168" s="123">
        <v>12013.227250021373</v>
      </c>
      <c r="Q168" s="123">
        <v>12559.627291705567</v>
      </c>
    </row>
    <row r="169" spans="1:18" ht="11.5" customHeight="1">
      <c r="A169" s="100" t="s">
        <v>163</v>
      </c>
      <c r="B169" s="124">
        <v>3035.2852089134167</v>
      </c>
      <c r="C169" s="124">
        <v>3291.1010973684006</v>
      </c>
      <c r="D169" s="124">
        <v>3660.8603993599691</v>
      </c>
      <c r="E169" s="124">
        <v>3660.8882567446149</v>
      </c>
      <c r="F169" s="124">
        <v>3886.677984275982</v>
      </c>
      <c r="G169" s="124">
        <v>3974.603233411457</v>
      </c>
      <c r="H169" s="124">
        <v>3887.0823761797446</v>
      </c>
      <c r="I169" s="124">
        <v>3762.4879113176262</v>
      </c>
      <c r="J169" s="124">
        <v>3735.5599663920552</v>
      </c>
      <c r="K169" s="124">
        <v>3704.7487223168655</v>
      </c>
      <c r="L169" s="124">
        <v>3611.6593980131211</v>
      </c>
      <c r="M169" s="124">
        <v>3636.9392947740325</v>
      </c>
      <c r="N169" s="124">
        <v>3702.7775180431036</v>
      </c>
      <c r="O169" s="124">
        <v>3966.3320939901223</v>
      </c>
      <c r="P169" s="124">
        <v>4247.9100880507149</v>
      </c>
      <c r="Q169" s="124">
        <v>4477.1750540007961</v>
      </c>
    </row>
    <row r="170" spans="1:18" ht="11.5" customHeight="1">
      <c r="A170" s="102" t="s">
        <v>164</v>
      </c>
      <c r="B170" s="125">
        <v>12822.772132037644</v>
      </c>
      <c r="C170" s="125">
        <v>13198.99829299846</v>
      </c>
      <c r="D170" s="125">
        <v>13050.682807640511</v>
      </c>
      <c r="E170" s="125">
        <v>12829.128686373197</v>
      </c>
      <c r="F170" s="125">
        <v>12660.231599946421</v>
      </c>
      <c r="G170" s="125">
        <v>12437.375704041011</v>
      </c>
      <c r="H170" s="125">
        <v>12522.855301752834</v>
      </c>
      <c r="I170" s="125">
        <v>12686.915852757174</v>
      </c>
      <c r="J170" s="125">
        <v>12670.811958648444</v>
      </c>
      <c r="K170" s="125">
        <v>12961.35460550031</v>
      </c>
      <c r="L170" s="125">
        <v>12660.773138404767</v>
      </c>
      <c r="M170" s="125">
        <v>12478.705863957335</v>
      </c>
      <c r="N170" s="125">
        <v>12828.976580831335</v>
      </c>
      <c r="O170" s="125">
        <v>12295.759593459257</v>
      </c>
      <c r="P170" s="125">
        <v>12839.281230990211</v>
      </c>
      <c r="Q170" s="145">
        <v>13388.258223615963</v>
      </c>
      <c r="R170" s="93">
        <f>Q33*1000000/Q60</f>
        <v>13388.258223615963</v>
      </c>
    </row>
    <row r="171" spans="1:18" ht="11.5" customHeight="1">
      <c r="A171" s="104" t="s">
        <v>165</v>
      </c>
      <c r="B171" s="126">
        <v>9879.7369422447755</v>
      </c>
      <c r="C171" s="126">
        <v>10025.445326506442</v>
      </c>
      <c r="D171" s="126">
        <v>9999.8807405078569</v>
      </c>
      <c r="E171" s="126">
        <v>9715.2897390747621</v>
      </c>
      <c r="F171" s="126">
        <v>9555.6911663480223</v>
      </c>
      <c r="G171" s="126">
        <v>9331.8017582081993</v>
      </c>
      <c r="H171" s="126">
        <v>9058.599472831198</v>
      </c>
      <c r="I171" s="126">
        <v>8873.0331936084731</v>
      </c>
      <c r="J171" s="126">
        <v>8759.4148533743137</v>
      </c>
      <c r="K171" s="126">
        <v>9112.287113441389</v>
      </c>
      <c r="L171" s="126">
        <v>9140.5884022727059</v>
      </c>
      <c r="M171" s="126">
        <v>9306.3116608971595</v>
      </c>
      <c r="N171" s="126">
        <v>9567.7568898913396</v>
      </c>
      <c r="O171" s="126">
        <v>9366.4415857176991</v>
      </c>
      <c r="P171" s="126">
        <v>10270.672366773844</v>
      </c>
      <c r="Q171" s="126">
        <v>10999.327792739958</v>
      </c>
    </row>
    <row r="172" spans="1:18" ht="11.5" customHeight="1">
      <c r="A172" s="104" t="s">
        <v>166</v>
      </c>
      <c r="B172" s="126">
        <v>18294.989460731907</v>
      </c>
      <c r="C172" s="126">
        <v>18539.035985040333</v>
      </c>
      <c r="D172" s="126">
        <v>17659.762195208212</v>
      </c>
      <c r="E172" s="126">
        <v>17061.990423361414</v>
      </c>
      <c r="F172" s="126">
        <v>16492.338129668537</v>
      </c>
      <c r="G172" s="126">
        <v>15939.774782524422</v>
      </c>
      <c r="H172" s="126">
        <v>16098.721916136163</v>
      </c>
      <c r="I172" s="126">
        <v>16303.083863917369</v>
      </c>
      <c r="J172" s="126">
        <v>15833.093280611094</v>
      </c>
      <c r="K172" s="126">
        <v>15683.064816745113</v>
      </c>
      <c r="L172" s="126">
        <v>14895.923799898628</v>
      </c>
      <c r="M172" s="126">
        <v>14267.260097079732</v>
      </c>
      <c r="N172" s="126">
        <v>14479.626920002996</v>
      </c>
      <c r="O172" s="126">
        <v>13695.950440007904</v>
      </c>
      <c r="P172" s="126">
        <v>14011.56003489037</v>
      </c>
      <c r="Q172" s="126">
        <v>14462.841557141372</v>
      </c>
    </row>
    <row r="173" spans="1:18" ht="11.5" customHeight="1">
      <c r="A173" s="104" t="s">
        <v>167</v>
      </c>
      <c r="B173" s="126">
        <v>8731.9400322590809</v>
      </c>
      <c r="C173" s="126">
        <v>8461.8311555197251</v>
      </c>
      <c r="D173" s="126">
        <v>8027.5181117618895</v>
      </c>
      <c r="E173" s="126">
        <v>7685.0671095010393</v>
      </c>
      <c r="F173" s="126">
        <v>7287.3873101897934</v>
      </c>
      <c r="G173" s="126">
        <v>7088.4502159149388</v>
      </c>
      <c r="H173" s="126">
        <v>6981.5334336479136</v>
      </c>
      <c r="I173" s="126">
        <v>7082.2233862842768</v>
      </c>
      <c r="J173" s="126">
        <v>7367.9294246609534</v>
      </c>
      <c r="K173" s="126">
        <v>7201.3863389139215</v>
      </c>
      <c r="L173" s="126">
        <v>6387.3946697533238</v>
      </c>
      <c r="M173" s="126">
        <v>6989.981547156739</v>
      </c>
      <c r="N173" s="126">
        <v>6826.5828376397549</v>
      </c>
      <c r="O173" s="126">
        <v>6499.94112538026</v>
      </c>
      <c r="P173" s="126">
        <v>6301.4469485624531</v>
      </c>
      <c r="Q173" s="126">
        <v>6133.7443907949209</v>
      </c>
    </row>
    <row r="174" spans="1:18" ht="11.5" customHeight="1">
      <c r="A174" s="104" t="s">
        <v>168</v>
      </c>
      <c r="B174" s="126" t="s">
        <v>186</v>
      </c>
      <c r="C174" s="126" t="s">
        <v>186</v>
      </c>
      <c r="D174" s="126" t="s">
        <v>186</v>
      </c>
      <c r="E174" s="126" t="s">
        <v>186</v>
      </c>
      <c r="F174" s="126" t="s">
        <v>186</v>
      </c>
      <c r="G174" s="126" t="s">
        <v>186</v>
      </c>
      <c r="H174" s="126" t="s">
        <v>186</v>
      </c>
      <c r="I174" s="126">
        <v>21384.425694188936</v>
      </c>
      <c r="J174" s="126">
        <v>20937.181854340957</v>
      </c>
      <c r="K174" s="126">
        <v>21021.141591251915</v>
      </c>
      <c r="L174" s="126">
        <v>20107.424742349533</v>
      </c>
      <c r="M174" s="126">
        <v>19415.611230731312</v>
      </c>
      <c r="N174" s="126">
        <v>19596.318209792145</v>
      </c>
      <c r="O174" s="126">
        <v>18374.512678507264</v>
      </c>
      <c r="P174" s="126">
        <v>18851.255247983805</v>
      </c>
      <c r="Q174" s="126">
        <v>19312.23951157245</v>
      </c>
    </row>
    <row r="175" spans="1:18" ht="11.5" customHeight="1">
      <c r="A175" s="104" t="s">
        <v>169</v>
      </c>
      <c r="B175" s="126" t="s">
        <v>186</v>
      </c>
      <c r="C175" s="126" t="s">
        <v>186</v>
      </c>
      <c r="D175" s="126" t="s">
        <v>186</v>
      </c>
      <c r="E175" s="126" t="s">
        <v>186</v>
      </c>
      <c r="F175" s="126" t="s">
        <v>186</v>
      </c>
      <c r="G175" s="126" t="s">
        <v>186</v>
      </c>
      <c r="H175" s="126" t="s">
        <v>186</v>
      </c>
      <c r="I175" s="126" t="s">
        <v>186</v>
      </c>
      <c r="J175" s="126" t="s">
        <v>186</v>
      </c>
      <c r="K175" s="126" t="s">
        <v>186</v>
      </c>
      <c r="L175" s="126" t="s">
        <v>186</v>
      </c>
      <c r="M175" s="126" t="s">
        <v>186</v>
      </c>
      <c r="N175" s="126" t="s">
        <v>186</v>
      </c>
      <c r="O175" s="126">
        <v>9581.706534545172</v>
      </c>
      <c r="P175" s="126">
        <v>10443.764109056663</v>
      </c>
      <c r="Q175" s="126">
        <v>11164.2654587246</v>
      </c>
    </row>
    <row r="176" spans="1:18" ht="11.5" customHeight="1">
      <c r="A176" s="104" t="s">
        <v>170</v>
      </c>
      <c r="B176" s="126" t="s">
        <v>186</v>
      </c>
      <c r="C176" s="126" t="s">
        <v>186</v>
      </c>
      <c r="D176" s="126" t="s">
        <v>186</v>
      </c>
      <c r="E176" s="126" t="s">
        <v>186</v>
      </c>
      <c r="F176" s="126" t="s">
        <v>186</v>
      </c>
      <c r="G176" s="126" t="s">
        <v>186</v>
      </c>
      <c r="H176" s="126">
        <v>13421.344743242578</v>
      </c>
      <c r="I176" s="126">
        <v>13435.354896953275</v>
      </c>
      <c r="J176" s="126">
        <v>13444.030470129317</v>
      </c>
      <c r="K176" s="126">
        <v>13470.521333701327</v>
      </c>
      <c r="L176" s="126">
        <v>13472.916377240916</v>
      </c>
      <c r="M176" s="126">
        <v>13484.847128451718</v>
      </c>
      <c r="N176" s="126">
        <v>13503.513968224854</v>
      </c>
      <c r="O176" s="126">
        <v>13517.853235608218</v>
      </c>
      <c r="P176" s="126">
        <v>13579.465979233169</v>
      </c>
      <c r="Q176" s="126">
        <v>13626.490841826833</v>
      </c>
    </row>
    <row r="177" spans="1:17" ht="11.5" customHeight="1">
      <c r="A177" s="102" t="s">
        <v>171</v>
      </c>
      <c r="B177" s="125">
        <v>33109.635358562664</v>
      </c>
      <c r="C177" s="125">
        <v>32496.27559982106</v>
      </c>
      <c r="D177" s="125">
        <v>33141.232374366111</v>
      </c>
      <c r="E177" s="125">
        <v>32888.064376196198</v>
      </c>
      <c r="F177" s="125">
        <v>33553.082961914864</v>
      </c>
      <c r="G177" s="125">
        <v>34269.212419218435</v>
      </c>
      <c r="H177" s="125">
        <v>35008.310546422385</v>
      </c>
      <c r="I177" s="125">
        <v>35769.396944572392</v>
      </c>
      <c r="J177" s="125">
        <v>36484.945683401151</v>
      </c>
      <c r="K177" s="125">
        <v>37183.076842618575</v>
      </c>
      <c r="L177" s="125">
        <v>37877.013993421409</v>
      </c>
      <c r="M177" s="125">
        <v>37790.604276968203</v>
      </c>
      <c r="N177" s="125">
        <v>37075.116371152544</v>
      </c>
      <c r="O177" s="125">
        <v>36442.716062017098</v>
      </c>
      <c r="P177" s="125">
        <v>36059.797754598294</v>
      </c>
      <c r="Q177" s="125">
        <v>35827.699740887219</v>
      </c>
    </row>
    <row r="178" spans="1:17" ht="11.5" customHeight="1">
      <c r="A178" s="104" t="s">
        <v>165</v>
      </c>
      <c r="B178" s="126">
        <v>16308.926898516729</v>
      </c>
      <c r="C178" s="126">
        <v>16153.377500809769</v>
      </c>
      <c r="D178" s="126">
        <v>16656.738426185471</v>
      </c>
      <c r="E178" s="126">
        <v>16690.060622592286</v>
      </c>
      <c r="F178" s="126">
        <v>17216.764626458214</v>
      </c>
      <c r="G178" s="126">
        <v>17780.608723984227</v>
      </c>
      <c r="H178" s="126">
        <v>18367.151626290968</v>
      </c>
      <c r="I178" s="126">
        <v>18976.412195927962</v>
      </c>
      <c r="J178" s="126">
        <v>19570.913652984069</v>
      </c>
      <c r="K178" s="126">
        <v>20165.969561436548</v>
      </c>
      <c r="L178" s="126">
        <v>20769.012299055488</v>
      </c>
      <c r="M178" s="126">
        <v>20928.550771863953</v>
      </c>
      <c r="N178" s="126">
        <v>20719.896524771946</v>
      </c>
      <c r="O178" s="126">
        <v>20554.504543641826</v>
      </c>
      <c r="P178" s="126">
        <v>20533.122348471192</v>
      </c>
      <c r="Q178" s="126">
        <v>20600.379527766407</v>
      </c>
    </row>
    <row r="179" spans="1:17" ht="11.5" customHeight="1">
      <c r="A179" s="104" t="s">
        <v>166</v>
      </c>
      <c r="B179" s="126">
        <v>33355.458216223487</v>
      </c>
      <c r="C179" s="126">
        <v>32621.222985216482</v>
      </c>
      <c r="D179" s="126">
        <v>33235.286860586348</v>
      </c>
      <c r="E179" s="126">
        <v>32907.086770644215</v>
      </c>
      <c r="F179" s="126">
        <v>33524.872264113117</v>
      </c>
      <c r="G179" s="126">
        <v>34202.490377113842</v>
      </c>
      <c r="H179" s="126">
        <v>34864.083278119571</v>
      </c>
      <c r="I179" s="126">
        <v>35600.7352768442</v>
      </c>
      <c r="J179" s="126">
        <v>36246.393513365612</v>
      </c>
      <c r="K179" s="126">
        <v>36925.765527804913</v>
      </c>
      <c r="L179" s="126">
        <v>37573.749374355713</v>
      </c>
      <c r="M179" s="126">
        <v>37471.320198261783</v>
      </c>
      <c r="N179" s="126">
        <v>36740.693296456397</v>
      </c>
      <c r="O179" s="126">
        <v>36104.679299601688</v>
      </c>
      <c r="P179" s="126">
        <v>35574.339461378244</v>
      </c>
      <c r="Q179" s="126">
        <v>35371.024129263322</v>
      </c>
    </row>
    <row r="180" spans="1:17" ht="11.5" customHeight="1">
      <c r="A180" s="104" t="s">
        <v>167</v>
      </c>
      <c r="B180" s="126">
        <v>22158.163268096338</v>
      </c>
      <c r="C180" s="126">
        <v>21727.357442899753</v>
      </c>
      <c r="D180" s="126">
        <v>22180.366954494071</v>
      </c>
      <c r="E180" s="126">
        <v>22002.49190649981</v>
      </c>
      <c r="F180" s="126">
        <v>22469.87686782968</v>
      </c>
      <c r="G180" s="126">
        <v>23085.559607608349</v>
      </c>
      <c r="H180" s="126">
        <v>23847.101090457407</v>
      </c>
      <c r="I180" s="126">
        <v>24638.138192463241</v>
      </c>
      <c r="J180" s="126">
        <v>25410.012712437692</v>
      </c>
      <c r="K180" s="126">
        <v>26182.607107696454</v>
      </c>
      <c r="L180" s="126">
        <v>26965.57125033902</v>
      </c>
      <c r="M180" s="126">
        <v>27172.708980036576</v>
      </c>
      <c r="N180" s="126">
        <v>26901.801491243707</v>
      </c>
      <c r="O180" s="126">
        <v>26687.063824031589</v>
      </c>
      <c r="P180" s="126">
        <v>26659.302123135079</v>
      </c>
      <c r="Q180" s="126">
        <v>26746.625883854525</v>
      </c>
    </row>
    <row r="181" spans="1:17" ht="11.5" customHeight="1">
      <c r="A181" s="104" t="s">
        <v>168</v>
      </c>
      <c r="B181" s="126">
        <v>39587.564692976703</v>
      </c>
      <c r="C181" s="126">
        <v>39209.990994658277</v>
      </c>
      <c r="D181" s="126">
        <v>39882.797644303188</v>
      </c>
      <c r="E181" s="126">
        <v>39962.584117642255</v>
      </c>
      <c r="F181" s="126">
        <v>41223.721122207658</v>
      </c>
      <c r="G181" s="126">
        <v>42573.786151097869</v>
      </c>
      <c r="H181" s="126">
        <v>43107.345599525637</v>
      </c>
      <c r="I181" s="126">
        <v>43655.34213538625</v>
      </c>
      <c r="J181" s="126">
        <v>44131.451578033346</v>
      </c>
      <c r="K181" s="126">
        <v>44726.503145734758</v>
      </c>
      <c r="L181" s="126">
        <v>46064.003572825779</v>
      </c>
      <c r="M181" s="126">
        <v>45931.474661217486</v>
      </c>
      <c r="N181" s="126">
        <v>45123.341068334652</v>
      </c>
      <c r="O181" s="126">
        <v>44210.629768995634</v>
      </c>
      <c r="P181" s="126">
        <v>43290.091557442931</v>
      </c>
      <c r="Q181" s="126">
        <v>42571.852797655993</v>
      </c>
    </row>
    <row r="182" spans="1:17" ht="11.5" customHeight="1">
      <c r="A182" s="104" t="s">
        <v>170</v>
      </c>
      <c r="B182" s="126">
        <v>44920.429739167368</v>
      </c>
      <c r="C182" s="126">
        <v>44962.44740294254</v>
      </c>
      <c r="D182" s="126">
        <v>45006.650819651004</v>
      </c>
      <c r="E182" s="126">
        <v>45023.910558534808</v>
      </c>
      <c r="F182" s="126">
        <v>45068.999677276246</v>
      </c>
      <c r="G182" s="126">
        <v>45116.614527926795</v>
      </c>
      <c r="H182" s="126">
        <v>45164.775409574366</v>
      </c>
      <c r="I182" s="126">
        <v>45213.369963127378</v>
      </c>
      <c r="J182" s="126">
        <v>45258.169282172646</v>
      </c>
      <c r="K182" s="126">
        <v>45301.08079252662</v>
      </c>
      <c r="L182" s="126">
        <v>45342.982600858646</v>
      </c>
      <c r="M182" s="126">
        <v>45348.160905378019</v>
      </c>
      <c r="N182" s="126">
        <v>45391.521950230293</v>
      </c>
      <c r="O182" s="126">
        <v>45430.585494468338</v>
      </c>
      <c r="P182" s="126">
        <v>45454.585985609134</v>
      </c>
      <c r="Q182" s="126">
        <v>45469.2640025527</v>
      </c>
    </row>
    <row r="183" spans="1:17" ht="11.5" customHeight="1">
      <c r="A183" s="98" t="s">
        <v>179</v>
      </c>
      <c r="B183" s="123">
        <v>15517.431909601117</v>
      </c>
      <c r="C183" s="123">
        <v>16054.610622991197</v>
      </c>
      <c r="D183" s="123">
        <v>16349.043287636661</v>
      </c>
      <c r="E183" s="123">
        <v>16570.178721462955</v>
      </c>
      <c r="F183" s="123">
        <v>16845.415449761855</v>
      </c>
      <c r="G183" s="123">
        <v>16968.470361588399</v>
      </c>
      <c r="H183" s="123">
        <v>17157.056450801691</v>
      </c>
      <c r="I183" s="123">
        <v>17313.813028055876</v>
      </c>
      <c r="J183" s="123">
        <v>17049.153629223219</v>
      </c>
      <c r="K183" s="123">
        <v>17233.103287540529</v>
      </c>
      <c r="L183" s="123">
        <v>18017.710263470024</v>
      </c>
      <c r="M183" s="123">
        <v>18517.227103079884</v>
      </c>
      <c r="N183" s="123">
        <v>18676.436137279259</v>
      </c>
      <c r="O183" s="123">
        <v>19078.808150768535</v>
      </c>
      <c r="P183" s="123">
        <v>19284.412190588657</v>
      </c>
      <c r="Q183" s="123">
        <v>19667.19991578193</v>
      </c>
    </row>
    <row r="184" spans="1:17" ht="11.5" customHeight="1">
      <c r="A184" s="100" t="s">
        <v>173</v>
      </c>
      <c r="B184" s="124">
        <v>13509.697728351406</v>
      </c>
      <c r="C184" s="124">
        <v>14035.594902321152</v>
      </c>
      <c r="D184" s="124">
        <v>14351.697835067102</v>
      </c>
      <c r="E184" s="124">
        <v>14606.005992911929</v>
      </c>
      <c r="F184" s="124">
        <v>14631.900198903071</v>
      </c>
      <c r="G184" s="124">
        <v>14766.401581647135</v>
      </c>
      <c r="H184" s="124">
        <v>14945.447239003051</v>
      </c>
      <c r="I184" s="124">
        <v>15042.937154870553</v>
      </c>
      <c r="J184" s="124">
        <v>15004.529982017557</v>
      </c>
      <c r="K184" s="124">
        <v>15677.068859780353</v>
      </c>
      <c r="L184" s="124">
        <v>16482.12551198314</v>
      </c>
      <c r="M184" s="124">
        <v>16978.13207121149</v>
      </c>
      <c r="N184" s="124">
        <v>17315.007838048947</v>
      </c>
      <c r="O184" s="124">
        <v>17697.010449264475</v>
      </c>
      <c r="P184" s="124">
        <v>17971.442870612587</v>
      </c>
      <c r="Q184" s="124">
        <v>18466.302953954728</v>
      </c>
    </row>
    <row r="185" spans="1:17" ht="11.5" customHeight="1">
      <c r="A185" s="104" t="s">
        <v>165</v>
      </c>
      <c r="B185" s="126">
        <v>15074.211996884122</v>
      </c>
      <c r="C185" s="126">
        <v>15655.435106450546</v>
      </c>
      <c r="D185" s="126">
        <v>16002.703410994802</v>
      </c>
      <c r="E185" s="126">
        <v>16275.995760613312</v>
      </c>
      <c r="F185" s="126">
        <v>16273.070104907687</v>
      </c>
      <c r="G185" s="126">
        <v>16420.493609336296</v>
      </c>
      <c r="H185" s="126">
        <v>16600.718215994952</v>
      </c>
      <c r="I185" s="126">
        <v>16446.931520861104</v>
      </c>
      <c r="J185" s="126">
        <v>15652.340480201208</v>
      </c>
      <c r="K185" s="126">
        <v>15595.341053743166</v>
      </c>
      <c r="L185" s="126">
        <v>15659.405669881369</v>
      </c>
      <c r="M185" s="126">
        <v>15389.889761887211</v>
      </c>
      <c r="N185" s="126">
        <v>14955.371799073628</v>
      </c>
      <c r="O185" s="126">
        <v>14568.04051886908</v>
      </c>
      <c r="P185" s="126">
        <v>14105.304308565077</v>
      </c>
      <c r="Q185" s="126">
        <v>13817.822211730501</v>
      </c>
    </row>
    <row r="186" spans="1:17" ht="11.5" customHeight="1">
      <c r="A186" s="104" t="s">
        <v>166</v>
      </c>
      <c r="B186" s="126">
        <v>13303.180744532347</v>
      </c>
      <c r="C186" s="126">
        <v>13870.805977132901</v>
      </c>
      <c r="D186" s="126">
        <v>14221.995919996074</v>
      </c>
      <c r="E186" s="126">
        <v>14511.141246387024</v>
      </c>
      <c r="F186" s="126">
        <v>14567.340262648971</v>
      </c>
      <c r="G186" s="126">
        <v>14718.88343335705</v>
      </c>
      <c r="H186" s="126">
        <v>14913.398531498548</v>
      </c>
      <c r="I186" s="126">
        <v>15022.531325687914</v>
      </c>
      <c r="J186" s="126">
        <v>15011.484342867563</v>
      </c>
      <c r="K186" s="126">
        <v>15709.868782040652</v>
      </c>
      <c r="L186" s="126">
        <v>16536.684217201921</v>
      </c>
      <c r="M186" s="126">
        <v>17054.960213481583</v>
      </c>
      <c r="N186" s="126">
        <v>17417.083985028945</v>
      </c>
      <c r="O186" s="126">
        <v>17826.589280521031</v>
      </c>
      <c r="P186" s="126">
        <v>18115.722745396153</v>
      </c>
      <c r="Q186" s="126">
        <v>18627.561981991297</v>
      </c>
    </row>
    <row r="187" spans="1:17" ht="11.5" customHeight="1">
      <c r="A187" s="104" t="s">
        <v>167</v>
      </c>
      <c r="B187" s="126">
        <v>7235.6217585043796</v>
      </c>
      <c r="C187" s="126">
        <v>7514.6088510962627</v>
      </c>
      <c r="D187" s="126">
        <v>7681.2976372775029</v>
      </c>
      <c r="E187" s="126">
        <v>7812.4779650943883</v>
      </c>
      <c r="F187" s="126">
        <v>7811.0736503556891</v>
      </c>
      <c r="G187" s="126">
        <v>7920.2133776428645</v>
      </c>
      <c r="H187" s="126">
        <v>8088.0226191611982</v>
      </c>
      <c r="I187" s="126">
        <v>8217.5439478962126</v>
      </c>
      <c r="J187" s="126">
        <v>8294.5063140252914</v>
      </c>
      <c r="K187" s="126">
        <v>8765.1678463127482</v>
      </c>
      <c r="L187" s="126">
        <v>9334.5790878522257</v>
      </c>
      <c r="M187" s="126">
        <v>9729.9157118171661</v>
      </c>
      <c r="N187" s="126">
        <v>10028.243896784774</v>
      </c>
      <c r="O187" s="126">
        <v>10360.552571460197</v>
      </c>
      <c r="P187" s="126">
        <v>10639.429535603373</v>
      </c>
      <c r="Q187" s="126">
        <v>11054.2577693844</v>
      </c>
    </row>
    <row r="188" spans="1:17" ht="11.5" customHeight="1">
      <c r="A188" s="104" t="s">
        <v>168</v>
      </c>
      <c r="B188" s="126">
        <v>8030.7816932346468</v>
      </c>
      <c r="C188" s="126">
        <v>8340.4281217813459</v>
      </c>
      <c r="D188" s="126">
        <v>8525.4352016440316</v>
      </c>
      <c r="E188" s="126">
        <v>8671.0316148211241</v>
      </c>
      <c r="F188" s="126">
        <v>8669.4729726654823</v>
      </c>
      <c r="G188" s="126">
        <v>8790.6066296138051</v>
      </c>
      <c r="H188" s="126">
        <v>8976.8572974513099</v>
      </c>
      <c r="I188" s="126">
        <v>9120.6123955485855</v>
      </c>
      <c r="J188" s="126">
        <v>9206.0325545350588</v>
      </c>
      <c r="K188" s="126">
        <v>9728.4175192772127</v>
      </c>
      <c r="L188" s="126">
        <v>10360.404310060272</v>
      </c>
      <c r="M188" s="126">
        <v>10799.186522338196</v>
      </c>
      <c r="N188" s="126">
        <v>11130.299536032957</v>
      </c>
      <c r="O188" s="126">
        <v>11499.127331370628</v>
      </c>
      <c r="P188" s="126">
        <v>11808.651528883238</v>
      </c>
      <c r="Q188" s="126">
        <v>12269.067384890361</v>
      </c>
    </row>
    <row r="189" spans="1:17" ht="11.5" customHeight="1">
      <c r="A189" s="104" t="s">
        <v>170</v>
      </c>
      <c r="B189" s="126">
        <v>9072.4638622912189</v>
      </c>
      <c r="C189" s="126">
        <v>9088.8231468559079</v>
      </c>
      <c r="D189" s="126">
        <v>9098.3235585902639</v>
      </c>
      <c r="E189" s="126">
        <v>9105.6631015711919</v>
      </c>
      <c r="F189" s="126">
        <v>9105.7410502621624</v>
      </c>
      <c r="G189" s="126">
        <v>9109.6524001423641</v>
      </c>
      <c r="H189" s="126">
        <v>9114.3888263579756</v>
      </c>
      <c r="I189" s="126">
        <v>9116.9224405357527</v>
      </c>
      <c r="J189" s="126">
        <v>9117.2386316126158</v>
      </c>
      <c r="K189" s="126">
        <v>9136.8582691644297</v>
      </c>
      <c r="L189" s="126">
        <v>9159.8989637359064</v>
      </c>
      <c r="M189" s="126">
        <v>9173.618198906428</v>
      </c>
      <c r="N189" s="126">
        <v>9182.4246987365204</v>
      </c>
      <c r="O189" s="126">
        <v>9192.2900536980287</v>
      </c>
      <c r="P189" s="126">
        <v>9199.5202063599518</v>
      </c>
      <c r="Q189" s="126">
        <v>9211.8814744870015</v>
      </c>
    </row>
    <row r="190" spans="1:17" ht="11.5" customHeight="1">
      <c r="A190" s="102" t="s">
        <v>174</v>
      </c>
      <c r="B190" s="125">
        <v>38123.967239958314</v>
      </c>
      <c r="C190" s="125">
        <v>38160.87440619283</v>
      </c>
      <c r="D190" s="125">
        <v>37759.628796051817</v>
      </c>
      <c r="E190" s="125">
        <v>37355.286616208934</v>
      </c>
      <c r="F190" s="125">
        <v>39669.772306408624</v>
      </c>
      <c r="G190" s="125">
        <v>39336.237485967409</v>
      </c>
      <c r="H190" s="125">
        <v>39315.8346370332</v>
      </c>
      <c r="I190" s="125">
        <v>39754.284060846578</v>
      </c>
      <c r="J190" s="125">
        <v>36883.52924018327</v>
      </c>
      <c r="K190" s="125">
        <v>32314.731230981284</v>
      </c>
      <c r="L190" s="125">
        <v>32410.658677745047</v>
      </c>
      <c r="M190" s="125">
        <v>33032.454658156617</v>
      </c>
      <c r="N190" s="125">
        <v>31742.327656654496</v>
      </c>
      <c r="O190" s="125">
        <v>32508.420257431575</v>
      </c>
      <c r="P190" s="125">
        <v>32206.456262103569</v>
      </c>
      <c r="Q190" s="125">
        <v>31717.227888192592</v>
      </c>
    </row>
    <row r="191" spans="1:17" ht="11.5" customHeight="1">
      <c r="A191" s="104" t="s">
        <v>175</v>
      </c>
      <c r="B191" s="126">
        <v>30527.556485857171</v>
      </c>
      <c r="C191" s="126">
        <v>30332.579916047787</v>
      </c>
      <c r="D191" s="126">
        <v>29673.983683410206</v>
      </c>
      <c r="E191" s="126">
        <v>29193.79451186398</v>
      </c>
      <c r="F191" s="126">
        <v>30697.139300936371</v>
      </c>
      <c r="G191" s="126">
        <v>30161.361471046181</v>
      </c>
      <c r="H191" s="126">
        <v>30054.904759073161</v>
      </c>
      <c r="I191" s="126">
        <v>30558.58310626703</v>
      </c>
      <c r="J191" s="126">
        <v>27631.911276307805</v>
      </c>
      <c r="K191" s="126">
        <v>23463.512444583434</v>
      </c>
      <c r="L191" s="126">
        <v>23788.0880914521</v>
      </c>
      <c r="M191" s="126">
        <v>24865.02656733002</v>
      </c>
      <c r="N191" s="126">
        <v>23400.30267605506</v>
      </c>
      <c r="O191" s="126">
        <v>23703.640775802527</v>
      </c>
      <c r="P191" s="126">
        <v>23320.392935428397</v>
      </c>
      <c r="Q191" s="126">
        <v>22466.613706831631</v>
      </c>
    </row>
    <row r="192" spans="1:17" ht="11.5" customHeight="1">
      <c r="A192" s="106" t="s">
        <v>176</v>
      </c>
      <c r="B192" s="127">
        <v>85000</v>
      </c>
      <c r="C192" s="127">
        <v>85000</v>
      </c>
      <c r="D192" s="127">
        <v>85000</v>
      </c>
      <c r="E192" s="127">
        <v>85000</v>
      </c>
      <c r="F192" s="127">
        <v>85000</v>
      </c>
      <c r="G192" s="127">
        <v>85000</v>
      </c>
      <c r="H192" s="127">
        <v>85000</v>
      </c>
      <c r="I192" s="127">
        <v>85000</v>
      </c>
      <c r="J192" s="127">
        <v>85000</v>
      </c>
      <c r="K192" s="127">
        <v>85000</v>
      </c>
      <c r="L192" s="127">
        <v>85000</v>
      </c>
      <c r="M192" s="127">
        <v>85000</v>
      </c>
      <c r="N192" s="127">
        <v>85000</v>
      </c>
      <c r="O192" s="127">
        <v>85000</v>
      </c>
      <c r="P192" s="127">
        <v>85000</v>
      </c>
      <c r="Q192" s="127">
        <v>85000</v>
      </c>
    </row>
    <row r="194" spans="1:17" ht="11.5" customHeight="1">
      <c r="A194" s="96" t="s">
        <v>189</v>
      </c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1.5" customHeight="1">
      <c r="A195" s="98" t="s">
        <v>190</v>
      </c>
      <c r="B195" s="123">
        <v>23790.921186305146</v>
      </c>
      <c r="C195" s="123">
        <v>24190.392828171516</v>
      </c>
      <c r="D195" s="123">
        <v>24051.888431009447</v>
      </c>
      <c r="E195" s="123">
        <v>23813.227304530519</v>
      </c>
      <c r="F195" s="123">
        <v>23513.632009458401</v>
      </c>
      <c r="G195" s="123">
        <v>23071.753512751395</v>
      </c>
      <c r="H195" s="123">
        <v>22760.092899673717</v>
      </c>
      <c r="I195" s="123">
        <v>22607.873375298226</v>
      </c>
      <c r="J195" s="123">
        <v>22095.570042136333</v>
      </c>
      <c r="K195" s="123">
        <v>21897.348481036868</v>
      </c>
      <c r="L195" s="123">
        <v>21918.485057739705</v>
      </c>
      <c r="M195" s="123">
        <v>21827.465230785445</v>
      </c>
      <c r="N195" s="123">
        <v>21860.899132711682</v>
      </c>
      <c r="O195" s="123">
        <v>21307.421039215656</v>
      </c>
      <c r="P195" s="123">
        <v>21831.708885746008</v>
      </c>
      <c r="Q195" s="123">
        <v>22560.862016884072</v>
      </c>
    </row>
    <row r="196" spans="1:17" ht="11.5" customHeight="1">
      <c r="A196" s="100" t="s">
        <v>163</v>
      </c>
      <c r="B196" s="124">
        <v>3505.5943613862682</v>
      </c>
      <c r="C196" s="124">
        <v>3800.9753180446901</v>
      </c>
      <c r="D196" s="124">
        <v>4227.2849489640994</v>
      </c>
      <c r="E196" s="124">
        <v>4244.4060983600193</v>
      </c>
      <c r="F196" s="124">
        <v>4520.9853516675448</v>
      </c>
      <c r="G196" s="124">
        <v>4648.4876426485243</v>
      </c>
      <c r="H196" s="124">
        <v>4547.1044411827406</v>
      </c>
      <c r="I196" s="124">
        <v>4378.7688868681289</v>
      </c>
      <c r="J196" s="124">
        <v>4373.955354302203</v>
      </c>
      <c r="K196" s="124">
        <v>4301.120074449409</v>
      </c>
      <c r="L196" s="124">
        <v>4185.8420939008438</v>
      </c>
      <c r="M196" s="124">
        <v>4259.5293111874498</v>
      </c>
      <c r="N196" s="124">
        <v>4340.2009926371638</v>
      </c>
      <c r="O196" s="124">
        <v>4619.9655167854871</v>
      </c>
      <c r="P196" s="124">
        <v>4921.7560637340339</v>
      </c>
      <c r="Q196" s="124">
        <v>5159.4982686788453</v>
      </c>
    </row>
    <row r="197" spans="1:17" ht="11.5" customHeight="1">
      <c r="A197" s="102" t="s">
        <v>164</v>
      </c>
      <c r="B197" s="125">
        <v>24204.967237599863</v>
      </c>
      <c r="C197" s="125">
        <v>24691.185930246735</v>
      </c>
      <c r="D197" s="125">
        <v>24461.867325279014</v>
      </c>
      <c r="E197" s="125">
        <v>24178.542796103797</v>
      </c>
      <c r="F197" s="125">
        <v>23794.137272017408</v>
      </c>
      <c r="G197" s="125">
        <v>23294.616295740409</v>
      </c>
      <c r="H197" s="125">
        <v>22937.925331958821</v>
      </c>
      <c r="I197" s="125">
        <v>22858.66252390296</v>
      </c>
      <c r="J197" s="125">
        <v>22355.472129312773</v>
      </c>
      <c r="K197" s="125">
        <v>22226.423585502402</v>
      </c>
      <c r="L197" s="125">
        <v>22232.309809099352</v>
      </c>
      <c r="M197" s="125">
        <v>22056.883864506566</v>
      </c>
      <c r="N197" s="125">
        <v>22048.564147980262</v>
      </c>
      <c r="O197" s="125">
        <v>21273.854560607619</v>
      </c>
      <c r="P197" s="125">
        <v>21731.395068658388</v>
      </c>
      <c r="Q197" s="125">
        <v>22400.016771520244</v>
      </c>
    </row>
    <row r="198" spans="1:17" ht="11.5" customHeight="1">
      <c r="A198" s="104" t="s">
        <v>165</v>
      </c>
      <c r="B198" s="126">
        <v>18286.086999977011</v>
      </c>
      <c r="C198" s="126">
        <v>18370.56709729238</v>
      </c>
      <c r="D198" s="126">
        <v>18348.103671497698</v>
      </c>
      <c r="E198" s="126">
        <v>17906.396135626215</v>
      </c>
      <c r="F198" s="126">
        <v>17549.894218641421</v>
      </c>
      <c r="G198" s="126">
        <v>17066.777691175248</v>
      </c>
      <c r="H198" s="126">
        <v>16183.375430138547</v>
      </c>
      <c r="I198" s="126">
        <v>15576.8315452801</v>
      </c>
      <c r="J198" s="126">
        <v>15039.981904962076</v>
      </c>
      <c r="K198" s="126">
        <v>15196.116356134604</v>
      </c>
      <c r="L198" s="126">
        <v>15601.048459735361</v>
      </c>
      <c r="M198" s="126">
        <v>15981.772306676974</v>
      </c>
      <c r="N198" s="126">
        <v>15964.833411951377</v>
      </c>
      <c r="O198" s="126">
        <v>15731.543142480206</v>
      </c>
      <c r="P198" s="126">
        <v>16877.132752148998</v>
      </c>
      <c r="Q198" s="126">
        <v>17869.368476786738</v>
      </c>
    </row>
    <row r="199" spans="1:17" ht="11.5" customHeight="1">
      <c r="A199" s="104" t="s">
        <v>166</v>
      </c>
      <c r="B199" s="126">
        <v>35210.040078363068</v>
      </c>
      <c r="C199" s="126">
        <v>35323.602825085982</v>
      </c>
      <c r="D199" s="126">
        <v>33693.037952970066</v>
      </c>
      <c r="E199" s="126">
        <v>32699.497592990694</v>
      </c>
      <c r="F199" s="126">
        <v>31495.868131474668</v>
      </c>
      <c r="G199" s="126">
        <v>30312.877428563963</v>
      </c>
      <c r="H199" s="126">
        <v>29906.005265197404</v>
      </c>
      <c r="I199" s="126">
        <v>29760.192425821919</v>
      </c>
      <c r="J199" s="126">
        <v>28268.121160715647</v>
      </c>
      <c r="K199" s="126">
        <v>27195.378507752434</v>
      </c>
      <c r="L199" s="126">
        <v>26436.626172566132</v>
      </c>
      <c r="M199" s="126">
        <v>25476.917474542028</v>
      </c>
      <c r="N199" s="126">
        <v>25122.947272384423</v>
      </c>
      <c r="O199" s="126">
        <v>23919.264858195005</v>
      </c>
      <c r="P199" s="126">
        <v>23941.162710593177</v>
      </c>
      <c r="Q199" s="126">
        <v>24431.810059356063</v>
      </c>
    </row>
    <row r="200" spans="1:17" ht="11.5" customHeight="1">
      <c r="A200" s="104" t="s">
        <v>167</v>
      </c>
      <c r="B200" s="126">
        <v>15988.40177602794</v>
      </c>
      <c r="C200" s="126">
        <v>15354.549071171472</v>
      </c>
      <c r="D200" s="126">
        <v>14595.178146513783</v>
      </c>
      <c r="E200" s="126">
        <v>14049.224751288573</v>
      </c>
      <c r="F200" s="126">
        <v>13285.316296530867</v>
      </c>
      <c r="G200" s="126">
        <v>12878.041950748544</v>
      </c>
      <c r="H200" s="126">
        <v>12404.330488729638</v>
      </c>
      <c r="I200" s="126">
        <v>12377.590542831525</v>
      </c>
      <c r="J200" s="126">
        <v>12609.463008216035</v>
      </c>
      <c r="K200" s="126">
        <v>11978.626926117622</v>
      </c>
      <c r="L200" s="126">
        <v>10879.773261080101</v>
      </c>
      <c r="M200" s="126">
        <v>11984.567670323529</v>
      </c>
      <c r="N200" s="126">
        <v>11380.553873419278</v>
      </c>
      <c r="O200" s="126">
        <v>10908.674414924892</v>
      </c>
      <c r="P200" s="126">
        <v>10345.676970490042</v>
      </c>
      <c r="Q200" s="126">
        <v>9954.5508970059636</v>
      </c>
    </row>
    <row r="201" spans="1:17" ht="11.5" customHeight="1">
      <c r="A201" s="104" t="s">
        <v>168</v>
      </c>
      <c r="B201" s="126" t="s">
        <v>186</v>
      </c>
      <c r="C201" s="126" t="s">
        <v>186</v>
      </c>
      <c r="D201" s="126" t="s">
        <v>186</v>
      </c>
      <c r="E201" s="126" t="s">
        <v>186</v>
      </c>
      <c r="F201" s="126" t="s">
        <v>186</v>
      </c>
      <c r="G201" s="126" t="s">
        <v>186</v>
      </c>
      <c r="H201" s="126" t="s">
        <v>186</v>
      </c>
      <c r="I201" s="126">
        <v>37373.526758402084</v>
      </c>
      <c r="J201" s="126">
        <v>35831.860604548747</v>
      </c>
      <c r="K201" s="126">
        <v>34966.102474190702</v>
      </c>
      <c r="L201" s="126">
        <v>34249.366662267545</v>
      </c>
      <c r="M201" s="126">
        <v>33288.744052556409</v>
      </c>
      <c r="N201" s="126">
        <v>32668.900445704305</v>
      </c>
      <c r="O201" s="126">
        <v>30837.444905475044</v>
      </c>
      <c r="P201" s="126">
        <v>30949.875302590215</v>
      </c>
      <c r="Q201" s="126">
        <v>31342.139304276268</v>
      </c>
    </row>
    <row r="202" spans="1:17" ht="11.5" customHeight="1">
      <c r="A202" s="104" t="s">
        <v>169</v>
      </c>
      <c r="B202" s="126" t="s">
        <v>186</v>
      </c>
      <c r="C202" s="126" t="s">
        <v>186</v>
      </c>
      <c r="D202" s="126" t="s">
        <v>186</v>
      </c>
      <c r="E202" s="126" t="s">
        <v>186</v>
      </c>
      <c r="F202" s="126" t="s">
        <v>186</v>
      </c>
      <c r="G202" s="126" t="s">
        <v>186</v>
      </c>
      <c r="H202" s="126" t="s">
        <v>186</v>
      </c>
      <c r="I202" s="126" t="s">
        <v>186</v>
      </c>
      <c r="J202" s="126" t="s">
        <v>186</v>
      </c>
      <c r="K202" s="126" t="s">
        <v>186</v>
      </c>
      <c r="L202" s="126" t="s">
        <v>186</v>
      </c>
      <c r="M202" s="126" t="s">
        <v>186</v>
      </c>
      <c r="N202" s="126" t="s">
        <v>186</v>
      </c>
      <c r="O202" s="126">
        <v>16080.717487821355</v>
      </c>
      <c r="P202" s="126">
        <v>17146.507891008569</v>
      </c>
      <c r="Q202" s="126">
        <v>18118.663194270597</v>
      </c>
    </row>
    <row r="203" spans="1:17" ht="11.5" customHeight="1">
      <c r="A203" s="104" t="s">
        <v>170</v>
      </c>
      <c r="B203" s="126" t="s">
        <v>186</v>
      </c>
      <c r="C203" s="126" t="s">
        <v>186</v>
      </c>
      <c r="D203" s="126" t="s">
        <v>186</v>
      </c>
      <c r="E203" s="126" t="s">
        <v>186</v>
      </c>
      <c r="F203" s="126" t="s">
        <v>186</v>
      </c>
      <c r="G203" s="126" t="s">
        <v>186</v>
      </c>
      <c r="H203" s="126">
        <v>22125.307411217687</v>
      </c>
      <c r="I203" s="126">
        <v>21786.446945687021</v>
      </c>
      <c r="J203" s="126">
        <v>21347.715088449597</v>
      </c>
      <c r="K203" s="126">
        <v>20789.598770641151</v>
      </c>
      <c r="L203" s="126">
        <v>21292.589551271616</v>
      </c>
      <c r="M203" s="126">
        <v>21451.770660912443</v>
      </c>
      <c r="N203" s="126">
        <v>20887.074106657517</v>
      </c>
      <c r="O203" s="126">
        <v>21049.46484746259</v>
      </c>
      <c r="P203" s="126">
        <v>20685.789277163967</v>
      </c>
      <c r="Q203" s="126">
        <v>20518.745341341673</v>
      </c>
    </row>
    <row r="204" spans="1:17" ht="11.5" customHeight="1">
      <c r="A204" s="102" t="s">
        <v>171</v>
      </c>
      <c r="B204" s="125">
        <v>650455.17415652762</v>
      </c>
      <c r="C204" s="125">
        <v>619770.9842134635</v>
      </c>
      <c r="D204" s="125">
        <v>633262.86598081409</v>
      </c>
      <c r="E204" s="125">
        <v>628455.84909662069</v>
      </c>
      <c r="F204" s="125">
        <v>628075.44829214597</v>
      </c>
      <c r="G204" s="125">
        <v>618167.9344973875</v>
      </c>
      <c r="H204" s="125">
        <v>628844.94730674336</v>
      </c>
      <c r="I204" s="125">
        <v>637526.5543495724</v>
      </c>
      <c r="J204" s="125">
        <v>665096.9561178952</v>
      </c>
      <c r="K204" s="125">
        <v>688182.13619797118</v>
      </c>
      <c r="L204" s="125">
        <v>742914.0757183946</v>
      </c>
      <c r="M204" s="125">
        <v>744414.43939661956</v>
      </c>
      <c r="N204" s="125">
        <v>739628.36263676698</v>
      </c>
      <c r="O204" s="125">
        <v>704443.02523096057</v>
      </c>
      <c r="P204" s="125">
        <v>689106.26043176523</v>
      </c>
      <c r="Q204" s="125">
        <v>685077.63305519801</v>
      </c>
    </row>
    <row r="205" spans="1:17" ht="11.5" customHeight="1">
      <c r="A205" s="104" t="s">
        <v>165</v>
      </c>
      <c r="B205" s="126">
        <v>123229.59268733425</v>
      </c>
      <c r="C205" s="126">
        <v>118491.62223216573</v>
      </c>
      <c r="D205" s="126">
        <v>122414.2527873856</v>
      </c>
      <c r="E205" s="126">
        <v>122665.10217185055</v>
      </c>
      <c r="F205" s="126">
        <v>123953.15361100997</v>
      </c>
      <c r="G205" s="126">
        <v>123360.35975912772</v>
      </c>
      <c r="H205" s="126">
        <v>126893.94116306762</v>
      </c>
      <c r="I205" s="126">
        <v>130085.05889431716</v>
      </c>
      <c r="J205" s="126">
        <v>137217.34408568739</v>
      </c>
      <c r="K205" s="126">
        <v>143550.20937277284</v>
      </c>
      <c r="L205" s="126">
        <v>156677.03635220593</v>
      </c>
      <c r="M205" s="126">
        <v>158561.14022455641</v>
      </c>
      <c r="N205" s="126">
        <v>158981.01601254987</v>
      </c>
      <c r="O205" s="126">
        <v>152815.99059366997</v>
      </c>
      <c r="P205" s="126">
        <v>150919.22133635287</v>
      </c>
      <c r="Q205" s="126">
        <v>151503.52455038403</v>
      </c>
    </row>
    <row r="206" spans="1:17" ht="11.5" customHeight="1">
      <c r="A206" s="104" t="s">
        <v>166</v>
      </c>
      <c r="B206" s="126">
        <v>658255.01850024739</v>
      </c>
      <c r="C206" s="126">
        <v>624794.63316799246</v>
      </c>
      <c r="D206" s="126">
        <v>637655.19649490586</v>
      </c>
      <c r="E206" s="126">
        <v>631198.40459705365</v>
      </c>
      <c r="F206" s="126">
        <v>629733.80121880234</v>
      </c>
      <c r="G206" s="126">
        <v>618921.81170857593</v>
      </c>
      <c r="H206" s="126">
        <v>628038.97394230147</v>
      </c>
      <c r="I206" s="126">
        <v>636125.30830152298</v>
      </c>
      <c r="J206" s="126">
        <v>662269.08528359525</v>
      </c>
      <c r="K206" s="126">
        <v>684860.00938066922</v>
      </c>
      <c r="L206" s="126">
        <v>738387.2164750566</v>
      </c>
      <c r="M206" s="126">
        <v>739340.7216674966</v>
      </c>
      <c r="N206" s="126">
        <v>733986.28590493498</v>
      </c>
      <c r="O206" s="126">
        <v>698700.99190950068</v>
      </c>
      <c r="P206" s="126">
        <v>680458.36722201842</v>
      </c>
      <c r="Q206" s="126">
        <v>676854.15418514167</v>
      </c>
    </row>
    <row r="207" spans="1:17" ht="11.5" customHeight="1">
      <c r="A207" s="104" t="s">
        <v>167</v>
      </c>
      <c r="B207" s="126">
        <v>437281.42115217674</v>
      </c>
      <c r="C207" s="126">
        <v>416144.30977644451</v>
      </c>
      <c r="D207" s="126">
        <v>425554.51102393487</v>
      </c>
      <c r="E207" s="126">
        <v>422034.86092033621</v>
      </c>
      <c r="F207" s="126">
        <v>422075.91013087338</v>
      </c>
      <c r="G207" s="126">
        <v>417751.93031581183</v>
      </c>
      <c r="H207" s="126">
        <v>429579.88543323032</v>
      </c>
      <c r="I207" s="126">
        <v>440242.12229825399</v>
      </c>
      <c r="J207" s="126">
        <v>464274.21447889227</v>
      </c>
      <c r="K207" s="126">
        <v>485607.27971597784</v>
      </c>
      <c r="L207" s="126">
        <v>529918.71792776231</v>
      </c>
      <c r="M207" s="126">
        <v>536140.44449634932</v>
      </c>
      <c r="N207" s="126">
        <v>537430.06974270276</v>
      </c>
      <c r="O207" s="126">
        <v>516450.45259296172</v>
      </c>
      <c r="P207" s="126">
        <v>509933.43709674524</v>
      </c>
      <c r="Q207" s="126">
        <v>511819.0746686706</v>
      </c>
    </row>
    <row r="208" spans="1:17" ht="11.5" customHeight="1">
      <c r="A208" s="104" t="s">
        <v>168</v>
      </c>
      <c r="B208" s="126">
        <v>781242.8466859028</v>
      </c>
      <c r="C208" s="126">
        <v>750989.37741022359</v>
      </c>
      <c r="D208" s="126">
        <v>765194.93498952885</v>
      </c>
      <c r="E208" s="126">
        <v>766531.52296463656</v>
      </c>
      <c r="F208" s="126">
        <v>774349.57538855879</v>
      </c>
      <c r="G208" s="126">
        <v>770407.20033540728</v>
      </c>
      <c r="H208" s="126">
        <v>776532.4814002245</v>
      </c>
      <c r="I208" s="126">
        <v>780047.59617826424</v>
      </c>
      <c r="J208" s="126">
        <v>806339.424032468</v>
      </c>
      <c r="K208" s="126">
        <v>829539.83285430213</v>
      </c>
      <c r="L208" s="126">
        <v>905234.95643077872</v>
      </c>
      <c r="M208" s="126">
        <v>906266.69793321425</v>
      </c>
      <c r="N208" s="126">
        <v>901450.42313512787</v>
      </c>
      <c r="O208" s="126">
        <v>855568.07238782861</v>
      </c>
      <c r="P208" s="126">
        <v>828043.625379181</v>
      </c>
      <c r="Q208" s="126">
        <v>814648.03824021865</v>
      </c>
    </row>
    <row r="209" spans="1:17" ht="11.5" customHeight="1">
      <c r="A209" s="104" t="s">
        <v>170</v>
      </c>
      <c r="B209" s="126">
        <v>886484.54826541129</v>
      </c>
      <c r="C209" s="126">
        <v>861166.23659964232</v>
      </c>
      <c r="D209" s="126">
        <v>863501.64186534903</v>
      </c>
      <c r="E209" s="126">
        <v>863613.99024296727</v>
      </c>
      <c r="F209" s="126">
        <v>846579.58605501533</v>
      </c>
      <c r="G209" s="126">
        <v>816421.74279995344</v>
      </c>
      <c r="H209" s="126">
        <v>813594.8672531246</v>
      </c>
      <c r="I209" s="126">
        <v>807886.93501654977</v>
      </c>
      <c r="J209" s="126">
        <v>826926.03227027832</v>
      </c>
      <c r="K209" s="126">
        <v>840196.4907988878</v>
      </c>
      <c r="L209" s="126">
        <v>891065.68460201856</v>
      </c>
      <c r="M209" s="126">
        <v>894757.42601754458</v>
      </c>
      <c r="N209" s="126">
        <v>906808.00002854678</v>
      </c>
      <c r="O209" s="126">
        <v>879176.76500077907</v>
      </c>
      <c r="P209" s="126">
        <v>869445.61250673258</v>
      </c>
      <c r="Q209" s="126">
        <v>870092.42693673994</v>
      </c>
    </row>
    <row r="210" spans="1:17" ht="11.5" customHeight="1">
      <c r="A210" s="98" t="s">
        <v>191</v>
      </c>
      <c r="B210" s="123">
        <v>41954.408587158381</v>
      </c>
      <c r="C210" s="123">
        <v>43385.986218173588</v>
      </c>
      <c r="D210" s="123">
        <v>44131.510541635442</v>
      </c>
      <c r="E210" s="123">
        <v>44322.653736990709</v>
      </c>
      <c r="F210" s="123">
        <v>47549.395785993045</v>
      </c>
      <c r="G210" s="123">
        <v>47629.552240043689</v>
      </c>
      <c r="H210" s="123">
        <v>48843.935405492048</v>
      </c>
      <c r="I210" s="123">
        <v>50279.079562999308</v>
      </c>
      <c r="J210" s="123">
        <v>47929.128112035643</v>
      </c>
      <c r="K210" s="123">
        <v>42076.879950205948</v>
      </c>
      <c r="L210" s="123">
        <v>43962.939747464829</v>
      </c>
      <c r="M210" s="123">
        <v>44078.096177037813</v>
      </c>
      <c r="N210" s="123">
        <v>42122.136473068262</v>
      </c>
      <c r="O210" s="123">
        <v>42798.017923245185</v>
      </c>
      <c r="P210" s="123">
        <v>41788.037128050768</v>
      </c>
      <c r="Q210" s="123">
        <v>40371.693523685033</v>
      </c>
    </row>
    <row r="211" spans="1:17" ht="11.5" customHeight="1">
      <c r="A211" s="100" t="s">
        <v>173</v>
      </c>
      <c r="B211" s="124">
        <v>3353.1436408142699</v>
      </c>
      <c r="C211" s="124">
        <v>3478.8741217540796</v>
      </c>
      <c r="D211" s="124">
        <v>3559.5267392278329</v>
      </c>
      <c r="E211" s="124">
        <v>3627.9622455476724</v>
      </c>
      <c r="F211" s="124">
        <v>3647.7650830355042</v>
      </c>
      <c r="G211" s="124">
        <v>3683.7663980812586</v>
      </c>
      <c r="H211" s="124">
        <v>3726.5244972911159</v>
      </c>
      <c r="I211" s="124">
        <v>3751.992208322537</v>
      </c>
      <c r="J211" s="124">
        <v>3747.8007373729915</v>
      </c>
      <c r="K211" s="124">
        <v>3885.2874107187999</v>
      </c>
      <c r="L211" s="124">
        <v>4047.3464644086012</v>
      </c>
      <c r="M211" s="124">
        <v>4146.3983790807024</v>
      </c>
      <c r="N211" s="124">
        <v>4213.4491762080334</v>
      </c>
      <c r="O211" s="124">
        <v>4288.453122751006</v>
      </c>
      <c r="P211" s="124">
        <v>4344.4378120943929</v>
      </c>
      <c r="Q211" s="124">
        <v>4441.9752439582044</v>
      </c>
    </row>
    <row r="212" spans="1:17" ht="11.5" customHeight="1">
      <c r="A212" s="104" t="s">
        <v>165</v>
      </c>
      <c r="B212" s="126">
        <v>2857.8513252042408</v>
      </c>
      <c r="C212" s="126">
        <v>2945.6697205416685</v>
      </c>
      <c r="D212" s="126">
        <v>2997.827378845966</v>
      </c>
      <c r="E212" s="126">
        <v>3038.715150043844</v>
      </c>
      <c r="F212" s="126">
        <v>3038.2781681589531</v>
      </c>
      <c r="G212" s="126">
        <v>3060.2781617409723</v>
      </c>
      <c r="H212" s="126">
        <v>3087.1194851689852</v>
      </c>
      <c r="I212" s="126">
        <v>3064.2193024667372</v>
      </c>
      <c r="J212" s="126">
        <v>2945.2038924387375</v>
      </c>
      <c r="K212" s="126">
        <v>2936.6205802982959</v>
      </c>
      <c r="L212" s="126">
        <v>2946.2673748022717</v>
      </c>
      <c r="M212" s="126">
        <v>2905.6302206861001</v>
      </c>
      <c r="N212" s="126">
        <v>2839.8127721419414</v>
      </c>
      <c r="O212" s="126">
        <v>2780.8198140098907</v>
      </c>
      <c r="P212" s="126">
        <v>2709.9289513108865</v>
      </c>
      <c r="Q212" s="126">
        <v>2665.6530144728408</v>
      </c>
    </row>
    <row r="213" spans="1:17" ht="11.5" customHeight="1">
      <c r="A213" s="104" t="s">
        <v>166</v>
      </c>
      <c r="B213" s="126">
        <v>3437.0890367270504</v>
      </c>
      <c r="C213" s="126">
        <v>3553.920812396746</v>
      </c>
      <c r="D213" s="126">
        <v>3625.7247315587661</v>
      </c>
      <c r="E213" s="126">
        <v>3684.5770670873039</v>
      </c>
      <c r="F213" s="126">
        <v>3695.9884113869198</v>
      </c>
      <c r="G213" s="126">
        <v>3726.7158624069398</v>
      </c>
      <c r="H213" s="126">
        <v>3766.0639311100076</v>
      </c>
      <c r="I213" s="126">
        <v>3788.0951908419042</v>
      </c>
      <c r="J213" s="126">
        <v>3785.8665331138609</v>
      </c>
      <c r="K213" s="126">
        <v>3926.1278268641809</v>
      </c>
      <c r="L213" s="126">
        <v>4090.5823090436975</v>
      </c>
      <c r="M213" s="126">
        <v>4192.8271380940196</v>
      </c>
      <c r="N213" s="126">
        <v>4263.8974006306617</v>
      </c>
      <c r="O213" s="126">
        <v>4343.9117742263406</v>
      </c>
      <c r="P213" s="126">
        <v>4400.1848506076276</v>
      </c>
      <c r="Q213" s="126">
        <v>4499.3647642632413</v>
      </c>
    </row>
    <row r="214" spans="1:17" ht="11.5" customHeight="1">
      <c r="A214" s="104" t="s">
        <v>167</v>
      </c>
      <c r="B214" s="126">
        <v>1519.3247720657951</v>
      </c>
      <c r="C214" s="126">
        <v>1566.011827582822</v>
      </c>
      <c r="D214" s="126">
        <v>1593.7404996854548</v>
      </c>
      <c r="E214" s="126">
        <v>1615.4777409154738</v>
      </c>
      <c r="F214" s="126">
        <v>1615.2454274298832</v>
      </c>
      <c r="G214" s="126">
        <v>1633.2754707244503</v>
      </c>
      <c r="H214" s="126">
        <v>1660.9012799236466</v>
      </c>
      <c r="I214" s="126">
        <v>1682.1455164799659</v>
      </c>
      <c r="J214" s="126">
        <v>1694.7372205505239</v>
      </c>
      <c r="K214" s="126">
        <v>1771.2429048849431</v>
      </c>
      <c r="L214" s="126">
        <v>1862.712057385628</v>
      </c>
      <c r="M214" s="126">
        <v>1925.560624459589</v>
      </c>
      <c r="N214" s="126">
        <v>1972.6491258294523</v>
      </c>
      <c r="O214" s="126">
        <v>2024.772664888671</v>
      </c>
      <c r="P214" s="126">
        <v>2068.2575013469741</v>
      </c>
      <c r="Q214" s="126">
        <v>2132.5224115782726</v>
      </c>
    </row>
    <row r="215" spans="1:17" ht="11.5" customHeight="1">
      <c r="A215" s="104" t="s">
        <v>168</v>
      </c>
      <c r="B215" s="126">
        <v>1686.2912369960513</v>
      </c>
      <c r="C215" s="126">
        <v>1738.1089747483736</v>
      </c>
      <c r="D215" s="126">
        <v>1768.8848941830506</v>
      </c>
      <c r="E215" s="126">
        <v>1793.0109533881609</v>
      </c>
      <c r="F215" s="126">
        <v>1792.7531097709239</v>
      </c>
      <c r="G215" s="126">
        <v>1812.7645678668441</v>
      </c>
      <c r="H215" s="126">
        <v>1843.4263202610923</v>
      </c>
      <c r="I215" s="126">
        <v>1867.0051959565653</v>
      </c>
      <c r="J215" s="126">
        <v>1880.9806675762106</v>
      </c>
      <c r="K215" s="126">
        <v>1965.8939576413122</v>
      </c>
      <c r="L215" s="126">
        <v>2067.4151288571525</v>
      </c>
      <c r="M215" s="126">
        <v>2137.1704503414985</v>
      </c>
      <c r="N215" s="126">
        <v>2189.4337509097577</v>
      </c>
      <c r="O215" s="126">
        <v>2247.2854155260538</v>
      </c>
      <c r="P215" s="126">
        <v>2295.5490257890128</v>
      </c>
      <c r="Q215" s="126">
        <v>2366.8763397128355</v>
      </c>
    </row>
    <row r="216" spans="1:17" ht="11.5" customHeight="1">
      <c r="A216" s="104" t="s">
        <v>170</v>
      </c>
      <c r="B216" s="126">
        <v>1755.5527458208799</v>
      </c>
      <c r="C216" s="126">
        <v>1758.0847514543093</v>
      </c>
      <c r="D216" s="126">
        <v>1759.554757730976</v>
      </c>
      <c r="E216" s="126">
        <v>1760.6902008693771</v>
      </c>
      <c r="F216" s="126">
        <v>1760.7022587175406</v>
      </c>
      <c r="G216" s="126">
        <v>1761.3072771790969</v>
      </c>
      <c r="H216" s="126">
        <v>1762.0398511952942</v>
      </c>
      <c r="I216" s="126">
        <v>1762.4316892130396</v>
      </c>
      <c r="J216" s="126">
        <v>1762.480588454614</v>
      </c>
      <c r="K216" s="126">
        <v>1765.5141205958269</v>
      </c>
      <c r="L216" s="126">
        <v>1769.0749440372554</v>
      </c>
      <c r="M216" s="126">
        <v>1771.1943318053579</v>
      </c>
      <c r="N216" s="126">
        <v>1772.5544517002977</v>
      </c>
      <c r="O216" s="126">
        <v>1774.0777966982516</v>
      </c>
      <c r="P216" s="126">
        <v>1775.1940229841045</v>
      </c>
      <c r="Q216" s="126">
        <v>1777.1020096485611</v>
      </c>
    </row>
    <row r="217" spans="1:17" ht="11.5" customHeight="1">
      <c r="A217" s="102" t="s">
        <v>174</v>
      </c>
      <c r="B217" s="125">
        <v>476594.04761687963</v>
      </c>
      <c r="C217" s="125">
        <v>480330.15549709037</v>
      </c>
      <c r="D217" s="125">
        <v>479043.72231248859</v>
      </c>
      <c r="E217" s="125">
        <v>474958.68747167406</v>
      </c>
      <c r="F217" s="125">
        <v>500234.99863614922</v>
      </c>
      <c r="G217" s="125">
        <v>494013.9307684325</v>
      </c>
      <c r="H217" s="125">
        <v>500888.85153189092</v>
      </c>
      <c r="I217" s="125">
        <v>510053.11140306469</v>
      </c>
      <c r="J217" s="125">
        <v>476520.98331114819</v>
      </c>
      <c r="K217" s="125">
        <v>412243.10440652451</v>
      </c>
      <c r="L217" s="125">
        <v>418089.52214021754</v>
      </c>
      <c r="M217" s="125">
        <v>420674.51692844095</v>
      </c>
      <c r="N217" s="125">
        <v>405939.16315212165</v>
      </c>
      <c r="O217" s="125">
        <v>417070.2555337958</v>
      </c>
      <c r="P217" s="125">
        <v>410302.23863715504</v>
      </c>
      <c r="Q217" s="125">
        <v>400897.30402468098</v>
      </c>
    </row>
    <row r="218" spans="1:17" ht="11.5" customHeight="1">
      <c r="A218" s="104" t="s">
        <v>175</v>
      </c>
      <c r="B218" s="128">
        <v>362173.17668159044</v>
      </c>
      <c r="C218" s="128">
        <v>362871.59616833495</v>
      </c>
      <c r="D218" s="128">
        <v>357000.59099790314</v>
      </c>
      <c r="E218" s="128">
        <v>352886.03104396001</v>
      </c>
      <c r="F218" s="128">
        <v>366815.97274822817</v>
      </c>
      <c r="G218" s="128">
        <v>357188.75324042275</v>
      </c>
      <c r="H218" s="128">
        <v>362238.60775802261</v>
      </c>
      <c r="I218" s="128">
        <v>372495.1342934994</v>
      </c>
      <c r="J218" s="128">
        <v>342814.7606428095</v>
      </c>
      <c r="K218" s="128">
        <v>287009.06900167401</v>
      </c>
      <c r="L218" s="128">
        <v>290651.91282830446</v>
      </c>
      <c r="M218" s="128">
        <v>299580.47835439252</v>
      </c>
      <c r="N218" s="128">
        <v>283553.09064875985</v>
      </c>
      <c r="O218" s="128">
        <v>287568.47000247473</v>
      </c>
      <c r="P218" s="128">
        <v>278818.83196917921</v>
      </c>
      <c r="Q218" s="128">
        <v>265253.65319571289</v>
      </c>
    </row>
    <row r="219" spans="1:17" ht="11.5" customHeight="1">
      <c r="A219" s="106" t="s">
        <v>176</v>
      </c>
      <c r="B219" s="127">
        <v>1182663.8834929112</v>
      </c>
      <c r="C219" s="127">
        <v>1183121.3214902973</v>
      </c>
      <c r="D219" s="127">
        <v>1192080.5605456282</v>
      </c>
      <c r="E219" s="127">
        <v>1187587.7818991619</v>
      </c>
      <c r="F219" s="127">
        <v>1174275.1403056127</v>
      </c>
      <c r="G219" s="127">
        <v>1174998.8729538373</v>
      </c>
      <c r="H219" s="127">
        <v>1184850.4782423512</v>
      </c>
      <c r="I219" s="127">
        <v>1186881.2497044075</v>
      </c>
      <c r="J219" s="127">
        <v>1171909.7875773059</v>
      </c>
      <c r="K219" s="127">
        <v>1157675.9056466029</v>
      </c>
      <c r="L219" s="127">
        <v>1195335.6886198665</v>
      </c>
      <c r="M219" s="127">
        <v>1191169.202678028</v>
      </c>
      <c r="N219" s="127">
        <v>1187283.9042589273</v>
      </c>
      <c r="O219" s="127">
        <v>1189122.9021907246</v>
      </c>
      <c r="P219" s="127">
        <v>1191466.4871402814</v>
      </c>
      <c r="Q219" s="127">
        <v>1182193.50704827</v>
      </c>
    </row>
    <row r="221" spans="1:17" ht="11.5" customHeight="1">
      <c r="A221" s="96" t="s">
        <v>192</v>
      </c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</row>
    <row r="222" spans="1:17" ht="11.5" customHeight="1">
      <c r="A222" s="98" t="s">
        <v>193</v>
      </c>
      <c r="B222" s="130">
        <v>1</v>
      </c>
      <c r="C222" s="130">
        <v>1</v>
      </c>
      <c r="D222" s="130">
        <v>1</v>
      </c>
      <c r="E222" s="130">
        <v>1</v>
      </c>
      <c r="F222" s="130">
        <v>1</v>
      </c>
      <c r="G222" s="130">
        <v>1</v>
      </c>
      <c r="H222" s="130">
        <v>1</v>
      </c>
      <c r="I222" s="130">
        <v>1</v>
      </c>
      <c r="J222" s="130">
        <v>1</v>
      </c>
      <c r="K222" s="130">
        <v>1</v>
      </c>
      <c r="L222" s="130">
        <v>1</v>
      </c>
      <c r="M222" s="130">
        <v>1</v>
      </c>
      <c r="N222" s="130">
        <v>1</v>
      </c>
      <c r="O222" s="130">
        <v>1</v>
      </c>
      <c r="P222" s="130">
        <v>1</v>
      </c>
      <c r="Q222" s="130">
        <v>1</v>
      </c>
    </row>
    <row r="223" spans="1:17" ht="11.5" customHeight="1">
      <c r="A223" s="131" t="s">
        <v>163</v>
      </c>
      <c r="B223" s="132">
        <v>1.4995883554771501E-2</v>
      </c>
      <c r="C223" s="132">
        <v>1.5951622466216078E-2</v>
      </c>
      <c r="D223" s="132">
        <v>1.7598057219911815E-2</v>
      </c>
      <c r="E223" s="132">
        <v>1.7674188349741334E-2</v>
      </c>
      <c r="F223" s="132">
        <v>1.896820835177631E-2</v>
      </c>
      <c r="G223" s="132">
        <v>1.985378315886574E-2</v>
      </c>
      <c r="H223" s="132">
        <v>1.9990458194694007E-2</v>
      </c>
      <c r="I223" s="132">
        <v>2.0479744827760698E-2</v>
      </c>
      <c r="J223" s="132">
        <v>2.2181367180359002E-2</v>
      </c>
      <c r="K223" s="132">
        <v>2.2825841515022156E-2</v>
      </c>
      <c r="L223" s="132">
        <v>2.2539232827729187E-2</v>
      </c>
      <c r="M223" s="132">
        <v>2.2749589067936799E-2</v>
      </c>
      <c r="N223" s="132">
        <v>2.2932641416225454E-2</v>
      </c>
      <c r="O223" s="132">
        <v>2.3122995850301423E-2</v>
      </c>
      <c r="P223" s="132">
        <v>2.3357654778790381E-2</v>
      </c>
      <c r="Q223" s="132">
        <v>2.290627866517804E-2</v>
      </c>
    </row>
    <row r="224" spans="1:17" ht="11.5" customHeight="1">
      <c r="A224" s="133" t="s">
        <v>164</v>
      </c>
      <c r="B224" s="134">
        <v>0.91111223497514682</v>
      </c>
      <c r="C224" s="134">
        <v>0.91430153901559652</v>
      </c>
      <c r="D224" s="134">
        <v>0.91251186493066194</v>
      </c>
      <c r="E224" s="134">
        <v>0.91195115016902484</v>
      </c>
      <c r="F224" s="134">
        <v>0.90938469758916951</v>
      </c>
      <c r="G224" s="134">
        <v>0.90742749946916246</v>
      </c>
      <c r="H224" s="134">
        <v>0.90420620308659816</v>
      </c>
      <c r="I224" s="134">
        <v>0.90138003277539658</v>
      </c>
      <c r="J224" s="134">
        <v>0.89563017344702278</v>
      </c>
      <c r="K224" s="134">
        <v>0.89440011979154899</v>
      </c>
      <c r="L224" s="134">
        <v>0.89204891399008213</v>
      </c>
      <c r="M224" s="134">
        <v>0.89012613740473312</v>
      </c>
      <c r="N224" s="134">
        <v>0.88947367815701461</v>
      </c>
      <c r="O224" s="134">
        <v>0.88930403740525099</v>
      </c>
      <c r="P224" s="134">
        <v>0.88952504604525628</v>
      </c>
      <c r="Q224" s="134">
        <v>0.89059448433923982</v>
      </c>
    </row>
    <row r="225" spans="1:17" ht="11.5" customHeight="1">
      <c r="A225" s="135" t="s">
        <v>165</v>
      </c>
      <c r="B225" s="136">
        <v>0.43815143044311955</v>
      </c>
      <c r="C225" s="136">
        <v>0.41717770764614842</v>
      </c>
      <c r="D225" s="136">
        <v>0.40257957385860332</v>
      </c>
      <c r="E225" s="136">
        <v>0.38086739091754018</v>
      </c>
      <c r="F225" s="136">
        <v>0.36261906438555325</v>
      </c>
      <c r="G225" s="136">
        <v>0.34509594474880562</v>
      </c>
      <c r="H225" s="136">
        <v>0.31786197025316287</v>
      </c>
      <c r="I225" s="136">
        <v>0.29382922918502324</v>
      </c>
      <c r="J225" s="136">
        <v>0.26501554622025336</v>
      </c>
      <c r="K225" s="136">
        <v>0.24926230222306578</v>
      </c>
      <c r="L225" s="136">
        <v>0.23529875956590415</v>
      </c>
      <c r="M225" s="136">
        <v>0.22484858693569088</v>
      </c>
      <c r="N225" s="136">
        <v>0.2088532524212289</v>
      </c>
      <c r="O225" s="136">
        <v>0.20530063087048495</v>
      </c>
      <c r="P225" s="136">
        <v>0.20741553675979604</v>
      </c>
      <c r="Q225" s="136">
        <v>0.21007882160117283</v>
      </c>
    </row>
    <row r="226" spans="1:17" ht="11.5" customHeight="1">
      <c r="A226" s="135" t="s">
        <v>166</v>
      </c>
      <c r="B226" s="136">
        <v>0.46569557296224179</v>
      </c>
      <c r="C226" s="136">
        <v>0.49041440001737285</v>
      </c>
      <c r="D226" s="136">
        <v>0.50407213887866631</v>
      </c>
      <c r="E226" s="136">
        <v>0.52600642023385002</v>
      </c>
      <c r="F226" s="136">
        <v>0.54224458682241372</v>
      </c>
      <c r="G226" s="136">
        <v>0.55823100262711212</v>
      </c>
      <c r="H226" s="136">
        <v>0.58269398681513984</v>
      </c>
      <c r="I226" s="136">
        <v>0.60424715653965499</v>
      </c>
      <c r="J226" s="136">
        <v>0.62751229691452581</v>
      </c>
      <c r="K226" s="136">
        <v>0.6426058209426212</v>
      </c>
      <c r="L226" s="136">
        <v>0.6529878421822114</v>
      </c>
      <c r="M226" s="136">
        <v>0.66119525193609141</v>
      </c>
      <c r="N226" s="136">
        <v>0.67685669422004036</v>
      </c>
      <c r="O226" s="136">
        <v>0.68035651099210293</v>
      </c>
      <c r="P226" s="136">
        <v>0.678584693064336</v>
      </c>
      <c r="Q226" s="136">
        <v>0.67681497146585101</v>
      </c>
    </row>
    <row r="227" spans="1:17" ht="11.5" customHeight="1">
      <c r="A227" s="135" t="s">
        <v>167</v>
      </c>
      <c r="B227" s="136">
        <v>7.2652315697855291E-3</v>
      </c>
      <c r="C227" s="136">
        <v>6.7094313520751807E-3</v>
      </c>
      <c r="D227" s="136">
        <v>5.8601521933925099E-3</v>
      </c>
      <c r="E227" s="136">
        <v>5.0773390176346916E-3</v>
      </c>
      <c r="F227" s="136">
        <v>4.5210463812024697E-3</v>
      </c>
      <c r="G227" s="136">
        <v>4.1005520932447742E-3</v>
      </c>
      <c r="H227" s="136">
        <v>3.6498464233534395E-3</v>
      </c>
      <c r="I227" s="136">
        <v>3.2804040581538014E-3</v>
      </c>
      <c r="J227" s="136">
        <v>3.0588359854228863E-3</v>
      </c>
      <c r="K227" s="136">
        <v>2.4727324219105604E-3</v>
      </c>
      <c r="L227" s="136">
        <v>3.6942152728125835E-3</v>
      </c>
      <c r="M227" s="136">
        <v>3.9366681572522554E-3</v>
      </c>
      <c r="N227" s="136">
        <v>3.4693706191511729E-3</v>
      </c>
      <c r="O227" s="136">
        <v>3.0831658690782162E-3</v>
      </c>
      <c r="P227" s="136">
        <v>2.6769723969402143E-3</v>
      </c>
      <c r="Q227" s="136">
        <v>2.316753748533996E-3</v>
      </c>
    </row>
    <row r="228" spans="1:17" ht="11.5" customHeight="1">
      <c r="A228" s="135" t="s">
        <v>168</v>
      </c>
      <c r="B228" s="136">
        <v>0</v>
      </c>
      <c r="C228" s="136">
        <v>0</v>
      </c>
      <c r="D228" s="136">
        <v>0</v>
      </c>
      <c r="E228" s="136">
        <v>0</v>
      </c>
      <c r="F228" s="136">
        <v>0</v>
      </c>
      <c r="G228" s="136">
        <v>0</v>
      </c>
      <c r="H228" s="136">
        <v>0</v>
      </c>
      <c r="I228" s="136">
        <v>2.2686166159683495E-5</v>
      </c>
      <c r="J228" s="136">
        <v>4.28566965364148E-5</v>
      </c>
      <c r="K228" s="136">
        <v>5.832119718381905E-5</v>
      </c>
      <c r="L228" s="136">
        <v>6.3047334514247853E-5</v>
      </c>
      <c r="M228" s="136">
        <v>6.7318946911801799E-5</v>
      </c>
      <c r="N228" s="136">
        <v>7.1067299590501918E-5</v>
      </c>
      <c r="O228" s="136">
        <v>6.9401550377398762E-5</v>
      </c>
      <c r="P228" s="136">
        <v>7.0681977749288905E-5</v>
      </c>
      <c r="Q228" s="136">
        <v>7.4630040714339E-5</v>
      </c>
    </row>
    <row r="229" spans="1:17" ht="11.5" customHeight="1">
      <c r="A229" s="135" t="s">
        <v>169</v>
      </c>
      <c r="B229" s="136">
        <v>0</v>
      </c>
      <c r="C229" s="136">
        <v>0</v>
      </c>
      <c r="D229" s="136">
        <v>0</v>
      </c>
      <c r="E229" s="136">
        <v>0</v>
      </c>
      <c r="F229" s="136">
        <v>0</v>
      </c>
      <c r="G229" s="136">
        <v>0</v>
      </c>
      <c r="H229" s="136">
        <v>0</v>
      </c>
      <c r="I229" s="136">
        <v>0</v>
      </c>
      <c r="J229" s="136">
        <v>0</v>
      </c>
      <c r="K229" s="136">
        <v>0</v>
      </c>
      <c r="L229" s="136">
        <v>0</v>
      </c>
      <c r="M229" s="136">
        <v>0</v>
      </c>
      <c r="N229" s="136">
        <v>0</v>
      </c>
      <c r="O229" s="136">
        <v>1.229540523882963E-5</v>
      </c>
      <c r="P229" s="136">
        <v>5.2534887822733132E-5</v>
      </c>
      <c r="Q229" s="136">
        <v>1.7959200408283559E-4</v>
      </c>
    </row>
    <row r="230" spans="1:17" ht="11.5" customHeight="1">
      <c r="A230" s="135" t="s">
        <v>170</v>
      </c>
      <c r="B230" s="136">
        <v>0</v>
      </c>
      <c r="C230" s="136">
        <v>0</v>
      </c>
      <c r="D230" s="136">
        <v>0</v>
      </c>
      <c r="E230" s="136">
        <v>0</v>
      </c>
      <c r="F230" s="136">
        <v>0</v>
      </c>
      <c r="G230" s="136">
        <v>0</v>
      </c>
      <c r="H230" s="136">
        <v>3.9959494205723748E-7</v>
      </c>
      <c r="I230" s="136">
        <v>5.5682640493971717E-7</v>
      </c>
      <c r="J230" s="136">
        <v>6.3763028433353182E-7</v>
      </c>
      <c r="K230" s="136">
        <v>9.430067676099859E-7</v>
      </c>
      <c r="L230" s="136">
        <v>5.0496346397596529E-6</v>
      </c>
      <c r="M230" s="136">
        <v>7.8311428786699536E-5</v>
      </c>
      <c r="N230" s="136">
        <v>2.2329359700375311E-4</v>
      </c>
      <c r="O230" s="136">
        <v>4.8203271796855394E-4</v>
      </c>
      <c r="P230" s="136">
        <v>7.246269586119675E-4</v>
      </c>
      <c r="Q230" s="136">
        <v>1.1297154788849823E-3</v>
      </c>
    </row>
    <row r="231" spans="1:17" ht="11.5" customHeight="1">
      <c r="A231" s="133" t="s">
        <v>171</v>
      </c>
      <c r="B231" s="134">
        <v>7.3891881470081688E-2</v>
      </c>
      <c r="C231" s="134">
        <v>6.9746838518187512E-2</v>
      </c>
      <c r="D231" s="134">
        <v>6.9890077849426233E-2</v>
      </c>
      <c r="E231" s="134">
        <v>7.0374661481233738E-2</v>
      </c>
      <c r="F231" s="134">
        <v>7.164709405905427E-2</v>
      </c>
      <c r="G231" s="134">
        <v>7.2718717371971858E-2</v>
      </c>
      <c r="H231" s="134">
        <v>7.5803338718707688E-2</v>
      </c>
      <c r="I231" s="134">
        <v>7.8140222396842748E-2</v>
      </c>
      <c r="J231" s="134">
        <v>8.2188459372618192E-2</v>
      </c>
      <c r="K231" s="134">
        <v>8.277403869342892E-2</v>
      </c>
      <c r="L231" s="134">
        <v>8.5411853182188774E-2</v>
      </c>
      <c r="M231" s="134">
        <v>8.7124273527330195E-2</v>
      </c>
      <c r="N231" s="134">
        <v>8.7593680426759857E-2</v>
      </c>
      <c r="O231" s="134">
        <v>8.7572966744447603E-2</v>
      </c>
      <c r="P231" s="134">
        <v>8.7117299175953233E-2</v>
      </c>
      <c r="Q231" s="134">
        <v>8.6499236995581985E-2</v>
      </c>
    </row>
    <row r="232" spans="1:17" ht="11.5" customHeight="1">
      <c r="A232" s="135" t="s">
        <v>165</v>
      </c>
      <c r="B232" s="136">
        <v>2.0782304551038181E-4</v>
      </c>
      <c r="C232" s="136">
        <v>1.8375177259787829E-4</v>
      </c>
      <c r="D232" s="136">
        <v>1.773236313635955E-4</v>
      </c>
      <c r="E232" s="136">
        <v>1.6539164957985424E-4</v>
      </c>
      <c r="F232" s="136">
        <v>1.5513678519735936E-4</v>
      </c>
      <c r="G232" s="136">
        <v>1.4345744388764866E-4</v>
      </c>
      <c r="H232" s="136">
        <v>1.3439610319094755E-4</v>
      </c>
      <c r="I232" s="136">
        <v>1.2301627001684389E-4</v>
      </c>
      <c r="J232" s="136">
        <v>1.1778776204610331E-4</v>
      </c>
      <c r="K232" s="136">
        <v>1.0864689890293824E-4</v>
      </c>
      <c r="L232" s="136">
        <v>1.026327565877682E-4</v>
      </c>
      <c r="M232" s="136">
        <v>8.9442387479066467E-5</v>
      </c>
      <c r="N232" s="136">
        <v>7.6718971773665761E-5</v>
      </c>
      <c r="O232" s="136">
        <v>6.2018668348218161E-5</v>
      </c>
      <c r="P232" s="136">
        <v>5.0322660046049525E-5</v>
      </c>
      <c r="Q232" s="136">
        <v>4.0621777114623529E-5</v>
      </c>
    </row>
    <row r="233" spans="1:17" ht="11.5" customHeight="1">
      <c r="A233" s="135" t="s">
        <v>166</v>
      </c>
      <c r="B233" s="136">
        <v>7.3332076714316782E-2</v>
      </c>
      <c r="C233" s="136">
        <v>6.7997397686832883E-2</v>
      </c>
      <c r="D233" s="136">
        <v>6.7883829339575749E-2</v>
      </c>
      <c r="E233" s="136">
        <v>6.7805651056816796E-2</v>
      </c>
      <c r="F233" s="136">
        <v>6.883181077237828E-2</v>
      </c>
      <c r="G233" s="136">
        <v>6.9792091254310656E-2</v>
      </c>
      <c r="H233" s="136">
        <v>7.2137277390735194E-2</v>
      </c>
      <c r="I233" s="136">
        <v>7.4178656706533494E-2</v>
      </c>
      <c r="J233" s="136">
        <v>7.7266978150384691E-2</v>
      </c>
      <c r="K233" s="136">
        <v>7.7693413168859443E-2</v>
      </c>
      <c r="L233" s="136">
        <v>8.0076302349372963E-2</v>
      </c>
      <c r="M233" s="136">
        <v>8.1719691352237347E-2</v>
      </c>
      <c r="N233" s="136">
        <v>8.215694576566028E-2</v>
      </c>
      <c r="O233" s="136">
        <v>8.2187071264990821E-2</v>
      </c>
      <c r="P233" s="136">
        <v>7.9775486082924174E-2</v>
      </c>
      <c r="Q233" s="136">
        <v>7.9377146970896997E-2</v>
      </c>
    </row>
    <row r="234" spans="1:17" ht="11.5" customHeight="1">
      <c r="A234" s="135" t="s">
        <v>167</v>
      </c>
      <c r="B234" s="136">
        <v>8.515862660069379E-5</v>
      </c>
      <c r="C234" s="136">
        <v>9.348866689416768E-5</v>
      </c>
      <c r="D234" s="136">
        <v>9.3711668444465996E-5</v>
      </c>
      <c r="E234" s="136">
        <v>9.8054482708302495E-5</v>
      </c>
      <c r="F234" s="136">
        <v>1.0146458383234396E-4</v>
      </c>
      <c r="G234" s="136">
        <v>1.0275703001113242E-4</v>
      </c>
      <c r="H234" s="136">
        <v>8.478870493170779E-5</v>
      </c>
      <c r="I234" s="136">
        <v>1.0126690000721183E-4</v>
      </c>
      <c r="J234" s="136">
        <v>1.0310040612414816E-4</v>
      </c>
      <c r="K234" s="136">
        <v>1.0258254052170278E-4</v>
      </c>
      <c r="L234" s="136">
        <v>1.0461398034829138E-4</v>
      </c>
      <c r="M234" s="136">
        <v>9.8752726665441638E-5</v>
      </c>
      <c r="N234" s="136">
        <v>9.2623552945050272E-5</v>
      </c>
      <c r="O234" s="136">
        <v>8.804332055182049E-5</v>
      </c>
      <c r="P234" s="136">
        <v>8.3412281951874968E-5</v>
      </c>
      <c r="Q234" s="136">
        <v>7.8687576438065806E-5</v>
      </c>
    </row>
    <row r="235" spans="1:17" ht="11.5" customHeight="1">
      <c r="A235" s="135" t="s">
        <v>168</v>
      </c>
      <c r="B235" s="136">
        <v>9.4184130839171194E-5</v>
      </c>
      <c r="C235" s="136">
        <v>1.2908962189318971E-3</v>
      </c>
      <c r="D235" s="136">
        <v>1.5340694214720904E-3</v>
      </c>
      <c r="E235" s="136">
        <v>2.0884677548153588E-3</v>
      </c>
      <c r="F235" s="136">
        <v>2.3293262355003615E-3</v>
      </c>
      <c r="G235" s="136">
        <v>2.4585630254076365E-3</v>
      </c>
      <c r="H235" s="136">
        <v>3.2306653863213432E-3</v>
      </c>
      <c r="I235" s="136">
        <v>3.5307996647996349E-3</v>
      </c>
      <c r="J235" s="136">
        <v>4.4922600406286104E-3</v>
      </c>
      <c r="K235" s="136">
        <v>4.6690414732527127E-3</v>
      </c>
      <c r="L235" s="136">
        <v>4.9306910701981529E-3</v>
      </c>
      <c r="M235" s="136">
        <v>5.0298346141687753E-3</v>
      </c>
      <c r="N235" s="136">
        <v>5.0578556663047518E-3</v>
      </c>
      <c r="O235" s="136">
        <v>4.9416658458033809E-3</v>
      </c>
      <c r="P235" s="136">
        <v>6.8755034848237296E-3</v>
      </c>
      <c r="Q235" s="136">
        <v>6.6239472031288885E-3</v>
      </c>
    </row>
    <row r="236" spans="1:17" ht="11.5" customHeight="1">
      <c r="A236" s="135" t="s">
        <v>170</v>
      </c>
      <c r="B236" s="136">
        <v>1.7263895281466175E-4</v>
      </c>
      <c r="C236" s="136">
        <v>1.8130417293069409E-4</v>
      </c>
      <c r="D236" s="136">
        <v>2.0114378857031759E-4</v>
      </c>
      <c r="E236" s="136">
        <v>2.1709653731343898E-4</v>
      </c>
      <c r="F236" s="136">
        <v>2.293556821459302E-4</v>
      </c>
      <c r="G236" s="136">
        <v>2.2184861835477466E-4</v>
      </c>
      <c r="H236" s="136">
        <v>2.1621113352850488E-4</v>
      </c>
      <c r="I236" s="136">
        <v>2.0648285548556969E-4</v>
      </c>
      <c r="J236" s="136">
        <v>2.0833301343464887E-4</v>
      </c>
      <c r="K236" s="136">
        <v>2.0035461189213334E-4</v>
      </c>
      <c r="L236" s="136">
        <v>1.9761302568159614E-4</v>
      </c>
      <c r="M236" s="136">
        <v>1.8655244677956163E-4</v>
      </c>
      <c r="N236" s="136">
        <v>2.0953647007610764E-4</v>
      </c>
      <c r="O236" s="136">
        <v>2.9416764475335023E-4</v>
      </c>
      <c r="P236" s="136">
        <v>3.3257466620741652E-4</v>
      </c>
      <c r="Q236" s="136">
        <v>3.7883346800342402E-4</v>
      </c>
    </row>
    <row r="237" spans="1:17" ht="11.5" customHeight="1">
      <c r="A237" s="98" t="s">
        <v>194</v>
      </c>
      <c r="B237" s="130">
        <v>1</v>
      </c>
      <c r="C237" s="130">
        <v>1</v>
      </c>
      <c r="D237" s="130">
        <v>1</v>
      </c>
      <c r="E237" s="130">
        <v>1</v>
      </c>
      <c r="F237" s="130">
        <v>1</v>
      </c>
      <c r="G237" s="130">
        <v>1</v>
      </c>
      <c r="H237" s="130">
        <v>1</v>
      </c>
      <c r="I237" s="130">
        <v>1</v>
      </c>
      <c r="J237" s="130">
        <v>1</v>
      </c>
      <c r="K237" s="130">
        <v>1</v>
      </c>
      <c r="L237" s="130">
        <v>1</v>
      </c>
      <c r="M237" s="130">
        <v>1</v>
      </c>
      <c r="N237" s="130">
        <v>1</v>
      </c>
      <c r="O237" s="130">
        <v>1</v>
      </c>
      <c r="P237" s="130">
        <v>1</v>
      </c>
      <c r="Q237" s="130">
        <v>1</v>
      </c>
    </row>
    <row r="238" spans="1:17" ht="11.5" customHeight="1">
      <c r="A238" s="131" t="s">
        <v>173</v>
      </c>
      <c r="B238" s="132">
        <v>7.3404318449278028E-2</v>
      </c>
      <c r="C238" s="132">
        <v>7.3473754886993051E-2</v>
      </c>
      <c r="D238" s="132">
        <v>7.377496004819141E-2</v>
      </c>
      <c r="E238" s="132">
        <v>7.4786226260881633E-2</v>
      </c>
      <c r="F238" s="132">
        <v>6.9933134008716757E-2</v>
      </c>
      <c r="G238" s="132">
        <v>7.04102619316474E-2</v>
      </c>
      <c r="H238" s="132">
        <v>6.9370801057472092E-2</v>
      </c>
      <c r="I238" s="132">
        <v>6.7765736121691025E-2</v>
      </c>
      <c r="J238" s="132">
        <v>7.0887236083229305E-2</v>
      </c>
      <c r="K238" s="132">
        <v>8.3701942673614235E-2</v>
      </c>
      <c r="L238" s="132">
        <v>8.3187417494703098E-2</v>
      </c>
      <c r="M238" s="132">
        <v>8.5051124758842217E-2</v>
      </c>
      <c r="N238" s="132">
        <v>9.0590103903064725E-2</v>
      </c>
      <c r="O238" s="132">
        <v>9.0854006035172172E-2</v>
      </c>
      <c r="P238" s="132">
        <v>9.4374562404409515E-2</v>
      </c>
      <c r="Q238" s="132">
        <v>0.10005551402127238</v>
      </c>
    </row>
    <row r="239" spans="1:17" ht="11.5" customHeight="1">
      <c r="A239" s="135" t="s">
        <v>165</v>
      </c>
      <c r="B239" s="136">
        <v>8.1827270313128246E-3</v>
      </c>
      <c r="C239" s="136">
        <v>6.7385015697369556E-3</v>
      </c>
      <c r="D239" s="136">
        <v>5.589477796684947E-3</v>
      </c>
      <c r="E239" s="136">
        <v>4.5065267338534488E-3</v>
      </c>
      <c r="F239" s="136">
        <v>3.3415065841731887E-3</v>
      </c>
      <c r="G239" s="136">
        <v>2.8184661833718467E-3</v>
      </c>
      <c r="H239" s="136">
        <v>2.3582493750815932E-3</v>
      </c>
      <c r="I239" s="136">
        <v>2.0061665189878199E-3</v>
      </c>
      <c r="J239" s="136">
        <v>1.9133590463804573E-3</v>
      </c>
      <c r="K239" s="136">
        <v>2.0251008128226704E-3</v>
      </c>
      <c r="L239" s="136">
        <v>1.8250627683666482E-3</v>
      </c>
      <c r="M239" s="136">
        <v>1.7484189220261556E-3</v>
      </c>
      <c r="N239" s="136">
        <v>1.7421307806461651E-3</v>
      </c>
      <c r="O239" s="136">
        <v>1.648882674241319E-3</v>
      </c>
      <c r="P239" s="136">
        <v>1.4918937077488875E-3</v>
      </c>
      <c r="Q239" s="136">
        <v>1.3998234893383354E-3</v>
      </c>
    </row>
    <row r="240" spans="1:17" ht="11.5" customHeight="1">
      <c r="A240" s="135" t="s">
        <v>166</v>
      </c>
      <c r="B240" s="136">
        <v>6.5072877581137611E-2</v>
      </c>
      <c r="C240" s="136">
        <v>6.6576603131206877E-2</v>
      </c>
      <c r="D240" s="136">
        <v>6.8022011711687494E-2</v>
      </c>
      <c r="E240" s="136">
        <v>7.0111130050871689E-2</v>
      </c>
      <c r="F240" s="136">
        <v>6.6430464109466417E-2</v>
      </c>
      <c r="G240" s="136">
        <v>6.7425805301329536E-2</v>
      </c>
      <c r="H240" s="136">
        <v>6.6837136468206437E-2</v>
      </c>
      <c r="I240" s="136">
        <v>6.5614031057736416E-2</v>
      </c>
      <c r="J240" s="136">
        <v>6.8830143169836738E-2</v>
      </c>
      <c r="K240" s="136">
        <v>8.1513474812069414E-2</v>
      </c>
      <c r="L240" s="136">
        <v>8.121369454783893E-2</v>
      </c>
      <c r="M240" s="136">
        <v>8.3155351498002086E-2</v>
      </c>
      <c r="N240" s="136">
        <v>8.8675626178242886E-2</v>
      </c>
      <c r="O240" s="136">
        <v>8.9008122451211882E-2</v>
      </c>
      <c r="P240" s="136">
        <v>9.2664451851392257E-2</v>
      </c>
      <c r="Q240" s="136">
        <v>9.8407898807930411E-2</v>
      </c>
    </row>
    <row r="241" spans="1:17" ht="11.5" customHeight="1">
      <c r="A241" s="135" t="s">
        <v>167</v>
      </c>
      <c r="B241" s="136">
        <v>1.201371504613959E-4</v>
      </c>
      <c r="C241" s="136">
        <v>1.26870841875439E-4</v>
      </c>
      <c r="D241" s="136">
        <v>1.3035390330557158E-4</v>
      </c>
      <c r="E241" s="136">
        <v>1.3355811552757856E-4</v>
      </c>
      <c r="F241" s="136">
        <v>1.2755325325880488E-4</v>
      </c>
      <c r="G241" s="136">
        <v>1.3301381180208318E-4</v>
      </c>
      <c r="H241" s="136">
        <v>1.4098936004442174E-4</v>
      </c>
      <c r="I241" s="136">
        <v>1.111139669650872E-4</v>
      </c>
      <c r="J241" s="136">
        <v>1.1050491741417705E-4</v>
      </c>
      <c r="K241" s="136">
        <v>1.2213232748686643E-4</v>
      </c>
      <c r="L241" s="136">
        <v>1.1234219843687562E-4</v>
      </c>
      <c r="M241" s="136">
        <v>1.0701804688306098E-4</v>
      </c>
      <c r="N241" s="136">
        <v>1.0487767300628799E-4</v>
      </c>
      <c r="O241" s="136">
        <v>9.5846662480106516E-5</v>
      </c>
      <c r="P241" s="136">
        <v>8.8411432814236061E-5</v>
      </c>
      <c r="Q241" s="136">
        <v>8.3030525147244818E-5</v>
      </c>
    </row>
    <row r="242" spans="1:17" ht="11.5" customHeight="1">
      <c r="A242" s="135" t="s">
        <v>168</v>
      </c>
      <c r="B242" s="136">
        <v>1.8787287792148855E-6</v>
      </c>
      <c r="C242" s="136">
        <v>1.6943111685867828E-6</v>
      </c>
      <c r="D242" s="136">
        <v>1.7258807257582928E-6</v>
      </c>
      <c r="E242" s="136">
        <v>2.8016597271612788E-6</v>
      </c>
      <c r="F242" s="136">
        <v>2.4891934356673064E-6</v>
      </c>
      <c r="G242" s="136">
        <v>2.4029291213776365E-6</v>
      </c>
      <c r="H242" s="136">
        <v>4.848654540435998E-6</v>
      </c>
      <c r="I242" s="136">
        <v>4.4488132288646984E-6</v>
      </c>
      <c r="J242" s="136">
        <v>4.7890692377775014E-6</v>
      </c>
      <c r="K242" s="136">
        <v>6.957667469256584E-6</v>
      </c>
      <c r="L242" s="136">
        <v>6.6481011096807888E-6</v>
      </c>
      <c r="M242" s="136">
        <v>8.2900545310349053E-6</v>
      </c>
      <c r="N242" s="136">
        <v>1.2282096473081736E-5</v>
      </c>
      <c r="O242" s="136">
        <v>1.5920936787068534E-5</v>
      </c>
      <c r="P242" s="136">
        <v>1.9868742641943367E-5</v>
      </c>
      <c r="Q242" s="136">
        <v>2.3440523078368166E-5</v>
      </c>
    </row>
    <row r="243" spans="1:17" ht="11.5" customHeight="1">
      <c r="A243" s="135" t="s">
        <v>170</v>
      </c>
      <c r="B243" s="136">
        <v>9.5239712714158816E-6</v>
      </c>
      <c r="C243" s="136">
        <v>1.0855800190821295E-5</v>
      </c>
      <c r="D243" s="136">
        <v>1.1507719173226105E-5</v>
      </c>
      <c r="E243" s="136">
        <v>1.190785893194418E-5</v>
      </c>
      <c r="F243" s="136">
        <v>1.245825138543525E-5</v>
      </c>
      <c r="G243" s="136">
        <v>1.2475487625092362E-5</v>
      </c>
      <c r="H243" s="136">
        <v>1.2461128967984322E-5</v>
      </c>
      <c r="I243" s="136">
        <v>1.2957167827670829E-5</v>
      </c>
      <c r="J243" s="136">
        <v>1.1982039039069974E-5</v>
      </c>
      <c r="K243" s="136">
        <v>1.268971060988394E-5</v>
      </c>
      <c r="L243" s="136">
        <v>1.1413869622962723E-5</v>
      </c>
      <c r="M243" s="136">
        <v>1.2247580106699998E-5</v>
      </c>
      <c r="N243" s="136">
        <v>2.0069656793884308E-5</v>
      </c>
      <c r="O243" s="136">
        <v>3.1453845635825909E-5</v>
      </c>
      <c r="P243" s="136">
        <v>3.9683378997552599E-5</v>
      </c>
      <c r="Q243" s="136">
        <v>4.8387193138182513E-5</v>
      </c>
    </row>
    <row r="244" spans="1:17" ht="11.5" customHeight="1">
      <c r="A244" s="133" t="s">
        <v>174</v>
      </c>
      <c r="B244" s="134">
        <v>0.92659568155072203</v>
      </c>
      <c r="C244" s="134">
        <v>0.92652624511300696</v>
      </c>
      <c r="D244" s="134">
        <v>0.9262250399518086</v>
      </c>
      <c r="E244" s="134">
        <v>0.92521377373911839</v>
      </c>
      <c r="F244" s="134">
        <v>0.9300668659912833</v>
      </c>
      <c r="G244" s="134">
        <v>0.92958973806835254</v>
      </c>
      <c r="H244" s="134">
        <v>0.93062919894252794</v>
      </c>
      <c r="I244" s="134">
        <v>0.93223426387830899</v>
      </c>
      <c r="J244" s="134">
        <v>0.92911276391677078</v>
      </c>
      <c r="K244" s="134">
        <v>0.91629805732638581</v>
      </c>
      <c r="L244" s="134">
        <v>0.91681258250529685</v>
      </c>
      <c r="M244" s="134">
        <v>0.91494887524115776</v>
      </c>
      <c r="N244" s="134">
        <v>0.90940989609693523</v>
      </c>
      <c r="O244" s="134">
        <v>0.90914599396482776</v>
      </c>
      <c r="P244" s="134">
        <v>0.90562543759559044</v>
      </c>
      <c r="Q244" s="134">
        <v>0.89994448597872767</v>
      </c>
    </row>
    <row r="245" spans="1:17" ht="11.5" customHeight="1">
      <c r="A245" s="135" t="s">
        <v>175</v>
      </c>
      <c r="B245" s="136">
        <v>0.60594322237619536</v>
      </c>
      <c r="C245" s="136">
        <v>0.59972347424924899</v>
      </c>
      <c r="D245" s="136">
        <v>0.58937837980505703</v>
      </c>
      <c r="E245" s="136">
        <v>0.58688491363954254</v>
      </c>
      <c r="F245" s="136">
        <v>0.56931618318969324</v>
      </c>
      <c r="G245" s="136">
        <v>0.55967373913215834</v>
      </c>
      <c r="H245" s="136">
        <v>0.55958595987281468</v>
      </c>
      <c r="I245" s="136">
        <v>0.56582001926173964</v>
      </c>
      <c r="J245" s="136">
        <v>0.56062091297760452</v>
      </c>
      <c r="K245" s="136">
        <v>0.54617960898820994</v>
      </c>
      <c r="L245" s="136">
        <v>0.54757833075217599</v>
      </c>
      <c r="M245" s="136">
        <v>0.56307884747610859</v>
      </c>
      <c r="N245" s="136">
        <v>0.5492078198849274</v>
      </c>
      <c r="O245" s="136">
        <v>0.53681005425436501</v>
      </c>
      <c r="P245" s="136">
        <v>0.52675182152431144</v>
      </c>
      <c r="Q245" s="136">
        <v>0.50736303544900685</v>
      </c>
    </row>
    <row r="246" spans="1:17" ht="11.5" customHeight="1">
      <c r="A246" s="137" t="s">
        <v>176</v>
      </c>
      <c r="B246" s="138">
        <v>0.32065245917452667</v>
      </c>
      <c r="C246" s="138">
        <v>0.32680277086375803</v>
      </c>
      <c r="D246" s="138">
        <v>0.33684666014675152</v>
      </c>
      <c r="E246" s="138">
        <v>0.3383288600995758</v>
      </c>
      <c r="F246" s="138">
        <v>0.36075068280159006</v>
      </c>
      <c r="G246" s="138">
        <v>0.36991599893619415</v>
      </c>
      <c r="H246" s="138">
        <v>0.37104323906971332</v>
      </c>
      <c r="I246" s="138">
        <v>0.36641424461656935</v>
      </c>
      <c r="J246" s="138">
        <v>0.36849185093916625</v>
      </c>
      <c r="K246" s="138">
        <v>0.37011844833817586</v>
      </c>
      <c r="L246" s="138">
        <v>0.36923425175312086</v>
      </c>
      <c r="M246" s="138">
        <v>0.35187002776504911</v>
      </c>
      <c r="N246" s="138">
        <v>0.36020207621200789</v>
      </c>
      <c r="O246" s="138">
        <v>0.37233593971046275</v>
      </c>
      <c r="P246" s="138">
        <v>0.37887361607127895</v>
      </c>
      <c r="Q246" s="138">
        <v>0.39258145052972077</v>
      </c>
    </row>
    <row r="248" spans="1:17" ht="11.5" customHeight="1">
      <c r="A248" s="96" t="s">
        <v>195</v>
      </c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</row>
    <row r="249" spans="1:17" ht="11.5" customHeight="1">
      <c r="A249" s="98" t="s">
        <v>178</v>
      </c>
      <c r="B249" s="130">
        <v>1</v>
      </c>
      <c r="C249" s="130">
        <v>1</v>
      </c>
      <c r="D249" s="130">
        <v>1</v>
      </c>
      <c r="E249" s="130">
        <v>1</v>
      </c>
      <c r="F249" s="130">
        <v>1</v>
      </c>
      <c r="G249" s="130">
        <v>1</v>
      </c>
      <c r="H249" s="130">
        <v>1</v>
      </c>
      <c r="I249" s="130">
        <v>1</v>
      </c>
      <c r="J249" s="130">
        <v>1</v>
      </c>
      <c r="K249" s="130">
        <v>1</v>
      </c>
      <c r="L249" s="130">
        <v>1</v>
      </c>
      <c r="M249" s="130">
        <v>1</v>
      </c>
      <c r="N249" s="130">
        <v>1</v>
      </c>
      <c r="O249" s="130">
        <v>1</v>
      </c>
      <c r="P249" s="130">
        <v>1</v>
      </c>
      <c r="Q249" s="130">
        <v>1</v>
      </c>
    </row>
    <row r="250" spans="1:17" ht="11.5" customHeight="1">
      <c r="A250" s="131" t="s">
        <v>163</v>
      </c>
      <c r="B250" s="132">
        <v>2.5998543846456078E-2</v>
      </c>
      <c r="C250" s="132">
        <v>2.7284191393809189E-2</v>
      </c>
      <c r="D250" s="132">
        <v>3.0134570664874339E-2</v>
      </c>
      <c r="E250" s="132">
        <v>3.0318426265850629E-2</v>
      </c>
      <c r="F250" s="132">
        <v>3.235537178708224E-2</v>
      </c>
      <c r="G250" s="132">
        <v>3.358200191684374E-2</v>
      </c>
      <c r="H250" s="132">
        <v>3.3184966381906385E-2</v>
      </c>
      <c r="I250" s="132">
        <v>3.3694541505993408E-2</v>
      </c>
      <c r="J250" s="132">
        <v>3.5670216778947383E-2</v>
      </c>
      <c r="K250" s="132">
        <v>3.6028599011201923E-2</v>
      </c>
      <c r="L250" s="132">
        <v>3.6568944463040674E-2</v>
      </c>
      <c r="M250" s="132">
        <v>3.682792752658047E-2</v>
      </c>
      <c r="N250" s="132">
        <v>3.6130687738173142E-2</v>
      </c>
      <c r="O250" s="132">
        <v>3.6872915162827591E-2</v>
      </c>
      <c r="P250" s="132">
        <v>3.66363758048526E-2</v>
      </c>
      <c r="Q250" s="132">
        <v>3.5705085842480326E-2</v>
      </c>
    </row>
    <row r="251" spans="1:17" ht="11.5" customHeight="1">
      <c r="A251" s="133" t="s">
        <v>164</v>
      </c>
      <c r="B251" s="134">
        <v>0.96647010545677803</v>
      </c>
      <c r="C251" s="134">
        <v>0.96549165574352591</v>
      </c>
      <c r="D251" s="134">
        <v>0.9626330900098885</v>
      </c>
      <c r="E251" s="134">
        <v>0.96235708200594705</v>
      </c>
      <c r="F251" s="134">
        <v>0.96005022210969126</v>
      </c>
      <c r="G251" s="134">
        <v>0.9584431013688155</v>
      </c>
      <c r="H251" s="134">
        <v>0.95862009452891916</v>
      </c>
      <c r="I251" s="134">
        <v>0.9579108605095199</v>
      </c>
      <c r="J251" s="134">
        <v>0.95584040946365578</v>
      </c>
      <c r="K251" s="134">
        <v>0.95577582536618277</v>
      </c>
      <c r="L251" s="134">
        <v>0.95524255010073134</v>
      </c>
      <c r="M251" s="134">
        <v>0.95478640763882194</v>
      </c>
      <c r="N251" s="134">
        <v>0.95576070786797929</v>
      </c>
      <c r="O251" s="134">
        <v>0.95471220421196545</v>
      </c>
      <c r="P251" s="134">
        <v>0.9550790625640585</v>
      </c>
      <c r="Q251" s="134">
        <v>0.95616903515107443</v>
      </c>
    </row>
    <row r="252" spans="1:17" ht="11.5" customHeight="1">
      <c r="A252" s="135" t="s">
        <v>165</v>
      </c>
      <c r="B252" s="136">
        <v>0.47401049163380715</v>
      </c>
      <c r="C252" s="136">
        <v>0.44974076492824472</v>
      </c>
      <c r="D252" s="136">
        <v>0.43384441312985877</v>
      </c>
      <c r="E252" s="136">
        <v>0.41097839596030117</v>
      </c>
      <c r="F252" s="136">
        <v>0.39175347526802523</v>
      </c>
      <c r="G252" s="136">
        <v>0.37328027012300669</v>
      </c>
      <c r="H252" s="136">
        <v>0.34550977443826097</v>
      </c>
      <c r="I252" s="136">
        <v>0.32047923780413096</v>
      </c>
      <c r="J252" s="136">
        <v>0.29062649464088275</v>
      </c>
      <c r="K252" s="136">
        <v>0.27390172917577149</v>
      </c>
      <c r="L252" s="136">
        <v>0.25923244401493878</v>
      </c>
      <c r="M252" s="136">
        <v>0.24824019214152401</v>
      </c>
      <c r="N252" s="136">
        <v>0.23114864668238164</v>
      </c>
      <c r="O252" s="136">
        <v>0.22704221762541957</v>
      </c>
      <c r="P252" s="136">
        <v>0.22938738622131769</v>
      </c>
      <c r="Q252" s="136">
        <v>0.23228338730191661</v>
      </c>
    </row>
    <row r="253" spans="1:17" ht="11.5" customHeight="1">
      <c r="A253" s="135" t="s">
        <v>166</v>
      </c>
      <c r="B253" s="136">
        <v>0.48451460701612409</v>
      </c>
      <c r="C253" s="136">
        <v>0.50844668413678651</v>
      </c>
      <c r="D253" s="136">
        <v>0.52241544929693418</v>
      </c>
      <c r="E253" s="136">
        <v>0.54585499855962916</v>
      </c>
      <c r="F253" s="136">
        <v>0.5633761980944324</v>
      </c>
      <c r="G253" s="136">
        <v>0.58069779489744699</v>
      </c>
      <c r="H253" s="136">
        <v>0.60912068526960694</v>
      </c>
      <c r="I253" s="136">
        <v>0.63381215450394324</v>
      </c>
      <c r="J253" s="136">
        <v>0.661800571954276</v>
      </c>
      <c r="K253" s="136">
        <v>0.67908458465688015</v>
      </c>
      <c r="L253" s="136">
        <v>0.69185623106375382</v>
      </c>
      <c r="M253" s="136">
        <v>0.70202520832823134</v>
      </c>
      <c r="N253" s="136">
        <v>0.72042352412512456</v>
      </c>
      <c r="O253" s="136">
        <v>0.72359228242463347</v>
      </c>
      <c r="P253" s="136">
        <v>0.72172766319510817</v>
      </c>
      <c r="Q253" s="136">
        <v>0.71969233867872151</v>
      </c>
    </row>
    <row r="254" spans="1:17" ht="11.5" customHeight="1">
      <c r="A254" s="135" t="s">
        <v>167</v>
      </c>
      <c r="B254" s="136">
        <v>7.9450068068467519E-3</v>
      </c>
      <c r="C254" s="136">
        <v>7.3042066784946534E-3</v>
      </c>
      <c r="D254" s="136">
        <v>6.3732275830954838E-3</v>
      </c>
      <c r="E254" s="136">
        <v>5.5236874860168121E-3</v>
      </c>
      <c r="F254" s="136">
        <v>4.9205487472337439E-3</v>
      </c>
      <c r="G254" s="136">
        <v>4.4650363483618311E-3</v>
      </c>
      <c r="H254" s="136">
        <v>3.9891641076974229E-3</v>
      </c>
      <c r="I254" s="136">
        <v>3.5939561171215496E-3</v>
      </c>
      <c r="J254" s="136">
        <v>3.36543438072439E-3</v>
      </c>
      <c r="K254" s="136">
        <v>2.7241409951981729E-3</v>
      </c>
      <c r="L254" s="136">
        <v>4.0782651265882357E-3</v>
      </c>
      <c r="M254" s="136">
        <v>4.3532313399567927E-3</v>
      </c>
      <c r="N254" s="136">
        <v>3.8432181227525718E-3</v>
      </c>
      <c r="O254" s="136">
        <v>3.4123012531355676E-3</v>
      </c>
      <c r="P254" s="136">
        <v>2.9631477184583238E-3</v>
      </c>
      <c r="Q254" s="136">
        <v>2.5642644663540783E-3</v>
      </c>
    </row>
    <row r="255" spans="1:17" ht="11.5" customHeight="1">
      <c r="A255" s="135" t="s">
        <v>168</v>
      </c>
      <c r="B255" s="136">
        <v>0</v>
      </c>
      <c r="C255" s="136">
        <v>0</v>
      </c>
      <c r="D255" s="136">
        <v>0</v>
      </c>
      <c r="E255" s="136">
        <v>0</v>
      </c>
      <c r="F255" s="136">
        <v>0</v>
      </c>
      <c r="G255" s="136">
        <v>0</v>
      </c>
      <c r="H255" s="136">
        <v>0</v>
      </c>
      <c r="I255" s="136">
        <v>2.4854586263838758E-5</v>
      </c>
      <c r="J255" s="136">
        <v>4.7152381054514811E-5</v>
      </c>
      <c r="K255" s="136">
        <v>6.4250851701423719E-5</v>
      </c>
      <c r="L255" s="136">
        <v>6.9601722337647961E-5</v>
      </c>
      <c r="M255" s="136">
        <v>7.4442380653667241E-5</v>
      </c>
      <c r="N255" s="136">
        <v>7.8725268558401391E-5</v>
      </c>
      <c r="O255" s="136">
        <v>7.6810333072722931E-5</v>
      </c>
      <c r="P255" s="136">
        <v>7.8238065264818999E-5</v>
      </c>
      <c r="Q255" s="136">
        <v>8.2603151779697868E-5</v>
      </c>
    </row>
    <row r="256" spans="1:17" ht="11.5" customHeight="1">
      <c r="A256" s="135" t="s">
        <v>169</v>
      </c>
      <c r="B256" s="136">
        <v>0</v>
      </c>
      <c r="C256" s="136">
        <v>0</v>
      </c>
      <c r="D256" s="136">
        <v>0</v>
      </c>
      <c r="E256" s="136">
        <v>0</v>
      </c>
      <c r="F256" s="136">
        <v>0</v>
      </c>
      <c r="G256" s="136">
        <v>0</v>
      </c>
      <c r="H256" s="136">
        <v>0</v>
      </c>
      <c r="I256" s="136">
        <v>0</v>
      </c>
      <c r="J256" s="136">
        <v>0</v>
      </c>
      <c r="K256" s="136">
        <v>0</v>
      </c>
      <c r="L256" s="136">
        <v>0</v>
      </c>
      <c r="M256" s="136">
        <v>0</v>
      </c>
      <c r="N256" s="136">
        <v>0</v>
      </c>
      <c r="O256" s="136">
        <v>1.3607969368450349E-5</v>
      </c>
      <c r="P256" s="136">
        <v>5.8151004160268991E-5</v>
      </c>
      <c r="Q256" s="136">
        <v>1.9877874150515232E-4</v>
      </c>
    </row>
    <row r="257" spans="1:17" ht="11.5" customHeight="1">
      <c r="A257" s="135" t="s">
        <v>170</v>
      </c>
      <c r="B257" s="136">
        <v>0</v>
      </c>
      <c r="C257" s="136">
        <v>0</v>
      </c>
      <c r="D257" s="136">
        <v>0</v>
      </c>
      <c r="E257" s="136">
        <v>0</v>
      </c>
      <c r="F257" s="136">
        <v>0</v>
      </c>
      <c r="G257" s="136">
        <v>0</v>
      </c>
      <c r="H257" s="136">
        <v>4.7071335402695915E-7</v>
      </c>
      <c r="I257" s="136">
        <v>6.5749806015398996E-7</v>
      </c>
      <c r="J257" s="136">
        <v>7.5610671821793583E-7</v>
      </c>
      <c r="K257" s="136">
        <v>1.1196866315372615E-6</v>
      </c>
      <c r="L257" s="136">
        <v>6.0081731128711363E-6</v>
      </c>
      <c r="M257" s="136">
        <v>9.3333448455991942E-5</v>
      </c>
      <c r="N257" s="136">
        <v>2.6659366916210715E-4</v>
      </c>
      <c r="O257" s="136">
        <v>5.7498460633552081E-4</v>
      </c>
      <c r="P257" s="136">
        <v>8.6447635974909291E-4</v>
      </c>
      <c r="Q257" s="136">
        <v>1.3476628107973179E-3</v>
      </c>
    </row>
    <row r="258" spans="1:17" ht="11.5" customHeight="1">
      <c r="A258" s="133" t="s">
        <v>171</v>
      </c>
      <c r="B258" s="134">
        <v>7.5313506967660182E-3</v>
      </c>
      <c r="C258" s="134">
        <v>7.2241528626648338E-3</v>
      </c>
      <c r="D258" s="134">
        <v>7.2323393252371766E-3</v>
      </c>
      <c r="E258" s="134">
        <v>7.3244917282023168E-3</v>
      </c>
      <c r="F258" s="134">
        <v>7.5944061032264783E-3</v>
      </c>
      <c r="G258" s="134">
        <v>7.9748967143407311E-3</v>
      </c>
      <c r="H258" s="134">
        <v>8.1949390891743416E-3</v>
      </c>
      <c r="I258" s="134">
        <v>8.394597984486725E-3</v>
      </c>
      <c r="J258" s="134">
        <v>8.4893737573968064E-3</v>
      </c>
      <c r="K258" s="134">
        <v>8.195575622615317E-3</v>
      </c>
      <c r="L258" s="134">
        <v>8.1885054362279934E-3</v>
      </c>
      <c r="M258" s="134">
        <v>8.3856648345976195E-3</v>
      </c>
      <c r="N258" s="134">
        <v>8.1086043938475693E-3</v>
      </c>
      <c r="O258" s="134">
        <v>8.4148806252069396E-3</v>
      </c>
      <c r="P258" s="134">
        <v>8.284561631088953E-3</v>
      </c>
      <c r="Q258" s="134">
        <v>8.1258790064452618E-3</v>
      </c>
    </row>
    <row r="259" spans="1:17" ht="11.5" customHeight="1">
      <c r="A259" s="135" t="s">
        <v>165</v>
      </c>
      <c r="B259" s="136">
        <v>5.5073566126884967E-5</v>
      </c>
      <c r="C259" s="136">
        <v>4.9484283414294457E-5</v>
      </c>
      <c r="D259" s="136">
        <v>4.7709320848607895E-5</v>
      </c>
      <c r="E259" s="136">
        <v>4.4755673900036876E-5</v>
      </c>
      <c r="F259" s="136">
        <v>4.2754651614388347E-5</v>
      </c>
      <c r="G259" s="136">
        <v>4.0904896044076041E-5</v>
      </c>
      <c r="H259" s="136">
        <v>3.7776126157897407E-5</v>
      </c>
      <c r="I259" s="136">
        <v>3.4360633509009726E-5</v>
      </c>
      <c r="J259" s="136">
        <v>3.1632850811333683E-5</v>
      </c>
      <c r="K259" s="136">
        <v>2.7968939470149729E-5</v>
      </c>
      <c r="L259" s="136">
        <v>2.5582668215845131E-5</v>
      </c>
      <c r="M259" s="136">
        <v>2.2382833370116934E-5</v>
      </c>
      <c r="N259" s="136">
        <v>1.8465006268944884E-5</v>
      </c>
      <c r="O259" s="136">
        <v>1.5494361401954855E-5</v>
      </c>
      <c r="P259" s="136">
        <v>1.2442340093091051E-5</v>
      </c>
      <c r="Q259" s="136">
        <v>9.9217971053363335E-6</v>
      </c>
    </row>
    <row r="260" spans="1:17" ht="11.5" customHeight="1">
      <c r="A260" s="135" t="s">
        <v>166</v>
      </c>
      <c r="B260" s="136">
        <v>7.4405636687717609E-3</v>
      </c>
      <c r="C260" s="136">
        <v>7.0131849444627159E-3</v>
      </c>
      <c r="D260" s="136">
        <v>6.9961401260996269E-3</v>
      </c>
      <c r="E260" s="136">
        <v>7.0305138319670373E-3</v>
      </c>
      <c r="F260" s="136">
        <v>7.2706618136806362E-3</v>
      </c>
      <c r="G260" s="136">
        <v>7.6297333491083972E-3</v>
      </c>
      <c r="H260" s="136">
        <v>7.7764470738604374E-3</v>
      </c>
      <c r="I260" s="136">
        <v>7.9489026489257767E-3</v>
      </c>
      <c r="J260" s="136">
        <v>7.9626993298123824E-3</v>
      </c>
      <c r="K260" s="136">
        <v>7.6763591977115093E-3</v>
      </c>
      <c r="L260" s="136">
        <v>7.662204253712313E-3</v>
      </c>
      <c r="M260" s="136">
        <v>7.8525438020767384E-3</v>
      </c>
      <c r="N260" s="136">
        <v>7.5946551600033947E-3</v>
      </c>
      <c r="O260" s="136">
        <v>7.8883953679169758E-3</v>
      </c>
      <c r="P260" s="136">
        <v>7.5793643443511846E-3</v>
      </c>
      <c r="Q260" s="136">
        <v>7.4512126592293833E-3</v>
      </c>
    </row>
    <row r="261" spans="1:17" ht="11.5" customHeight="1">
      <c r="A261" s="135" t="s">
        <v>167</v>
      </c>
      <c r="B261" s="136">
        <v>8.6405323776125655E-6</v>
      </c>
      <c r="C261" s="136">
        <v>9.6423294632498644E-6</v>
      </c>
      <c r="D261" s="136">
        <v>9.6579696559022987E-6</v>
      </c>
      <c r="E261" s="136">
        <v>1.0166901817511384E-5</v>
      </c>
      <c r="F261" s="136">
        <v>1.0717641550218533E-5</v>
      </c>
      <c r="G261" s="136">
        <v>1.1233489706942195E-5</v>
      </c>
      <c r="H261" s="136">
        <v>9.1402794811781742E-6</v>
      </c>
      <c r="I261" s="136">
        <v>1.0851648782215393E-5</v>
      </c>
      <c r="J261" s="136">
        <v>1.0624946832401156E-5</v>
      </c>
      <c r="K261" s="136">
        <v>1.0135485060321836E-5</v>
      </c>
      <c r="L261" s="136">
        <v>1.0010123615913083E-5</v>
      </c>
      <c r="M261" s="136">
        <v>9.4892687292762415E-6</v>
      </c>
      <c r="N261" s="136">
        <v>8.5621968752153528E-6</v>
      </c>
      <c r="O261" s="136">
        <v>8.4504838939656266E-6</v>
      </c>
      <c r="P261" s="136">
        <v>7.9248915518965798E-6</v>
      </c>
      <c r="Q261" s="136">
        <v>7.3864819794337599E-6</v>
      </c>
    </row>
    <row r="262" spans="1:17" ht="11.5" customHeight="1">
      <c r="A262" s="135" t="s">
        <v>168</v>
      </c>
      <c r="B262" s="136">
        <v>9.5562958734532584E-6</v>
      </c>
      <c r="C262" s="136">
        <v>1.3314177064793938E-4</v>
      </c>
      <c r="D262" s="136">
        <v>1.5810193296691838E-4</v>
      </c>
      <c r="E262" s="136">
        <v>2.1654539421121563E-4</v>
      </c>
      <c r="F262" s="136">
        <v>2.4604529681867881E-4</v>
      </c>
      <c r="G262" s="136">
        <v>2.6877229165530827E-4</v>
      </c>
      <c r="H262" s="136">
        <v>3.4826790390217086E-4</v>
      </c>
      <c r="I262" s="136">
        <v>3.7835657929729096E-4</v>
      </c>
      <c r="J262" s="136">
        <v>4.6294700363765041E-4</v>
      </c>
      <c r="K262" s="136">
        <v>4.6131632008240315E-4</v>
      </c>
      <c r="L262" s="136">
        <v>4.7179953348719335E-4</v>
      </c>
      <c r="M262" s="136">
        <v>4.8332288058599844E-4</v>
      </c>
      <c r="N262" s="136">
        <v>4.6755230828833235E-4</v>
      </c>
      <c r="O262" s="136">
        <v>4.7430591415214429E-4</v>
      </c>
      <c r="P262" s="136">
        <v>6.5323257207316196E-4</v>
      </c>
      <c r="Q262" s="136">
        <v>6.2179658928932272E-4</v>
      </c>
    </row>
    <row r="263" spans="1:17" ht="11.5" customHeight="1">
      <c r="A263" s="135" t="s">
        <v>170</v>
      </c>
      <c r="B263" s="136">
        <v>1.7516633616306581E-5</v>
      </c>
      <c r="C263" s="136">
        <v>1.8699534676634071E-5</v>
      </c>
      <c r="D263" s="136">
        <v>2.0729975666120741E-5</v>
      </c>
      <c r="E263" s="136">
        <v>2.2509926306515939E-5</v>
      </c>
      <c r="F263" s="136">
        <v>2.4226699562555628E-5</v>
      </c>
      <c r="G263" s="136">
        <v>2.4252687826007791E-5</v>
      </c>
      <c r="H263" s="136">
        <v>2.3307705772656893E-5</v>
      </c>
      <c r="I263" s="136">
        <v>2.2126473972430942E-5</v>
      </c>
      <c r="J263" s="136">
        <v>2.146962630303944E-5</v>
      </c>
      <c r="K263" s="136">
        <v>1.9795680290932903E-5</v>
      </c>
      <c r="L263" s="136">
        <v>1.8908857196730226E-5</v>
      </c>
      <c r="M263" s="136">
        <v>1.792604983549036E-5</v>
      </c>
      <c r="N263" s="136">
        <v>1.9369722411681454E-5</v>
      </c>
      <c r="O263" s="136">
        <v>2.8234497841898895E-5</v>
      </c>
      <c r="P263" s="136">
        <v>3.1597483019618263E-5</v>
      </c>
      <c r="Q263" s="136">
        <v>3.5561478841785898E-5</v>
      </c>
    </row>
    <row r="264" spans="1:17" ht="11.5" customHeight="1">
      <c r="A264" s="98" t="s">
        <v>179</v>
      </c>
      <c r="B264" s="130">
        <v>1</v>
      </c>
      <c r="C264" s="130">
        <v>1</v>
      </c>
      <c r="D264" s="130">
        <v>1</v>
      </c>
      <c r="E264" s="130">
        <v>1</v>
      </c>
      <c r="F264" s="130">
        <v>1</v>
      </c>
      <c r="G264" s="130">
        <v>1</v>
      </c>
      <c r="H264" s="130">
        <v>1</v>
      </c>
      <c r="I264" s="130">
        <v>1</v>
      </c>
      <c r="J264" s="130">
        <v>1</v>
      </c>
      <c r="K264" s="130">
        <v>1</v>
      </c>
      <c r="L264" s="130">
        <v>1</v>
      </c>
      <c r="M264" s="130">
        <v>1</v>
      </c>
      <c r="N264" s="130">
        <v>1</v>
      </c>
      <c r="O264" s="130">
        <v>1</v>
      </c>
      <c r="P264" s="130">
        <v>1</v>
      </c>
      <c r="Q264" s="130">
        <v>1</v>
      </c>
    </row>
    <row r="265" spans="1:17" ht="11.5" customHeight="1">
      <c r="A265" s="131" t="s">
        <v>173</v>
      </c>
      <c r="B265" s="132">
        <v>0.79960009995578729</v>
      </c>
      <c r="C265" s="132">
        <v>0.80107659367213491</v>
      </c>
      <c r="D265" s="132">
        <v>0.80292772515813748</v>
      </c>
      <c r="E265" s="132">
        <v>0.80535785176677355</v>
      </c>
      <c r="F265" s="132">
        <v>0.79180845729098082</v>
      </c>
      <c r="G265" s="132">
        <v>0.79223195809494473</v>
      </c>
      <c r="H265" s="132">
        <v>0.79204437273132089</v>
      </c>
      <c r="I265" s="132">
        <v>0.78899721281805646</v>
      </c>
      <c r="J265" s="132">
        <v>0.79783053030863982</v>
      </c>
      <c r="K265" s="132">
        <v>0.8246265070776998</v>
      </c>
      <c r="L265" s="132">
        <v>0.82658515778780839</v>
      </c>
      <c r="M265" s="132">
        <v>0.82898336939573791</v>
      </c>
      <c r="N265" s="132">
        <v>0.83961864520491281</v>
      </c>
      <c r="O265" s="132">
        <v>0.84103822915807125</v>
      </c>
      <c r="P265" s="132">
        <v>0.84596009801860961</v>
      </c>
      <c r="Q265" s="132">
        <v>0.85384548281792494</v>
      </c>
    </row>
    <row r="266" spans="1:17" ht="11.5" customHeight="1">
      <c r="A266" s="135" t="s">
        <v>165</v>
      </c>
      <c r="B266" s="136">
        <v>0.11669461240044135</v>
      </c>
      <c r="C266" s="136">
        <v>9.6781895286822642E-2</v>
      </c>
      <c r="D266" s="136">
        <v>8.0540518100582201E-2</v>
      </c>
      <c r="E266" s="136">
        <v>6.4565139121497625E-2</v>
      </c>
      <c r="F266" s="136">
        <v>5.0518164190655822E-2</v>
      </c>
      <c r="G266" s="136">
        <v>4.2449437323920119E-2</v>
      </c>
      <c r="H266" s="136">
        <v>3.6101981137067661E-2</v>
      </c>
      <c r="I266" s="136">
        <v>3.1269908737563107E-2</v>
      </c>
      <c r="J266" s="136">
        <v>2.8586244189679755E-2</v>
      </c>
      <c r="K266" s="136">
        <v>2.6258730417846304E-2</v>
      </c>
      <c r="L266" s="136">
        <v>2.3668353680671349E-2</v>
      </c>
      <c r="M266" s="136">
        <v>2.204385462546397E-2</v>
      </c>
      <c r="N266" s="136">
        <v>2.0692103595527415E-2</v>
      </c>
      <c r="O266" s="136">
        <v>1.9377174999293471E-2</v>
      </c>
      <c r="P266" s="136">
        <v>1.6827050723617655E-2</v>
      </c>
      <c r="Q266" s="136">
        <v>1.489510933943485E-2</v>
      </c>
    </row>
    <row r="267" spans="1:17" ht="11.5" customHeight="1">
      <c r="A267" s="135" t="s">
        <v>166</v>
      </c>
      <c r="B267" s="136">
        <v>0.68096137085293074</v>
      </c>
      <c r="C267" s="136">
        <v>0.7022072030386558</v>
      </c>
      <c r="D267" s="136">
        <v>0.72023072040840885</v>
      </c>
      <c r="E267" s="136">
        <v>0.73858325001138736</v>
      </c>
      <c r="F267" s="136">
        <v>0.73906090040949601</v>
      </c>
      <c r="G267" s="136">
        <v>0.74749541086610694</v>
      </c>
      <c r="H267" s="136">
        <v>0.75348504772833169</v>
      </c>
      <c r="I267" s="136">
        <v>0.75563758213467924</v>
      </c>
      <c r="J267" s="136">
        <v>0.76724437969847958</v>
      </c>
      <c r="K267" s="136">
        <v>0.79637490661555077</v>
      </c>
      <c r="L267" s="136">
        <v>0.8010870141199985</v>
      </c>
      <c r="M267" s="136">
        <v>0.80515747976118979</v>
      </c>
      <c r="N267" s="136">
        <v>0.8169384699791965</v>
      </c>
      <c r="O267" s="136">
        <v>0.81938746899918646</v>
      </c>
      <c r="P267" s="136">
        <v>0.82669149794906749</v>
      </c>
      <c r="Q267" s="136">
        <v>0.83631369474681228</v>
      </c>
    </row>
    <row r="268" spans="1:17" ht="11.5" customHeight="1">
      <c r="A268" s="135" t="s">
        <v>167</v>
      </c>
      <c r="B268" s="136">
        <v>1.546893159137802E-3</v>
      </c>
      <c r="C268" s="136">
        <v>1.6452157581388794E-3</v>
      </c>
      <c r="D268" s="136">
        <v>1.695889197964011E-3</v>
      </c>
      <c r="E268" s="136">
        <v>1.7276536105788338E-3</v>
      </c>
      <c r="F268" s="136">
        <v>1.7411132829923547E-3</v>
      </c>
      <c r="G268" s="136">
        <v>1.8105394253273739E-3</v>
      </c>
      <c r="H268" s="136">
        <v>1.9545768229033474E-3</v>
      </c>
      <c r="I268" s="136">
        <v>1.5763103290713798E-3</v>
      </c>
      <c r="J268" s="136">
        <v>1.520430185699416E-3</v>
      </c>
      <c r="K268" s="136">
        <v>1.4756820166664424E-3</v>
      </c>
      <c r="L268" s="136">
        <v>1.3736593886682269E-3</v>
      </c>
      <c r="M268" s="136">
        <v>1.2872288874446133E-3</v>
      </c>
      <c r="N268" s="136">
        <v>1.2024706089531695E-3</v>
      </c>
      <c r="O268" s="136">
        <v>1.1001605296668416E-3</v>
      </c>
      <c r="P268" s="136">
        <v>9.8552519066879077E-4</v>
      </c>
      <c r="Q268" s="136">
        <v>8.8350335595774971E-4</v>
      </c>
    </row>
    <row r="269" spans="1:17" ht="11.5" customHeight="1">
      <c r="A269" s="135" t="s">
        <v>168</v>
      </c>
      <c r="B269" s="136">
        <v>2.4190624509415817E-5</v>
      </c>
      <c r="C269" s="136">
        <v>2.1971222012433953E-5</v>
      </c>
      <c r="D269" s="136">
        <v>2.2453508529979506E-5</v>
      </c>
      <c r="E269" s="136">
        <v>3.6241133862389761E-5</v>
      </c>
      <c r="F269" s="136">
        <v>3.3977712398946993E-5</v>
      </c>
      <c r="G269" s="136">
        <v>3.270786583422565E-5</v>
      </c>
      <c r="H269" s="136">
        <v>6.7218319056241733E-5</v>
      </c>
      <c r="I269" s="136">
        <v>6.3112770035222138E-5</v>
      </c>
      <c r="J269" s="136">
        <v>6.5892501446159578E-5</v>
      </c>
      <c r="K269" s="136">
        <v>8.4067052299737396E-5</v>
      </c>
      <c r="L269" s="136">
        <v>8.1289369739902446E-5</v>
      </c>
      <c r="M269" s="136">
        <v>9.9714001345022632E-5</v>
      </c>
      <c r="N269" s="136">
        <v>1.4081986758347217E-4</v>
      </c>
      <c r="O269" s="136">
        <v>1.8274591723096333E-4</v>
      </c>
      <c r="P269" s="136">
        <v>2.214775369797808E-4</v>
      </c>
      <c r="Q269" s="136">
        <v>2.4942370012013063E-4</v>
      </c>
    </row>
    <row r="270" spans="1:17" ht="11.5" customHeight="1">
      <c r="A270" s="135" t="s">
        <v>170</v>
      </c>
      <c r="B270" s="136">
        <v>3.7303291876816439E-4</v>
      </c>
      <c r="C270" s="136">
        <v>4.2030836650501692E-4</v>
      </c>
      <c r="D270" s="136">
        <v>4.3814394265256744E-4</v>
      </c>
      <c r="E270" s="136">
        <v>4.4556788944718291E-4</v>
      </c>
      <c r="F270" s="136">
        <v>4.5430169543779128E-4</v>
      </c>
      <c r="G270" s="136">
        <v>4.4386261375618368E-4</v>
      </c>
      <c r="H270" s="136">
        <v>4.3554872396202912E-4</v>
      </c>
      <c r="I270" s="136">
        <v>4.5029884670768402E-4</v>
      </c>
      <c r="J270" s="136">
        <v>4.1358373333488107E-4</v>
      </c>
      <c r="K270" s="136">
        <v>4.3312097533670821E-4</v>
      </c>
      <c r="L270" s="136">
        <v>3.7484122873043265E-4</v>
      </c>
      <c r="M270" s="136">
        <v>3.9509212029452363E-4</v>
      </c>
      <c r="N270" s="136">
        <v>6.4478115365215315E-4</v>
      </c>
      <c r="O270" s="136">
        <v>9.9067871269348869E-4</v>
      </c>
      <c r="P270" s="136">
        <v>1.2345466182758368E-3</v>
      </c>
      <c r="Q270" s="136">
        <v>1.5037516755998914E-3</v>
      </c>
    </row>
    <row r="271" spans="1:17" ht="11.5" customHeight="1">
      <c r="A271" s="133" t="s">
        <v>174</v>
      </c>
      <c r="B271" s="134">
        <v>0.20039990004421271</v>
      </c>
      <c r="C271" s="134">
        <v>0.19892340632786509</v>
      </c>
      <c r="D271" s="134">
        <v>0.19707227484186246</v>
      </c>
      <c r="E271" s="134">
        <v>0.19464214823322643</v>
      </c>
      <c r="F271" s="134">
        <v>0.20819154270901918</v>
      </c>
      <c r="G271" s="134">
        <v>0.20776804190505524</v>
      </c>
      <c r="H271" s="134">
        <v>0.20795562726867919</v>
      </c>
      <c r="I271" s="134">
        <v>0.21100278718194357</v>
      </c>
      <c r="J271" s="134">
        <v>0.20216946969136024</v>
      </c>
      <c r="K271" s="134">
        <v>0.17537349292230009</v>
      </c>
      <c r="L271" s="134">
        <v>0.17341484221219167</v>
      </c>
      <c r="M271" s="134">
        <v>0.17101663060426206</v>
      </c>
      <c r="N271" s="134">
        <v>0.16038135479508722</v>
      </c>
      <c r="O271" s="134">
        <v>0.15896177084192878</v>
      </c>
      <c r="P271" s="134">
        <v>0.15403990198139039</v>
      </c>
      <c r="Q271" s="134">
        <v>0.14615451718207512</v>
      </c>
    </row>
    <row r="272" spans="1:17" ht="11.5" customHeight="1">
      <c r="A272" s="139" t="s">
        <v>175</v>
      </c>
      <c r="B272" s="140">
        <v>0.13809102342563825</v>
      </c>
      <c r="C272" s="140">
        <v>0.13547436394260268</v>
      </c>
      <c r="D272" s="140">
        <v>0.13223839458842215</v>
      </c>
      <c r="E272" s="140">
        <v>0.12986962539149757</v>
      </c>
      <c r="F272" s="140">
        <v>0.13448271618740715</v>
      </c>
      <c r="G272" s="140">
        <v>0.13265447334803659</v>
      </c>
      <c r="H272" s="140">
        <v>0.13217681951939322</v>
      </c>
      <c r="I272" s="140">
        <v>0.13479864107900921</v>
      </c>
      <c r="J272" s="140">
        <v>0.12703325066854898</v>
      </c>
      <c r="K272" s="140">
        <v>0.10902169400563996</v>
      </c>
      <c r="L272" s="140">
        <v>0.10935023802485326</v>
      </c>
      <c r="M272" s="140">
        <v>0.11124781912237446</v>
      </c>
      <c r="N272" s="140">
        <v>0.10222101421726787</v>
      </c>
      <c r="O272" s="140">
        <v>9.925830322448663E-2</v>
      </c>
      <c r="P272" s="140">
        <v>9.5469659272733279E-2</v>
      </c>
      <c r="Q272" s="140">
        <v>8.8212372446362777E-2</v>
      </c>
    </row>
    <row r="273" spans="1:17" ht="11.5" customHeight="1">
      <c r="A273" s="137" t="s">
        <v>176</v>
      </c>
      <c r="B273" s="138">
        <v>6.2308876618574448E-2</v>
      </c>
      <c r="C273" s="138">
        <v>6.3449042385262389E-2</v>
      </c>
      <c r="D273" s="138">
        <v>6.4833880253440321E-2</v>
      </c>
      <c r="E273" s="138">
        <v>6.4772522841728852E-2</v>
      </c>
      <c r="F273" s="138">
        <v>7.370882652161205E-2</v>
      </c>
      <c r="G273" s="138">
        <v>7.5113568557018659E-2</v>
      </c>
      <c r="H273" s="138">
        <v>7.577880774928597E-2</v>
      </c>
      <c r="I273" s="138">
        <v>7.6204146102934356E-2</v>
      </c>
      <c r="J273" s="138">
        <v>7.5136219022811257E-2</v>
      </c>
      <c r="K273" s="138">
        <v>6.6351798916660112E-2</v>
      </c>
      <c r="L273" s="138">
        <v>6.406460418733842E-2</v>
      </c>
      <c r="M273" s="138">
        <v>5.9768811481887632E-2</v>
      </c>
      <c r="N273" s="138">
        <v>5.8160340577819332E-2</v>
      </c>
      <c r="O273" s="138">
        <v>5.9703467617442156E-2</v>
      </c>
      <c r="P273" s="138">
        <v>5.8570242708657114E-2</v>
      </c>
      <c r="Q273" s="138">
        <v>5.7942144735712311E-2</v>
      </c>
    </row>
  </sheetData>
  <pageMargins left="0.39370078740157483" right="0.39370078740157483" top="0.39370078740157483" bottom="0.39370078740157483" header="0.31496062992125984" footer="0.31496062992125984"/>
  <pageSetup paperSize="9" scale="26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5"/>
  <sheetViews>
    <sheetView topLeftCell="A20" workbookViewId="0">
      <selection activeCell="I28" sqref="I28"/>
    </sheetView>
  </sheetViews>
  <sheetFormatPr baseColWidth="10" defaultColWidth="11.5" defaultRowHeight="15"/>
  <cols>
    <col min="1" max="1" width="27" customWidth="1"/>
    <col min="2" max="3" width="12.33203125" bestFit="1" customWidth="1"/>
    <col min="4" max="6" width="12.33203125" customWidth="1"/>
    <col min="7" max="7" width="21.6640625" customWidth="1"/>
    <col min="8" max="14" width="12.33203125" customWidth="1"/>
  </cols>
  <sheetData>
    <row r="1" spans="1:13">
      <c r="A1" s="54" t="s">
        <v>92</v>
      </c>
    </row>
    <row r="2" spans="1:13">
      <c r="A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>
      <c r="A3" t="s">
        <v>1</v>
      </c>
      <c r="C3">
        <v>17268</v>
      </c>
      <c r="D3" s="47">
        <v>30266</v>
      </c>
      <c r="E3" s="47">
        <v>8562</v>
      </c>
      <c r="F3">
        <v>5497</v>
      </c>
      <c r="G3">
        <v>90</v>
      </c>
      <c r="H3" s="47">
        <v>42</v>
      </c>
      <c r="I3" s="47">
        <v>7</v>
      </c>
      <c r="J3" s="47">
        <v>110176</v>
      </c>
      <c r="K3" s="47">
        <v>386936</v>
      </c>
      <c r="M3" s="47">
        <v>42</v>
      </c>
    </row>
    <row r="4" spans="1:13">
      <c r="A4" t="s">
        <v>2</v>
      </c>
      <c r="D4" s="47">
        <v>3385</v>
      </c>
      <c r="E4" s="47">
        <v>11059</v>
      </c>
      <c r="H4" s="47">
        <v>4</v>
      </c>
      <c r="I4" s="47">
        <v>376</v>
      </c>
      <c r="J4" s="47">
        <v>407773</v>
      </c>
      <c r="K4" s="47">
        <v>446396</v>
      </c>
      <c r="L4" s="47">
        <v>25</v>
      </c>
      <c r="M4" s="47">
        <v>1</v>
      </c>
    </row>
    <row r="5" spans="1:13">
      <c r="A5" t="s">
        <v>3</v>
      </c>
      <c r="D5" s="47">
        <v>1807</v>
      </c>
      <c r="E5" s="47">
        <v>5</v>
      </c>
      <c r="I5" s="47">
        <v>459</v>
      </c>
      <c r="J5" s="47">
        <v>176493</v>
      </c>
      <c r="K5" s="47">
        <v>185411</v>
      </c>
      <c r="L5" s="47">
        <v>16</v>
      </c>
    </row>
    <row r="6" spans="1:13">
      <c r="A6" t="s">
        <v>4</v>
      </c>
      <c r="D6" s="47">
        <v>555</v>
      </c>
      <c r="E6" s="48"/>
      <c r="I6" s="47">
        <v>629</v>
      </c>
      <c r="J6" s="47">
        <v>31139</v>
      </c>
      <c r="K6" s="47">
        <v>52526</v>
      </c>
      <c r="L6" s="47">
        <v>2</v>
      </c>
      <c r="M6" s="47">
        <v>3</v>
      </c>
    </row>
    <row r="7" spans="1:13">
      <c r="A7" t="s">
        <v>5</v>
      </c>
      <c r="D7" s="47">
        <v>19</v>
      </c>
      <c r="E7" s="47">
        <v>368</v>
      </c>
      <c r="H7" s="47">
        <v>9</v>
      </c>
      <c r="I7" s="47">
        <v>27</v>
      </c>
      <c r="J7" s="47">
        <v>9781</v>
      </c>
      <c r="K7" s="47">
        <v>24519</v>
      </c>
      <c r="L7" s="47">
        <v>2</v>
      </c>
    </row>
    <row r="8" spans="1:13">
      <c r="A8" t="s">
        <v>6</v>
      </c>
      <c r="D8" s="47">
        <v>4</v>
      </c>
      <c r="E8" s="48"/>
      <c r="J8" s="47">
        <v>2465</v>
      </c>
      <c r="K8" s="47">
        <v>1309</v>
      </c>
      <c r="L8" s="47">
        <v>187</v>
      </c>
    </row>
    <row r="9" spans="1:13">
      <c r="A9" t="s">
        <v>7</v>
      </c>
      <c r="J9" s="47">
        <v>1547</v>
      </c>
      <c r="K9" s="47">
        <v>26</v>
      </c>
    </row>
    <row r="11" spans="1:13">
      <c r="A11" s="54" t="s">
        <v>93</v>
      </c>
    </row>
    <row r="12" spans="1:13">
      <c r="A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</row>
    <row r="13" spans="1:13">
      <c r="A13" t="s">
        <v>1</v>
      </c>
      <c r="B13" s="45"/>
      <c r="C13" s="45">
        <v>27205</v>
      </c>
      <c r="D13" s="49">
        <v>24375.291337541727</v>
      </c>
      <c r="E13" s="49">
        <v>38896.855455502278</v>
      </c>
      <c r="F13" s="45">
        <v>51445</v>
      </c>
      <c r="G13" s="45">
        <v>61561</v>
      </c>
      <c r="H13" s="49">
        <v>14152.128205128205</v>
      </c>
      <c r="I13" s="49">
        <v>24503.142857142859</v>
      </c>
      <c r="J13" s="49">
        <v>14722.831459449641</v>
      </c>
      <c r="K13" s="49">
        <v>22415.937906094197</v>
      </c>
      <c r="L13" s="45"/>
      <c r="M13" s="49">
        <v>12965</v>
      </c>
    </row>
    <row r="14" spans="1:13">
      <c r="A14" t="s">
        <v>2</v>
      </c>
      <c r="B14" s="45"/>
      <c r="C14" s="45"/>
      <c r="D14" s="49">
        <v>34613.628376372813</v>
      </c>
      <c r="E14" s="49">
        <v>37491.162514720534</v>
      </c>
      <c r="F14" s="45"/>
      <c r="G14" s="45"/>
      <c r="H14" s="49">
        <v>20475</v>
      </c>
      <c r="I14" s="49">
        <v>10928.482666666667</v>
      </c>
      <c r="J14" s="49">
        <v>18116.49374875626</v>
      </c>
      <c r="K14" s="49">
        <v>29347.843615382018</v>
      </c>
      <c r="L14" s="49">
        <v>25938.416666666668</v>
      </c>
      <c r="M14" s="49">
        <v>34178</v>
      </c>
    </row>
    <row r="15" spans="1:13">
      <c r="A15" t="s">
        <v>3</v>
      </c>
      <c r="B15" s="45"/>
      <c r="C15" s="45"/>
      <c r="D15" s="49">
        <v>49903.524002313476</v>
      </c>
      <c r="E15" s="49">
        <v>97125</v>
      </c>
      <c r="F15" s="45"/>
      <c r="G15" s="45"/>
      <c r="H15" s="45"/>
      <c r="I15" s="49">
        <v>14168.605263157895</v>
      </c>
      <c r="J15" s="49">
        <v>20608.040633773202</v>
      </c>
      <c r="K15" s="49">
        <v>32576.50934822124</v>
      </c>
      <c r="L15" s="49">
        <v>25225.625</v>
      </c>
      <c r="M15" s="45"/>
    </row>
    <row r="16" spans="1:13">
      <c r="A16" t="s">
        <v>4</v>
      </c>
      <c r="B16" s="45"/>
      <c r="C16" s="45"/>
      <c r="D16" s="49">
        <v>70270.393501805054</v>
      </c>
      <c r="E16" s="50"/>
      <c r="F16" s="45"/>
      <c r="G16" s="45"/>
      <c r="H16" s="45"/>
      <c r="I16" s="49">
        <v>12246.674085850556</v>
      </c>
      <c r="J16" s="49">
        <v>27611.509503372163</v>
      </c>
      <c r="K16" s="49">
        <v>46364.684532159808</v>
      </c>
      <c r="L16" s="49">
        <v>19140</v>
      </c>
      <c r="M16" s="49">
        <v>25724.333333333332</v>
      </c>
    </row>
    <row r="17" spans="1:14">
      <c r="A17" t="s">
        <v>5</v>
      </c>
      <c r="B17" s="45"/>
      <c r="C17" s="45"/>
      <c r="D17" s="49">
        <v>120922.4705882353</v>
      </c>
      <c r="E17" s="49">
        <v>119405.26315789473</v>
      </c>
      <c r="F17" s="45"/>
      <c r="G17" s="45"/>
      <c r="H17" s="49">
        <v>23490</v>
      </c>
      <c r="I17" s="49">
        <v>13212.333333333334</v>
      </c>
      <c r="J17" s="49">
        <v>43472.968039846426</v>
      </c>
      <c r="K17" s="49">
        <v>52813.031536532217</v>
      </c>
      <c r="L17" s="49">
        <v>9990</v>
      </c>
      <c r="M17" s="45"/>
    </row>
    <row r="18" spans="1:14">
      <c r="A18" t="s">
        <v>6</v>
      </c>
      <c r="B18" s="45"/>
      <c r="C18" s="45"/>
      <c r="D18" s="49">
        <v>1197500</v>
      </c>
      <c r="E18" s="50"/>
      <c r="F18" s="45"/>
      <c r="G18" s="45"/>
      <c r="H18" s="45"/>
      <c r="I18" s="45"/>
      <c r="J18" s="49">
        <v>105653.26739312657</v>
      </c>
      <c r="K18" s="49">
        <v>68486.239197530871</v>
      </c>
      <c r="L18" s="49">
        <v>62122.032085561499</v>
      </c>
      <c r="M18" s="45"/>
    </row>
    <row r="19" spans="1:14">
      <c r="A19" t="s">
        <v>7</v>
      </c>
      <c r="B19" s="45"/>
      <c r="C19" s="45"/>
      <c r="D19" s="45"/>
      <c r="E19" s="45"/>
      <c r="F19" s="45"/>
      <c r="G19" s="45"/>
      <c r="H19" s="45"/>
      <c r="I19" s="45"/>
      <c r="J19" s="49">
        <v>130308.42819499341</v>
      </c>
      <c r="K19" s="49">
        <v>85193.076923076922</v>
      </c>
      <c r="L19" s="45"/>
      <c r="M19" s="45"/>
    </row>
    <row r="21" spans="1:14" ht="20" customHeight="1">
      <c r="A21" s="54" t="s">
        <v>92</v>
      </c>
    </row>
    <row r="22" spans="1:14">
      <c r="A22" t="s">
        <v>78</v>
      </c>
      <c r="C22" t="s">
        <v>79</v>
      </c>
      <c r="D22" t="s">
        <v>90</v>
      </c>
      <c r="E22" t="s">
        <v>91</v>
      </c>
      <c r="G22" s="51" t="s">
        <v>78</v>
      </c>
      <c r="H22" s="51" t="s">
        <v>1</v>
      </c>
      <c r="I22" s="51" t="s">
        <v>2</v>
      </c>
      <c r="J22" s="51" t="s">
        <v>3</v>
      </c>
      <c r="K22" s="51" t="s">
        <v>4</v>
      </c>
      <c r="L22" s="51" t="s">
        <v>5</v>
      </c>
      <c r="M22" s="51" t="s">
        <v>6</v>
      </c>
      <c r="N22" s="51" t="s">
        <v>7</v>
      </c>
    </row>
    <row r="23" spans="1:14">
      <c r="A23" t="s">
        <v>1</v>
      </c>
      <c r="C23">
        <f>C3/1000</f>
        <v>17.268000000000001</v>
      </c>
      <c r="D23" s="47">
        <f t="shared" ref="D23:D29" si="0">SUM(D3:L3)/1000</f>
        <v>541.57600000000002</v>
      </c>
      <c r="E23" s="47">
        <f>M3/1000</f>
        <v>4.2000000000000003E-2</v>
      </c>
      <c r="G23" s="51" t="s">
        <v>79</v>
      </c>
      <c r="H23" s="52">
        <f>C23</f>
        <v>17.268000000000001</v>
      </c>
      <c r="I23" s="52"/>
      <c r="J23" s="52"/>
      <c r="K23" s="52"/>
      <c r="L23" s="52"/>
      <c r="M23" s="52"/>
      <c r="N23" s="52"/>
    </row>
    <row r="24" spans="1:14">
      <c r="A24" t="s">
        <v>2</v>
      </c>
      <c r="D24" s="47">
        <f t="shared" si="0"/>
        <v>869.01800000000003</v>
      </c>
      <c r="E24" s="47">
        <f t="shared" ref="E24:E29" si="1">M4/1000</f>
        <v>1E-3</v>
      </c>
      <c r="G24" s="51" t="s">
        <v>90</v>
      </c>
      <c r="H24" s="53">
        <f>D23</f>
        <v>541.57600000000002</v>
      </c>
      <c r="I24" s="53">
        <f>D24</f>
        <v>869.01800000000003</v>
      </c>
      <c r="J24" s="53">
        <f>D25</f>
        <v>364.19099999999997</v>
      </c>
      <c r="K24" s="53">
        <f>D26</f>
        <v>84.850999999999999</v>
      </c>
      <c r="L24" s="53">
        <f>D27</f>
        <v>34.725000000000001</v>
      </c>
      <c r="M24" s="53">
        <f>D28</f>
        <v>3.9649999999999999</v>
      </c>
      <c r="N24" s="53">
        <f>D29</f>
        <v>1.573</v>
      </c>
    </row>
    <row r="25" spans="1:14">
      <c r="A25" t="s">
        <v>3</v>
      </c>
      <c r="D25" s="47">
        <f t="shared" si="0"/>
        <v>364.19099999999997</v>
      </c>
      <c r="E25" s="47">
        <f t="shared" si="1"/>
        <v>0</v>
      </c>
      <c r="G25" s="51" t="s">
        <v>91</v>
      </c>
      <c r="H25" s="53">
        <f>E23</f>
        <v>4.2000000000000003E-2</v>
      </c>
      <c r="I25" s="53">
        <f>E24</f>
        <v>1E-3</v>
      </c>
      <c r="J25" s="53">
        <f>E25</f>
        <v>0</v>
      </c>
      <c r="K25" s="53">
        <f>E26</f>
        <v>3.0000000000000001E-3</v>
      </c>
      <c r="L25" s="53">
        <f>E27</f>
        <v>0</v>
      </c>
      <c r="M25" s="53">
        <f>E28</f>
        <v>0</v>
      </c>
      <c r="N25" s="53">
        <f>E29</f>
        <v>0</v>
      </c>
    </row>
    <row r="26" spans="1:14">
      <c r="A26" t="s">
        <v>4</v>
      </c>
      <c r="D26" s="47">
        <f t="shared" si="0"/>
        <v>84.850999999999999</v>
      </c>
      <c r="E26" s="47">
        <f t="shared" si="1"/>
        <v>3.0000000000000001E-3</v>
      </c>
      <c r="I26" s="47"/>
      <c r="J26" s="47"/>
      <c r="K26" s="47"/>
      <c r="L26" s="47"/>
      <c r="M26" s="47"/>
    </row>
    <row r="27" spans="1:14">
      <c r="A27" t="s">
        <v>5</v>
      </c>
      <c r="D27" s="47">
        <f t="shared" si="0"/>
        <v>34.725000000000001</v>
      </c>
      <c r="E27" s="47">
        <f t="shared" si="1"/>
        <v>0</v>
      </c>
      <c r="H27" s="47"/>
      <c r="I27" s="47"/>
      <c r="J27" s="47"/>
      <c r="K27" s="47"/>
      <c r="L27" s="47"/>
    </row>
    <row r="28" spans="1:14">
      <c r="A28" t="s">
        <v>6</v>
      </c>
      <c r="D28" s="47">
        <f t="shared" si="0"/>
        <v>3.9649999999999999</v>
      </c>
      <c r="E28" s="47">
        <f t="shared" si="1"/>
        <v>0</v>
      </c>
      <c r="J28" s="47"/>
      <c r="K28" s="47"/>
      <c r="L28" s="47"/>
    </row>
    <row r="29" spans="1:14">
      <c r="A29" t="s">
        <v>7</v>
      </c>
      <c r="D29" s="47">
        <f t="shared" si="0"/>
        <v>1.573</v>
      </c>
      <c r="E29" s="47">
        <f t="shared" si="1"/>
        <v>0</v>
      </c>
      <c r="H29">
        <f>H24*H34+H25*H35+H23*H33</f>
        <v>12125833.508925451</v>
      </c>
      <c r="J29" s="47"/>
      <c r="K29" s="47"/>
    </row>
    <row r="30" spans="1:14">
      <c r="H30">
        <f>H29/(H24+H25+H23)</f>
        <v>21696.434530343307</v>
      </c>
    </row>
    <row r="31" spans="1:14">
      <c r="A31" s="54" t="s">
        <v>93</v>
      </c>
    </row>
    <row r="32" spans="1:14">
      <c r="A32" t="s">
        <v>78</v>
      </c>
      <c r="C32" t="s">
        <v>79</v>
      </c>
      <c r="D32" t="s">
        <v>90</v>
      </c>
      <c r="E32" t="s">
        <v>91</v>
      </c>
      <c r="G32" s="51" t="s">
        <v>78</v>
      </c>
      <c r="H32" s="51" t="s">
        <v>1</v>
      </c>
      <c r="I32" s="51" t="s">
        <v>2</v>
      </c>
      <c r="J32" s="51" t="s">
        <v>3</v>
      </c>
      <c r="K32" s="51" t="s">
        <v>4</v>
      </c>
      <c r="L32" s="51" t="s">
        <v>5</v>
      </c>
      <c r="M32" s="51" t="s">
        <v>6</v>
      </c>
      <c r="N32" s="51" t="s">
        <v>7</v>
      </c>
    </row>
    <row r="33" spans="1:14">
      <c r="A33" t="s">
        <v>1</v>
      </c>
      <c r="B33" s="45"/>
      <c r="C33" s="45">
        <f>C13</f>
        <v>27205</v>
      </c>
      <c r="D33" s="49">
        <f t="shared" ref="D33:D39" si="2">SUMPRODUCT(D13:L13,D3:L3)/SUM(D3:L3)</f>
        <v>21521.472589120367</v>
      </c>
      <c r="E33" s="49">
        <f>M13</f>
        <v>12965</v>
      </c>
      <c r="F33" s="45"/>
      <c r="G33" s="51" t="s">
        <v>79</v>
      </c>
      <c r="H33" s="52">
        <f>C33</f>
        <v>27205</v>
      </c>
      <c r="I33" s="52"/>
      <c r="J33" s="52"/>
      <c r="K33" s="52"/>
      <c r="L33" s="52"/>
      <c r="M33" s="52"/>
      <c r="N33" s="52"/>
    </row>
    <row r="34" spans="1:14">
      <c r="A34" t="s">
        <v>2</v>
      </c>
      <c r="B34" s="45"/>
      <c r="C34" s="45"/>
      <c r="D34" s="49">
        <f t="shared" si="2"/>
        <v>24193.74325059701</v>
      </c>
      <c r="E34" s="49">
        <f>M14</f>
        <v>34178</v>
      </c>
      <c r="F34" s="45"/>
      <c r="G34" s="51" t="s">
        <v>90</v>
      </c>
      <c r="H34" s="53">
        <f>D33</f>
        <v>21521.472589120367</v>
      </c>
      <c r="I34" s="53">
        <f>D34</f>
        <v>24193.74325059701</v>
      </c>
      <c r="J34" s="53">
        <f>D35</f>
        <v>26839.725262369338</v>
      </c>
      <c r="K34" s="53">
        <f>D36</f>
        <v>39385.366354612597</v>
      </c>
      <c r="L34" s="53">
        <f>D37</f>
        <v>50884.337146875536</v>
      </c>
      <c r="M34" s="53">
        <f>D38</f>
        <v>92431.427801670856</v>
      </c>
      <c r="N34" s="53">
        <f>D39</f>
        <v>129562.71990950718</v>
      </c>
    </row>
    <row r="35" spans="1:14">
      <c r="A35" t="s">
        <v>3</v>
      </c>
      <c r="B35" s="45"/>
      <c r="C35" s="45"/>
      <c r="D35" s="49">
        <f t="shared" si="2"/>
        <v>26839.725262369338</v>
      </c>
      <c r="E35" s="49"/>
      <c r="F35" s="45"/>
      <c r="G35" s="51" t="s">
        <v>91</v>
      </c>
      <c r="H35" s="53">
        <f>E33</f>
        <v>12965</v>
      </c>
      <c r="I35" s="53">
        <f>E34</f>
        <v>34178</v>
      </c>
      <c r="J35" s="53">
        <f>E35</f>
        <v>0</v>
      </c>
      <c r="K35" s="53">
        <f>E36</f>
        <v>25724.333333333332</v>
      </c>
      <c r="L35" s="53">
        <f>E37</f>
        <v>0</v>
      </c>
      <c r="M35" s="53">
        <f>E38</f>
        <v>0</v>
      </c>
      <c r="N35" s="53">
        <f>E39</f>
        <v>0</v>
      </c>
    </row>
    <row r="36" spans="1:14">
      <c r="A36" t="s">
        <v>4</v>
      </c>
      <c r="B36" s="45"/>
      <c r="C36" s="45"/>
      <c r="D36" s="49">
        <f t="shared" si="2"/>
        <v>39385.366354612597</v>
      </c>
      <c r="E36" s="49">
        <f>M16</f>
        <v>25724.333333333332</v>
      </c>
      <c r="F36" s="45"/>
      <c r="G36" s="45" t="s">
        <v>318</v>
      </c>
      <c r="H36" s="49">
        <f>H33-H34</f>
        <v>5683.527410879633</v>
      </c>
      <c r="I36" s="49"/>
      <c r="J36" s="49"/>
      <c r="K36" s="49"/>
      <c r="L36" s="49"/>
      <c r="M36" s="49"/>
    </row>
    <row r="37" spans="1:14">
      <c r="A37" t="s">
        <v>5</v>
      </c>
      <c r="B37" s="45"/>
      <c r="C37" s="45"/>
      <c r="D37" s="49">
        <f t="shared" si="2"/>
        <v>50884.337146875536</v>
      </c>
      <c r="E37" s="49"/>
      <c r="F37" s="45"/>
      <c r="I37" s="49"/>
      <c r="J37" s="49"/>
      <c r="K37" s="49"/>
      <c r="L37" s="49"/>
      <c r="M37" s="45"/>
    </row>
    <row r="38" spans="1:14">
      <c r="A38" t="s">
        <v>6</v>
      </c>
      <c r="B38" s="45"/>
      <c r="C38" s="45"/>
      <c r="D38" s="49">
        <f t="shared" si="2"/>
        <v>92431.427801670856</v>
      </c>
      <c r="E38" s="49"/>
      <c r="F38" s="45"/>
      <c r="G38" s="45"/>
      <c r="H38" s="45"/>
      <c r="I38" s="45"/>
      <c r="J38" s="49"/>
      <c r="K38" s="49"/>
      <c r="L38" s="49"/>
      <c r="M38" s="45"/>
    </row>
    <row r="39" spans="1:14">
      <c r="A39" t="s">
        <v>7</v>
      </c>
      <c r="B39" s="45"/>
      <c r="C39" s="45"/>
      <c r="D39" s="49">
        <f t="shared" si="2"/>
        <v>129562.71990950718</v>
      </c>
      <c r="E39" s="49"/>
      <c r="F39" s="45"/>
      <c r="G39" s="45"/>
      <c r="H39" s="45"/>
      <c r="I39" s="45"/>
      <c r="J39" s="49"/>
      <c r="K39" s="49"/>
      <c r="L39" s="45"/>
      <c r="M39" s="45"/>
    </row>
    <row r="41" spans="1:14">
      <c r="A41" s="54" t="s">
        <v>153</v>
      </c>
    </row>
    <row r="42" spans="1:14" ht="16">
      <c r="A42" s="77" t="s">
        <v>137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</row>
    <row r="43" spans="1:14" ht="16">
      <c r="A43" s="78" t="s">
        <v>138</v>
      </c>
      <c r="B43" s="77"/>
      <c r="C43" s="77">
        <v>2010</v>
      </c>
      <c r="D43" s="77">
        <v>2011</v>
      </c>
      <c r="E43" s="77">
        <v>2012</v>
      </c>
      <c r="F43" s="77">
        <v>2013</v>
      </c>
      <c r="G43" s="77">
        <v>2014</v>
      </c>
      <c r="H43" s="77">
        <v>2015</v>
      </c>
      <c r="I43" s="77">
        <v>2016</v>
      </c>
      <c r="J43" s="77">
        <v>2017</v>
      </c>
      <c r="K43" s="77">
        <v>2018</v>
      </c>
      <c r="L43" s="76"/>
      <c r="M43" s="76"/>
      <c r="N43" s="76"/>
    </row>
    <row r="44" spans="1:14" ht="16">
      <c r="A44" s="76" t="s">
        <v>139</v>
      </c>
      <c r="B44" s="79"/>
      <c r="C44" s="79">
        <v>184</v>
      </c>
      <c r="D44" s="79">
        <v>2641</v>
      </c>
      <c r="E44" s="79">
        <v>5780</v>
      </c>
      <c r="F44" s="79">
        <v>8894</v>
      </c>
      <c r="G44" s="79">
        <v>10889</v>
      </c>
      <c r="H44" s="79">
        <v>17579</v>
      </c>
      <c r="I44" s="79">
        <v>22246</v>
      </c>
      <c r="J44" s="79">
        <v>25753</v>
      </c>
      <c r="K44" s="79">
        <v>32140</v>
      </c>
      <c r="L44" s="76"/>
      <c r="M44" s="76"/>
      <c r="N44" s="76"/>
    </row>
    <row r="45" spans="1:14" ht="16">
      <c r="A45" s="76" t="s">
        <v>140</v>
      </c>
      <c r="B45" s="80"/>
      <c r="C45" s="80">
        <v>0.97</v>
      </c>
      <c r="D45" s="80">
        <v>0.97</v>
      </c>
      <c r="E45" s="80">
        <v>0.61</v>
      </c>
      <c r="F45" s="80">
        <v>0.64</v>
      </c>
      <c r="G45" s="80">
        <v>0.64</v>
      </c>
      <c r="H45" s="80">
        <v>0.42</v>
      </c>
      <c r="I45" s="80">
        <v>0.42</v>
      </c>
      <c r="J45" s="80">
        <v>0.49</v>
      </c>
      <c r="K45" s="80">
        <v>0.56000000000000005</v>
      </c>
      <c r="L45" s="76"/>
      <c r="M45" s="76"/>
      <c r="N45" s="76"/>
    </row>
    <row r="46" spans="1:14" ht="16">
      <c r="A46" s="76" t="s">
        <v>141</v>
      </c>
      <c r="B46" s="80"/>
      <c r="C46" s="80">
        <v>0.03</v>
      </c>
      <c r="D46" s="80">
        <v>0.03</v>
      </c>
      <c r="E46" s="80">
        <v>0.39</v>
      </c>
      <c r="F46" s="80">
        <v>0.36</v>
      </c>
      <c r="G46" s="80">
        <v>0.36</v>
      </c>
      <c r="H46" s="80">
        <v>0.57999999999999996</v>
      </c>
      <c r="I46" s="80">
        <v>0.57999999999999996</v>
      </c>
      <c r="J46" s="80">
        <v>0.51</v>
      </c>
      <c r="K46" s="80">
        <v>0.44</v>
      </c>
      <c r="L46" s="76"/>
      <c r="M46" s="76"/>
      <c r="N46" s="76"/>
    </row>
    <row r="47" spans="1:14" ht="16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</row>
    <row r="48" spans="1:14" ht="16">
      <c r="A48" s="76" t="s">
        <v>142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</row>
    <row r="53" spans="8:15" ht="16">
      <c r="H53" s="77"/>
      <c r="I53" s="293"/>
      <c r="J53" s="293"/>
      <c r="K53" s="293"/>
      <c r="L53" s="293"/>
      <c r="M53" s="293"/>
      <c r="N53" s="293"/>
    </row>
    <row r="54" spans="8:15">
      <c r="O54" s="82"/>
    </row>
    <row r="61" spans="8:15">
      <c r="O61" s="82"/>
    </row>
    <row r="68" spans="15:15">
      <c r="O68" s="82"/>
    </row>
    <row r="75" spans="15:15">
      <c r="O75" s="82"/>
    </row>
  </sheetData>
  <mergeCells count="2">
    <mergeCell ref="I53:K53"/>
    <mergeCell ref="L53:N53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workbookViewId="0">
      <selection activeCell="C24" sqref="C24"/>
    </sheetView>
  </sheetViews>
  <sheetFormatPr baseColWidth="10" defaultColWidth="11.5" defaultRowHeight="15"/>
  <cols>
    <col min="1" max="1" width="21" customWidth="1"/>
    <col min="2" max="2" width="16.83203125" customWidth="1"/>
  </cols>
  <sheetData>
    <row r="1" spans="1:6">
      <c r="A1" s="54" t="s">
        <v>152</v>
      </c>
    </row>
    <row r="2" spans="1:6">
      <c r="B2" t="s">
        <v>69</v>
      </c>
      <c r="C2" t="s">
        <v>70</v>
      </c>
    </row>
    <row r="3" spans="1:6">
      <c r="A3" t="s">
        <v>71</v>
      </c>
      <c r="B3">
        <v>633</v>
      </c>
      <c r="C3">
        <v>414</v>
      </c>
    </row>
    <row r="4" spans="1:6">
      <c r="A4" t="s">
        <v>76</v>
      </c>
      <c r="B4">
        <v>0.61</v>
      </c>
      <c r="C4">
        <f>1-B4</f>
        <v>0.39</v>
      </c>
    </row>
    <row r="5" spans="1:6">
      <c r="A5" t="s">
        <v>72</v>
      </c>
      <c r="B5" s="294">
        <f>B3*B4+C3*C4</f>
        <v>547.59</v>
      </c>
      <c r="C5" s="294"/>
    </row>
    <row r="9" spans="1:6">
      <c r="A9" s="54" t="s">
        <v>151</v>
      </c>
    </row>
    <row r="10" spans="1:6" ht="16">
      <c r="A10" s="77" t="s">
        <v>143</v>
      </c>
      <c r="B10" s="76"/>
      <c r="C10" s="76"/>
      <c r="D10" s="76"/>
      <c r="E10" s="76"/>
      <c r="F10" s="76"/>
    </row>
    <row r="11" spans="1:6" ht="16">
      <c r="A11" s="78" t="s">
        <v>144</v>
      </c>
      <c r="B11" s="76"/>
      <c r="C11" s="76"/>
      <c r="D11" s="76"/>
      <c r="E11" s="76"/>
      <c r="F11" s="76"/>
    </row>
    <row r="12" spans="1:6" ht="16">
      <c r="A12" s="78" t="s">
        <v>145</v>
      </c>
      <c r="B12" s="76"/>
      <c r="C12" s="76"/>
      <c r="D12" s="76"/>
      <c r="E12" s="76"/>
      <c r="F12" s="76"/>
    </row>
    <row r="13" spans="1:6" ht="16">
      <c r="A13" s="76"/>
      <c r="B13" s="76" t="s">
        <v>146</v>
      </c>
      <c r="C13" s="76">
        <v>5.25</v>
      </c>
      <c r="D13" s="76"/>
      <c r="E13" s="76"/>
      <c r="F13" s="76"/>
    </row>
    <row r="14" spans="1:6" ht="16">
      <c r="A14" s="76"/>
      <c r="B14" s="76" t="s">
        <v>147</v>
      </c>
      <c r="C14" s="76">
        <v>3.15</v>
      </c>
      <c r="D14" s="76" t="s">
        <v>148</v>
      </c>
      <c r="E14" s="76"/>
      <c r="F14" s="76"/>
    </row>
    <row r="15" spans="1:6" ht="16">
      <c r="A15" s="76"/>
      <c r="B15" s="76" t="s">
        <v>149</v>
      </c>
      <c r="C15" s="76">
        <v>4.2</v>
      </c>
      <c r="D15" s="76" t="s">
        <v>150</v>
      </c>
      <c r="E15" s="76"/>
      <c r="F15" s="76"/>
    </row>
  </sheetData>
  <mergeCells count="1">
    <mergeCell ref="B5:C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9"/>
  <sheetViews>
    <sheetView topLeftCell="A11" workbookViewId="0">
      <selection activeCell="F16" sqref="F16"/>
    </sheetView>
  </sheetViews>
  <sheetFormatPr baseColWidth="10" defaultColWidth="11.5" defaultRowHeight="15"/>
  <cols>
    <col min="1" max="1" width="29.6640625" customWidth="1"/>
  </cols>
  <sheetData>
    <row r="1" spans="1:6">
      <c r="A1" s="54" t="s">
        <v>154</v>
      </c>
      <c r="B1" s="54"/>
    </row>
    <row r="3" spans="1:6">
      <c r="A3" s="85" t="s">
        <v>131</v>
      </c>
      <c r="B3" s="295">
        <v>2015</v>
      </c>
      <c r="C3" s="295"/>
      <c r="D3" s="295"/>
      <c r="E3" s="295"/>
      <c r="F3" s="295"/>
    </row>
    <row r="4" spans="1:6" ht="64">
      <c r="A4" s="85"/>
      <c r="B4" s="83" t="s">
        <v>156</v>
      </c>
      <c r="C4" s="83" t="s">
        <v>132</v>
      </c>
      <c r="D4" s="83" t="s">
        <v>130</v>
      </c>
      <c r="E4" s="83" t="s">
        <v>155</v>
      </c>
      <c r="F4" s="84" t="s">
        <v>157</v>
      </c>
    </row>
    <row r="5" spans="1:6">
      <c r="A5" s="85" t="s">
        <v>133</v>
      </c>
      <c r="B5" s="87">
        <v>1</v>
      </c>
      <c r="C5" s="85">
        <v>25</v>
      </c>
      <c r="D5" s="296">
        <v>320</v>
      </c>
      <c r="E5" s="85">
        <f>C5*D$5</f>
        <v>8000</v>
      </c>
      <c r="F5" s="296">
        <f>SUMPRODUCT(B5:B8,E5:E8)</f>
        <v>8000</v>
      </c>
    </row>
    <row r="6" spans="1:6">
      <c r="A6" s="85" t="s">
        <v>134</v>
      </c>
      <c r="B6" s="87">
        <v>0</v>
      </c>
      <c r="C6" s="85">
        <v>50</v>
      </c>
      <c r="D6" s="296"/>
      <c r="E6" s="85">
        <f>C6*D$5</f>
        <v>16000</v>
      </c>
      <c r="F6" s="296"/>
    </row>
    <row r="7" spans="1:6">
      <c r="A7" s="85" t="s">
        <v>135</v>
      </c>
      <c r="B7" s="87">
        <v>0</v>
      </c>
      <c r="C7" s="85">
        <v>50</v>
      </c>
      <c r="D7" s="296"/>
      <c r="E7" s="85">
        <f>C7*D$5</f>
        <v>16000</v>
      </c>
      <c r="F7" s="296"/>
    </row>
    <row r="8" spans="1:6">
      <c r="A8" s="85" t="s">
        <v>136</v>
      </c>
      <c r="B8" s="87">
        <v>0</v>
      </c>
      <c r="C8" s="85">
        <v>80</v>
      </c>
      <c r="D8" s="296"/>
      <c r="E8" s="85">
        <f>C8*D$5</f>
        <v>25600</v>
      </c>
      <c r="F8" s="296"/>
    </row>
    <row r="9" spans="1:6" ht="16">
      <c r="A9" s="76"/>
      <c r="B9" s="76"/>
      <c r="C9" s="76"/>
      <c r="D9" s="86"/>
      <c r="F9" s="81"/>
    </row>
    <row r="10" spans="1:6">
      <c r="A10" s="85"/>
      <c r="B10" s="295">
        <v>2020</v>
      </c>
      <c r="C10" s="295"/>
      <c r="D10" s="295"/>
      <c r="E10" s="295"/>
      <c r="F10" s="295"/>
    </row>
    <row r="11" spans="1:6" ht="64">
      <c r="A11" s="85"/>
      <c r="B11" s="83" t="s">
        <v>156</v>
      </c>
      <c r="C11" s="84" t="s">
        <v>132</v>
      </c>
      <c r="D11" s="84" t="s">
        <v>130</v>
      </c>
      <c r="E11" s="84" t="s">
        <v>155</v>
      </c>
      <c r="F11" s="84" t="s">
        <v>157</v>
      </c>
    </row>
    <row r="12" spans="1:6">
      <c r="A12" s="85" t="s">
        <v>133</v>
      </c>
      <c r="B12" s="87">
        <v>1</v>
      </c>
      <c r="C12" s="85">
        <v>25</v>
      </c>
      <c r="D12" s="296">
        <v>160</v>
      </c>
      <c r="E12" s="85">
        <f>C12*D$12</f>
        <v>4000</v>
      </c>
      <c r="F12" s="296">
        <f>SUMPRODUCT(B12:B15,E12:E15)</f>
        <v>4000</v>
      </c>
    </row>
    <row r="13" spans="1:6">
      <c r="A13" s="85" t="s">
        <v>134</v>
      </c>
      <c r="B13" s="87">
        <v>0</v>
      </c>
      <c r="C13" s="85">
        <v>50</v>
      </c>
      <c r="D13" s="296"/>
      <c r="E13" s="85">
        <f>C13*D$12</f>
        <v>8000</v>
      </c>
      <c r="F13" s="296"/>
    </row>
    <row r="14" spans="1:6">
      <c r="A14" s="85" t="s">
        <v>135</v>
      </c>
      <c r="B14" s="87">
        <v>0</v>
      </c>
      <c r="C14" s="85">
        <v>50</v>
      </c>
      <c r="D14" s="296"/>
      <c r="E14" s="85">
        <f>C14*D$12</f>
        <v>8000</v>
      </c>
      <c r="F14" s="296"/>
    </row>
    <row r="15" spans="1:6">
      <c r="A15" s="85" t="s">
        <v>136</v>
      </c>
      <c r="B15" s="87">
        <v>0</v>
      </c>
      <c r="C15" s="85">
        <v>80</v>
      </c>
      <c r="D15" s="296"/>
      <c r="E15" s="85">
        <f>C15*D$12</f>
        <v>12800</v>
      </c>
      <c r="F15" s="296"/>
    </row>
    <row r="16" spans="1:6" ht="16">
      <c r="A16" s="76"/>
      <c r="B16" s="76"/>
      <c r="C16" s="76"/>
      <c r="D16" s="86"/>
      <c r="F16" s="81"/>
    </row>
    <row r="17" spans="1:6">
      <c r="A17" s="85"/>
      <c r="B17" s="295">
        <v>2030</v>
      </c>
      <c r="C17" s="295"/>
      <c r="D17" s="295"/>
      <c r="E17" s="295"/>
      <c r="F17" s="295"/>
    </row>
    <row r="18" spans="1:6" ht="64">
      <c r="A18" s="85"/>
      <c r="B18" s="83" t="s">
        <v>156</v>
      </c>
      <c r="C18" s="84" t="s">
        <v>132</v>
      </c>
      <c r="D18" s="84" t="s">
        <v>130</v>
      </c>
      <c r="E18" s="84" t="s">
        <v>155</v>
      </c>
      <c r="F18" s="84" t="s">
        <v>157</v>
      </c>
    </row>
    <row r="19" spans="1:6">
      <c r="A19" s="85" t="s">
        <v>133</v>
      </c>
      <c r="B19" s="87">
        <v>1</v>
      </c>
      <c r="C19" s="85">
        <v>25</v>
      </c>
      <c r="D19" s="296">
        <v>95</v>
      </c>
      <c r="E19" s="85">
        <f>C19*D$19</f>
        <v>2375</v>
      </c>
      <c r="F19" s="296">
        <f>SUMPRODUCT(B19:B22,E19:E22)</f>
        <v>2375</v>
      </c>
    </row>
    <row r="20" spans="1:6">
      <c r="A20" s="85" t="s">
        <v>134</v>
      </c>
      <c r="B20" s="87">
        <v>0</v>
      </c>
      <c r="C20" s="85">
        <v>50</v>
      </c>
      <c r="D20" s="296"/>
      <c r="E20" s="85">
        <f>C20*D$19</f>
        <v>4750</v>
      </c>
      <c r="F20" s="296"/>
    </row>
    <row r="21" spans="1:6">
      <c r="A21" s="85" t="s">
        <v>135</v>
      </c>
      <c r="B21" s="87">
        <v>0</v>
      </c>
      <c r="C21" s="85">
        <v>50</v>
      </c>
      <c r="D21" s="296"/>
      <c r="E21" s="85">
        <f>C21*D$19</f>
        <v>4750</v>
      </c>
      <c r="F21" s="296"/>
    </row>
    <row r="22" spans="1:6">
      <c r="A22" s="85" t="s">
        <v>136</v>
      </c>
      <c r="B22" s="87">
        <v>0</v>
      </c>
      <c r="C22" s="85">
        <v>80</v>
      </c>
      <c r="D22" s="296"/>
      <c r="E22" s="85">
        <f>C22*D$19</f>
        <v>7600</v>
      </c>
      <c r="F22" s="296"/>
    </row>
    <row r="23" spans="1:6" ht="16">
      <c r="A23" s="76"/>
      <c r="B23" s="76"/>
      <c r="C23" s="76"/>
      <c r="D23" s="86"/>
      <c r="F23" s="81"/>
    </row>
    <row r="24" spans="1:6">
      <c r="A24" s="85"/>
      <c r="B24" s="295">
        <v>2040</v>
      </c>
      <c r="C24" s="295"/>
      <c r="D24" s="295"/>
      <c r="E24" s="295"/>
      <c r="F24" s="295"/>
    </row>
    <row r="25" spans="1:6" ht="64">
      <c r="A25" s="85"/>
      <c r="B25" s="83" t="s">
        <v>156</v>
      </c>
      <c r="C25" s="84" t="s">
        <v>132</v>
      </c>
      <c r="D25" s="84" t="s">
        <v>130</v>
      </c>
      <c r="E25" s="84" t="s">
        <v>155</v>
      </c>
      <c r="F25" s="84" t="s">
        <v>157</v>
      </c>
    </row>
    <row r="26" spans="1:6">
      <c r="A26" s="85" t="s">
        <v>133</v>
      </c>
      <c r="B26" s="87">
        <v>1</v>
      </c>
      <c r="C26" s="85">
        <v>25</v>
      </c>
      <c r="D26" s="296">
        <v>80</v>
      </c>
      <c r="E26" s="85">
        <f>C26*D$26</f>
        <v>2000</v>
      </c>
      <c r="F26" s="296">
        <f>SUMPRODUCT(B26:B29,E26:E29)</f>
        <v>2000</v>
      </c>
    </row>
    <row r="27" spans="1:6">
      <c r="A27" s="85" t="s">
        <v>134</v>
      </c>
      <c r="B27" s="87">
        <v>0</v>
      </c>
      <c r="C27" s="85">
        <v>50</v>
      </c>
      <c r="D27" s="296"/>
      <c r="E27" s="85">
        <f>C27*D$26</f>
        <v>4000</v>
      </c>
      <c r="F27" s="296"/>
    </row>
    <row r="28" spans="1:6">
      <c r="A28" s="85" t="s">
        <v>135</v>
      </c>
      <c r="B28" s="87">
        <v>0</v>
      </c>
      <c r="C28" s="85">
        <v>50</v>
      </c>
      <c r="D28" s="296"/>
      <c r="E28" s="85">
        <f>C28*D$26</f>
        <v>4000</v>
      </c>
      <c r="F28" s="296"/>
    </row>
    <row r="29" spans="1:6">
      <c r="A29" s="85" t="s">
        <v>136</v>
      </c>
      <c r="B29" s="87">
        <v>0</v>
      </c>
      <c r="C29" s="85">
        <v>80</v>
      </c>
      <c r="D29" s="296"/>
      <c r="E29" s="85">
        <f>C29*D$26</f>
        <v>6400</v>
      </c>
      <c r="F29" s="296"/>
    </row>
  </sheetData>
  <mergeCells count="12">
    <mergeCell ref="B3:F3"/>
    <mergeCell ref="D5:D8"/>
    <mergeCell ref="F5:F8"/>
    <mergeCell ref="B10:F10"/>
    <mergeCell ref="D12:D15"/>
    <mergeCell ref="F12:F15"/>
    <mergeCell ref="B17:F17"/>
    <mergeCell ref="D19:D22"/>
    <mergeCell ref="F19:F22"/>
    <mergeCell ref="B24:F24"/>
    <mergeCell ref="D26:D29"/>
    <mergeCell ref="F26:F29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5"/>
  <sheetViews>
    <sheetView topLeftCell="A2" workbookViewId="0">
      <selection activeCell="G24" sqref="G24"/>
    </sheetView>
  </sheetViews>
  <sheetFormatPr baseColWidth="10" defaultColWidth="11.5" defaultRowHeight="15"/>
  <cols>
    <col min="2" max="2" width="20.5" customWidth="1"/>
    <col min="7" max="7" width="45.6640625" customWidth="1"/>
  </cols>
  <sheetData>
    <row r="1" spans="1:15">
      <c r="A1" s="54" t="s">
        <v>129</v>
      </c>
    </row>
    <row r="3" spans="1:15">
      <c r="C3" s="72">
        <v>2006</v>
      </c>
      <c r="D3" s="72">
        <v>2015</v>
      </c>
      <c r="E3" s="72" t="s">
        <v>159</v>
      </c>
      <c r="F3" s="72"/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122</v>
      </c>
    </row>
    <row r="4" spans="1:15">
      <c r="A4" s="56" t="s">
        <v>95</v>
      </c>
      <c r="B4" s="56" t="s">
        <v>96</v>
      </c>
      <c r="C4" s="57">
        <v>30509.185570082002</v>
      </c>
      <c r="D4" s="57">
        <v>32020.017050809998</v>
      </c>
      <c r="G4" s="44" t="s">
        <v>22</v>
      </c>
      <c r="H4" s="63">
        <f t="array" ref="H4:N4">TRANSPOSE(D6:D12)</f>
        <v>1.679095435</v>
      </c>
      <c r="I4" s="63">
        <v>1.4697115510000001</v>
      </c>
      <c r="J4" s="63">
        <v>2.810019525</v>
      </c>
      <c r="K4" s="63">
        <v>61.960933830000002</v>
      </c>
      <c r="L4" s="63">
        <v>23.69063191</v>
      </c>
      <c r="M4" s="63">
        <v>1.0151640999999999E-2</v>
      </c>
      <c r="N4" s="63">
        <v>3.6097962259999998</v>
      </c>
      <c r="O4" s="63">
        <f>SUM(H4:N4)</f>
        <v>95.230340118000001</v>
      </c>
    </row>
    <row r="5" spans="1:15">
      <c r="A5" s="58" t="s">
        <v>97</v>
      </c>
      <c r="B5" s="59" t="s">
        <v>98</v>
      </c>
      <c r="C5" s="60">
        <v>3.992730082</v>
      </c>
      <c r="D5" s="143">
        <f>SUM(D6:D12)</f>
        <v>95.230340118000001</v>
      </c>
      <c r="E5" s="90">
        <f>SUM(E6:E12)</f>
        <v>1</v>
      </c>
      <c r="F5" s="146"/>
      <c r="G5" s="44" t="s">
        <v>23</v>
      </c>
      <c r="H5" s="63">
        <f t="array" ref="H5:N5">TRANSPOSE(D14:D20)</f>
        <v>552.3393638</v>
      </c>
      <c r="I5" s="63">
        <v>3995.9941789999998</v>
      </c>
      <c r="J5" s="63">
        <v>6641.2641919999996</v>
      </c>
      <c r="K5" s="63">
        <v>7182.0448939999997</v>
      </c>
      <c r="L5" s="63">
        <v>9249.3111129999998</v>
      </c>
      <c r="M5" s="63">
        <v>3098.6757769999999</v>
      </c>
      <c r="N5" s="63">
        <v>1205.6210679999999</v>
      </c>
      <c r="O5" s="63">
        <f>SUM(H5:N5)</f>
        <v>31925.250586800001</v>
      </c>
    </row>
    <row r="6" spans="1:15">
      <c r="A6" s="61" t="s">
        <v>99</v>
      </c>
      <c r="B6" s="62" t="s">
        <v>100</v>
      </c>
      <c r="C6" s="63">
        <v>1.1891291999999999E-2</v>
      </c>
      <c r="D6" s="63">
        <v>1.679095435</v>
      </c>
      <c r="E6" s="89">
        <f>D6/$D$5</f>
        <v>1.7631937814350251E-2</v>
      </c>
      <c r="F6" s="89"/>
      <c r="G6" s="44" t="s">
        <v>24</v>
      </c>
      <c r="H6" s="63">
        <f>D25</f>
        <v>0.71099999999999997</v>
      </c>
      <c r="I6" s="63">
        <f>0</f>
        <v>0</v>
      </c>
      <c r="J6" s="63">
        <f>0</f>
        <v>0</v>
      </c>
      <c r="K6" s="63">
        <f>0</f>
        <v>0</v>
      </c>
      <c r="L6" s="63">
        <f>0</f>
        <v>0</v>
      </c>
      <c r="M6" s="63">
        <f>0</f>
        <v>0</v>
      </c>
      <c r="N6" s="63">
        <f>0</f>
        <v>0</v>
      </c>
      <c r="O6" s="63">
        <f>SUM(H6:N6)</f>
        <v>0.71099999999999997</v>
      </c>
    </row>
    <row r="7" spans="1:15">
      <c r="A7" s="64" t="s">
        <v>101</v>
      </c>
      <c r="B7" s="65" t="s">
        <v>102</v>
      </c>
      <c r="C7" s="63">
        <v>2.7258501000000001E-2</v>
      </c>
      <c r="D7" s="63">
        <v>1.4697115510000001</v>
      </c>
      <c r="E7" s="89">
        <f t="shared" ref="E7:E12" si="0">D7/$D$5</f>
        <v>1.5433227994133793E-2</v>
      </c>
      <c r="F7" s="89"/>
      <c r="G7" s="44" t="s">
        <v>74</v>
      </c>
      <c r="O7" s="89"/>
    </row>
    <row r="8" spans="1:15">
      <c r="A8" s="64" t="s">
        <v>103</v>
      </c>
      <c r="B8" s="65" t="s">
        <v>104</v>
      </c>
      <c r="C8" s="63">
        <v>0.111595205</v>
      </c>
      <c r="D8" s="63">
        <v>2.810019525</v>
      </c>
      <c r="E8" s="89">
        <f t="shared" si="0"/>
        <v>2.9507607780441633E-2</v>
      </c>
      <c r="F8" s="89"/>
    </row>
    <row r="9" spans="1:15">
      <c r="A9" s="64" t="s">
        <v>105</v>
      </c>
      <c r="B9" s="65" t="s">
        <v>106</v>
      </c>
      <c r="C9" s="63">
        <v>2.6215726039999998</v>
      </c>
      <c r="D9" s="63">
        <v>61.960933830000002</v>
      </c>
      <c r="E9" s="89">
        <f t="shared" si="0"/>
        <v>0.65064278625093797</v>
      </c>
      <c r="F9" s="89"/>
    </row>
    <row r="10" spans="1:15">
      <c r="A10" s="64" t="s">
        <v>107</v>
      </c>
      <c r="B10" s="65" t="s">
        <v>108</v>
      </c>
      <c r="C10" s="63">
        <v>1.0332618330000001</v>
      </c>
      <c r="D10" s="63">
        <v>23.69063191</v>
      </c>
      <c r="E10" s="89">
        <f t="shared" si="0"/>
        <v>0.24877189224195689</v>
      </c>
      <c r="F10" s="89"/>
      <c r="G10" t="s">
        <v>196</v>
      </c>
      <c r="H10" t="s">
        <v>1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  <c r="N10" t="s">
        <v>7</v>
      </c>
      <c r="O10" t="s">
        <v>122</v>
      </c>
    </row>
    <row r="11" spans="1:15">
      <c r="A11" s="64" t="s">
        <v>109</v>
      </c>
      <c r="B11" s="65" t="s">
        <v>110</v>
      </c>
      <c r="C11" s="63">
        <v>1.4086608E-2</v>
      </c>
      <c r="D11" s="63">
        <v>1.0151640999999999E-2</v>
      </c>
      <c r="E11" s="89">
        <f t="shared" si="0"/>
        <v>1.0660091088009443E-4</v>
      </c>
      <c r="F11" s="89"/>
      <c r="G11" s="44" t="s">
        <v>22</v>
      </c>
      <c r="H11" s="89">
        <f t="array" ref="H11:N11">TRANSPOSE(E6:E12)</f>
        <v>1.7631937814350251E-2</v>
      </c>
      <c r="I11" s="89">
        <v>1.5433227994133793E-2</v>
      </c>
      <c r="J11" s="89">
        <v>2.9507607780441633E-2</v>
      </c>
      <c r="K11" s="89">
        <v>0.65064278625093797</v>
      </c>
      <c r="L11" s="89">
        <v>0.24877189224195689</v>
      </c>
      <c r="M11" s="89">
        <v>1.0660091088009443E-4</v>
      </c>
      <c r="N11" s="89">
        <v>3.7905947007299337E-2</v>
      </c>
      <c r="O11" s="89">
        <f>SUM(H11:N11)</f>
        <v>1</v>
      </c>
    </row>
    <row r="12" spans="1:15">
      <c r="A12" s="64" t="s">
        <v>111</v>
      </c>
      <c r="B12" s="65" t="s">
        <v>112</v>
      </c>
      <c r="C12" s="63">
        <v>0.173064039</v>
      </c>
      <c r="D12" s="63">
        <v>3.6097962259999998</v>
      </c>
      <c r="E12" s="89">
        <f t="shared" si="0"/>
        <v>3.7905947007299337E-2</v>
      </c>
      <c r="F12" s="89"/>
      <c r="G12" s="44" t="s">
        <v>23</v>
      </c>
      <c r="H12" s="89">
        <f t="array" ref="H12:N12">TRANSPOSE(E14:E20)</f>
        <v>1.7301018900330055E-2</v>
      </c>
      <c r="I12" s="89">
        <v>0.12516719855136257</v>
      </c>
      <c r="J12" s="89">
        <v>0.20802543660364989</v>
      </c>
      <c r="K12" s="89">
        <v>0.22496440159406389</v>
      </c>
      <c r="L12" s="89">
        <v>0.28971772947725188</v>
      </c>
      <c r="M12" s="89">
        <v>9.706034314672525E-2</v>
      </c>
      <c r="N12" s="89">
        <v>3.776387172661639E-2</v>
      </c>
      <c r="O12" s="89">
        <f>SUM(H12:N12)</f>
        <v>1</v>
      </c>
    </row>
    <row r="13" spans="1:15">
      <c r="A13" s="66" t="s">
        <v>113</v>
      </c>
      <c r="B13" s="67" t="s">
        <v>114</v>
      </c>
      <c r="C13" s="60">
        <v>30505.19284</v>
      </c>
      <c r="D13" s="60">
        <f>SUM(D14:D20)</f>
        <v>31925.250586800001</v>
      </c>
      <c r="E13" s="90">
        <f>SUM(E14:E20)</f>
        <v>1</v>
      </c>
      <c r="F13" s="146"/>
      <c r="G13" s="44" t="s">
        <v>24</v>
      </c>
      <c r="H13" s="144">
        <v>1</v>
      </c>
      <c r="I13">
        <f>0</f>
        <v>0</v>
      </c>
      <c r="J13">
        <f>0</f>
        <v>0</v>
      </c>
      <c r="K13">
        <f>0</f>
        <v>0</v>
      </c>
      <c r="L13">
        <f>0</f>
        <v>0</v>
      </c>
      <c r="M13">
        <f>0</f>
        <v>0</v>
      </c>
      <c r="N13">
        <f>0</f>
        <v>0</v>
      </c>
      <c r="O13" s="89">
        <f>SUM(H13:N13)</f>
        <v>1</v>
      </c>
    </row>
    <row r="14" spans="1:15">
      <c r="A14" s="64" t="s">
        <v>99</v>
      </c>
      <c r="B14" s="65" t="s">
        <v>115</v>
      </c>
      <c r="C14" s="68">
        <v>14.301015359999999</v>
      </c>
      <c r="D14" s="68">
        <v>552.3393638</v>
      </c>
      <c r="E14" s="89">
        <f>D14/$D$13</f>
        <v>1.7301018900330055E-2</v>
      </c>
      <c r="F14" s="89"/>
      <c r="G14" s="44" t="s">
        <v>74</v>
      </c>
      <c r="O14" s="89"/>
    </row>
    <row r="15" spans="1:15">
      <c r="A15" s="64" t="s">
        <v>101</v>
      </c>
      <c r="B15" s="65" t="s">
        <v>116</v>
      </c>
      <c r="C15" s="68">
        <v>1547.1713669999999</v>
      </c>
      <c r="D15" s="68">
        <v>3995.9941789999998</v>
      </c>
      <c r="E15" s="89">
        <f t="shared" ref="E15:E20" si="1">D15/$D$13</f>
        <v>0.12516719855136257</v>
      </c>
      <c r="F15" s="89"/>
    </row>
    <row r="16" spans="1:15">
      <c r="A16" s="64" t="s">
        <v>103</v>
      </c>
      <c r="B16" s="65" t="s">
        <v>117</v>
      </c>
      <c r="C16" s="68">
        <v>3662.0526359999999</v>
      </c>
      <c r="D16" s="68">
        <v>6641.2641919999996</v>
      </c>
      <c r="E16" s="89">
        <f t="shared" si="1"/>
        <v>0.20802543660364989</v>
      </c>
      <c r="F16" s="89"/>
    </row>
    <row r="17" spans="1:6">
      <c r="A17" s="64" t="s">
        <v>105</v>
      </c>
      <c r="B17" s="65" t="s">
        <v>118</v>
      </c>
      <c r="C17" s="68">
        <v>5126.8649009999999</v>
      </c>
      <c r="D17" s="68">
        <v>7182.0448939999997</v>
      </c>
      <c r="E17" s="89">
        <f t="shared" si="1"/>
        <v>0.22496440159406389</v>
      </c>
      <c r="F17" s="89"/>
    </row>
    <row r="18" spans="1:6">
      <c r="A18" s="64" t="s">
        <v>107</v>
      </c>
      <c r="B18" s="65" t="s">
        <v>119</v>
      </c>
      <c r="C18" s="68">
        <v>13309.29652</v>
      </c>
      <c r="D18" s="68">
        <v>9249.3111129999998</v>
      </c>
      <c r="E18" s="89">
        <f t="shared" si="1"/>
        <v>0.28971772947725188</v>
      </c>
      <c r="F18" s="89"/>
    </row>
    <row r="19" spans="1:6">
      <c r="A19" s="64" t="s">
        <v>109</v>
      </c>
      <c r="B19" s="65" t="s">
        <v>120</v>
      </c>
      <c r="C19" s="68">
        <v>4694.5509089999996</v>
      </c>
      <c r="D19" s="68">
        <v>3098.6757769999999</v>
      </c>
      <c r="E19" s="89">
        <f t="shared" si="1"/>
        <v>9.706034314672525E-2</v>
      </c>
      <c r="F19" s="89"/>
    </row>
    <row r="20" spans="1:6">
      <c r="A20" s="69" t="s">
        <v>111</v>
      </c>
      <c r="B20" s="70" t="s">
        <v>121</v>
      </c>
      <c r="C20" s="71">
        <v>2150.9554880000001</v>
      </c>
      <c r="D20" s="71">
        <v>1205.6210679999999</v>
      </c>
      <c r="E20" s="89">
        <f t="shared" si="1"/>
        <v>3.776387172661639E-2</v>
      </c>
      <c r="F20" s="89"/>
    </row>
    <row r="21" spans="1:6">
      <c r="A21" s="56" t="s">
        <v>95</v>
      </c>
      <c r="B21" s="73"/>
      <c r="C21" s="74">
        <v>30509.205410999002</v>
      </c>
      <c r="D21" s="74">
        <v>32020.728050809998</v>
      </c>
    </row>
    <row r="22" spans="1:6">
      <c r="A22" s="64" t="s">
        <v>123</v>
      </c>
      <c r="B22" s="65" t="s">
        <v>124</v>
      </c>
      <c r="C22" s="63">
        <v>0</v>
      </c>
      <c r="D22" s="63">
        <v>0</v>
      </c>
    </row>
    <row r="23" spans="1:6">
      <c r="A23" s="64" t="s">
        <v>125</v>
      </c>
      <c r="B23" s="59" t="s">
        <v>114</v>
      </c>
      <c r="C23" s="63">
        <v>30505.19284</v>
      </c>
      <c r="D23" s="63">
        <v>31925.25059</v>
      </c>
    </row>
    <row r="24" spans="1:6">
      <c r="A24" s="64" t="s">
        <v>126</v>
      </c>
      <c r="B24" s="59" t="s">
        <v>98</v>
      </c>
      <c r="C24" s="63">
        <v>3.992730082</v>
      </c>
      <c r="D24" s="63">
        <v>94.766460809999998</v>
      </c>
    </row>
    <row r="25" spans="1:6">
      <c r="A25" s="64" t="s">
        <v>127</v>
      </c>
      <c r="B25" s="59" t="s">
        <v>128</v>
      </c>
      <c r="C25" s="63">
        <v>1.9840917E-2</v>
      </c>
      <c r="D25" s="63">
        <v>0.71099999999999997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2</vt:i4>
      </vt:variant>
    </vt:vector>
  </HeadingPairs>
  <TitlesOfParts>
    <vt:vector size="14" baseType="lpstr">
      <vt:lpstr>TRANSPORT</vt:lpstr>
      <vt:lpstr>TRANSPORT_AJT</vt:lpstr>
      <vt:lpstr>TRANSPORT_OLD</vt:lpstr>
      <vt:lpstr>Parc VP par PF</vt:lpstr>
      <vt:lpstr>immat. de VP par PF</vt:lpstr>
      <vt:lpstr>vente PF car labelling Ademe</vt:lpstr>
      <vt:lpstr>JRC_TrRoad_ene</vt:lpstr>
      <vt:lpstr>JRC_TrRoad_act</vt:lpstr>
      <vt:lpstr>ventes et prix VP</vt:lpstr>
      <vt:lpstr>coût entretien</vt:lpstr>
      <vt:lpstr>coût  batterie</vt:lpstr>
      <vt:lpstr>parc auto_thrreeMEV2</vt:lpstr>
      <vt:lpstr>JRC_TrRoad_act!Impression_des_titres</vt:lpstr>
      <vt:lpstr>JRC_TrRoad_ene!Impression_des_titres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2023-01-27T16:00:05Z</dcterms:modified>
</cp:coreProperties>
</file>