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Gissela.Landa\Documents\Github\ThreeMe-Mex\data\database\Data ThreeME-Mex\"/>
    </mc:Choice>
  </mc:AlternateContent>
  <bookViews>
    <workbookView xWindow="6660" yWindow="660" windowWidth="15285" windowHeight="19095" firstSheet="10" activeTab="16"/>
  </bookViews>
  <sheets>
    <sheet name="Readme" sheetId="10" r:id="rId1"/>
    <sheet name="Segmentation" sheetId="11" r:id="rId2"/>
    <sheet name="(Equivalencias)" sheetId="29" r:id="rId3"/>
    <sheet name="SIE-Balance electricidad" sheetId="44" r:id="rId4"/>
    <sheet name="PRODESEN" sheetId="43" r:id="rId5"/>
    <sheet name="SEC elec-SIE" sheetId="35" r:id="rId6"/>
    <sheet name="DATOS 2013" sheetId="20" r:id="rId7"/>
    <sheet name="Energia PJ" sheetId="47" r:id="rId8"/>
    <sheet name="Usos Propios Sec Elec" sheetId="27" r:id="rId9"/>
    <sheet name="RESUMEN_SEC ELEC_PJ" sheetId="39" r:id="rId10"/>
    <sheet name="PEMEX" sheetId="40" r:id="rId11"/>
    <sheet name="AggrStep1-energy" sheetId="3" r:id="rId12"/>
    <sheet name="Step1-electricity " sheetId="13" r:id="rId13"/>
    <sheet name="Step2" sheetId="48" r:id="rId14"/>
    <sheet name="Resumen electricidad " sheetId="26" r:id="rId15"/>
    <sheet name="Resumen all energy" sheetId="41" r:id="rId16"/>
    <sheet name="For ThreeME" sheetId="42" r:id="rId17"/>
  </sheets>
  <externalReferences>
    <externalReference r:id="rId18"/>
    <externalReference r:id="rId19"/>
  </externalReferences>
  <definedNames>
    <definedName name="CAP_CT" localSheetId="15">#REF!</definedName>
    <definedName name="CAP_CT" localSheetId="13">#REF!</definedName>
    <definedName name="CAP_CT">#REF!</definedName>
    <definedName name="CAP_GFCF" localSheetId="15">#REF!</definedName>
    <definedName name="CAP_GFCF" localSheetId="13">#REF!</definedName>
    <definedName name="CAP_GFCF">#REF!</definedName>
    <definedName name="CAP_IT" localSheetId="15">#REF!</definedName>
    <definedName name="CAP_IT" localSheetId="13">#REF!</definedName>
    <definedName name="CAP_IT">#REF!</definedName>
    <definedName name="CAP_OCon" localSheetId="15">#REF!</definedName>
    <definedName name="CAP_OCon" localSheetId="13">#REF!</definedName>
    <definedName name="CAP_OCon">#REF!</definedName>
    <definedName name="CAP_OMach" localSheetId="15">#REF!</definedName>
    <definedName name="CAP_OMach" localSheetId="13">#REF!</definedName>
    <definedName name="CAP_OMach">#REF!</definedName>
    <definedName name="CAP_Other" localSheetId="15">#REF!</definedName>
    <definedName name="CAP_Other" localSheetId="13">#REF!</definedName>
    <definedName name="CAP_Other">#REF!</definedName>
    <definedName name="CAP_QI" localSheetId="15">#REF!</definedName>
    <definedName name="CAP_QI" localSheetId="13">#REF!</definedName>
    <definedName name="CAP_QI">#REF!</definedName>
    <definedName name="CAP_RStruc" localSheetId="15">#REF!</definedName>
    <definedName name="CAP_RStruc" localSheetId="13">#REF!</definedName>
    <definedName name="CAP_RStruc">#REF!</definedName>
    <definedName name="CAP_Soft" localSheetId="15">#REF!</definedName>
    <definedName name="CAP_Soft" localSheetId="13">#REF!</definedName>
    <definedName name="CAP_Soft">#REF!</definedName>
    <definedName name="CAP_TraEq" localSheetId="15">#REF!</definedName>
    <definedName name="CAP_TraEq" localSheetId="13">#REF!</definedName>
    <definedName name="CAP_TraEq">#REF!</definedName>
    <definedName name="CAPIT" localSheetId="15">#REF!</definedName>
    <definedName name="CAPIT" localSheetId="13">#REF!</definedName>
    <definedName name="CAPIT">#REF!</definedName>
    <definedName name="CAPIT_QI" localSheetId="15">#REF!</definedName>
    <definedName name="CAPIT_QI" localSheetId="13">#REF!</definedName>
    <definedName name="CAPIT_QI">#REF!</definedName>
    <definedName name="capit_qph" localSheetId="15">#REF!</definedName>
    <definedName name="capit_qph" localSheetId="13">#REF!</definedName>
    <definedName name="capit_qph">#REF!</definedName>
    <definedName name="CAPNIT" localSheetId="15">#REF!</definedName>
    <definedName name="CAPNIT" localSheetId="13">#REF!</definedName>
    <definedName name="CAPNIT">#REF!</definedName>
    <definedName name="CAPNIT_QI" localSheetId="15">#REF!</definedName>
    <definedName name="CAPNIT_QI" localSheetId="13">#REF!</definedName>
    <definedName name="CAPNIT_QI">#REF!</definedName>
    <definedName name="capnit_qph" localSheetId="15">#REF!</definedName>
    <definedName name="capnit_qph" localSheetId="13">#REF!</definedName>
    <definedName name="capnit_qph">#REF!</definedName>
    <definedName name="FLAPPIE" localSheetId="15">#REF!</definedName>
    <definedName name="FLAPPIE" localSheetId="13">#REF!</definedName>
    <definedName name="FLAPPIE">#REF!</definedName>
    <definedName name="solver_adj" localSheetId="13" hidden="1">Step2!#REF!</definedName>
    <definedName name="solver_cvg" localSheetId="13" hidden="1">"""""""""""""""""""""""""""""""""""""""""""""""""""""""""""""""""""""""""""""""""""""""""""""""""""""""""""""""""""""""""""""""0,0001"""""""""""""""""""""""""""""""""""""""""""""""""""""""""""""""""""""""""""""""""""""""""""""""""""""""""""""""""""""""""""""""</definedName>
    <definedName name="solver_drv" localSheetId="13" hidden="1">1</definedName>
    <definedName name="solver_eng" localSheetId="13" hidden="1">1</definedName>
    <definedName name="solver_est" localSheetId="13" hidden="1">1</definedName>
    <definedName name="solver_itr" localSheetId="13" hidden="1">2147483647</definedName>
    <definedName name="solver_lin" localSheetId="13" hidden="1">2</definedName>
    <definedName name="solver_mip" localSheetId="13" hidden="1">2147483647</definedName>
    <definedName name="solver_mni" localSheetId="13" hidden="1">30</definedName>
    <definedName name="solver_mrt" localSheetId="13" hidden="1">"""""""""""""""""""""""""""""""""""""""""""""""""""""""""""""""""""""""""""""""""""""""""""""""""""""""""""""""""""""""""""""""0,075"""""""""""""""""""""""""""""""""""""""""""""""""""""""""""""""""""""""""""""""""""""""""""""""""""""""""""""""""""""""""""""""</definedName>
    <definedName name="solver_msl" localSheetId="13" hidden="1">2</definedName>
    <definedName name="solver_neg" localSheetId="13" hidden="1">1</definedName>
    <definedName name="solver_nod" localSheetId="13" hidden="1">2147483647</definedName>
    <definedName name="solver_num" localSheetId="13" hidden="1">0</definedName>
    <definedName name="solver_nwt" localSheetId="13" hidden="1">1</definedName>
    <definedName name="solver_opt" localSheetId="13" hidden="1">Step2!$D$83</definedName>
    <definedName name="solver_pre" localSheetId="13" hidden="1">"""""""""""""""""""""""""""""""""""""""""""""""""""""""""""""""""""""""""""""""""""""""""""""""""""""""""""""""""""""""""""""""0,000001"""""""""""""""""""""""""""""""""""""""""""""""""""""""""""""""""""""""""""""""""""""""""""""""""""""""""""""""""""""""""""""""</definedName>
    <definedName name="solver_rbv" localSheetId="13" hidden="1">1</definedName>
    <definedName name="solver_rlx" localSheetId="13" hidden="1">2</definedName>
    <definedName name="solver_rsd" localSheetId="13" hidden="1">0</definedName>
    <definedName name="solver_scl" localSheetId="13" hidden="1">1</definedName>
    <definedName name="solver_sho" localSheetId="13" hidden="1">2</definedName>
    <definedName name="solver_ssz" localSheetId="13" hidden="1">100</definedName>
    <definedName name="solver_tim" localSheetId="13" hidden="1">2147483647</definedName>
    <definedName name="solver_tol" localSheetId="13" hidden="1">0.01</definedName>
    <definedName name="solver_typ" localSheetId="13" hidden="1">3</definedName>
    <definedName name="solver_val" localSheetId="13" hidden="1">0</definedName>
    <definedName name="solver_ver" localSheetId="13" hidden="1">3</definedName>
    <definedName name="VAConL" localSheetId="15">#REF!</definedName>
    <definedName name="VAConL" localSheetId="13">#REF!</definedName>
    <definedName name="VAConL">#REF!</definedName>
  </definedNames>
  <calcPr calcId="162913"/>
  <pivotCaches>
    <pivotCache cacheId="1" r:id="rId20"/>
    <pivotCache cacheId="2" r:id="rId2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8" i="13" l="1"/>
  <c r="D23" i="13"/>
  <c r="D38" i="13"/>
  <c r="J12" i="41" l="1"/>
  <c r="K12" i="41"/>
  <c r="K15" i="41" s="1"/>
  <c r="L12" i="41"/>
  <c r="M12" i="41"/>
  <c r="N12" i="41"/>
  <c r="O12" i="41"/>
  <c r="I12" i="41"/>
  <c r="I11" i="41"/>
  <c r="I10" i="41"/>
  <c r="I9" i="41"/>
  <c r="I8" i="41"/>
  <c r="I7" i="41"/>
  <c r="I6" i="41"/>
  <c r="I5" i="41"/>
  <c r="J54" i="41"/>
  <c r="K54" i="41"/>
  <c r="L54" i="41"/>
  <c r="M54" i="41"/>
  <c r="N54" i="41"/>
  <c r="O54" i="41"/>
  <c r="D12" i="26"/>
  <c r="D11" i="26"/>
  <c r="D8" i="26"/>
  <c r="D9" i="26"/>
  <c r="D10" i="26"/>
  <c r="D7" i="26"/>
  <c r="D6" i="26"/>
  <c r="D5" i="26"/>
  <c r="E83" i="48"/>
  <c r="F83" i="48"/>
  <c r="D83" i="48"/>
  <c r="E73" i="48"/>
  <c r="F73" i="48"/>
  <c r="G73" i="48"/>
  <c r="D73" i="48"/>
  <c r="G72" i="48"/>
  <c r="E72" i="48"/>
  <c r="F72" i="48"/>
  <c r="D72" i="48"/>
  <c r="E69" i="48"/>
  <c r="F69" i="48"/>
  <c r="D69" i="48"/>
  <c r="I34" i="41"/>
  <c r="I35" i="41"/>
  <c r="F35" i="41" s="1"/>
  <c r="I36" i="41"/>
  <c r="I37" i="41"/>
  <c r="I38" i="41"/>
  <c r="I39" i="41"/>
  <c r="I40" i="41"/>
  <c r="I41" i="41"/>
  <c r="I42" i="41"/>
  <c r="I44" i="41"/>
  <c r="I45" i="41"/>
  <c r="I46" i="41"/>
  <c r="I47" i="41"/>
  <c r="I48" i="41"/>
  <c r="I49" i="41"/>
  <c r="I50" i="41"/>
  <c r="I51" i="41"/>
  <c r="I52" i="41"/>
  <c r="I53" i="41"/>
  <c r="I33" i="41"/>
  <c r="E29" i="48"/>
  <c r="F29" i="48"/>
  <c r="D29" i="48"/>
  <c r="O12" i="13"/>
  <c r="N4" i="13"/>
  <c r="I68" i="48"/>
  <c r="I38" i="48"/>
  <c r="D9" i="48"/>
  <c r="D5" i="48"/>
  <c r="V54" i="48"/>
  <c r="Z54" i="48" s="1"/>
  <c r="W54" i="48"/>
  <c r="AA51" i="48" s="1"/>
  <c r="U54" i="48"/>
  <c r="Y53" i="48" s="1"/>
  <c r="Y52" i="48" l="1"/>
  <c r="Y54" i="48"/>
  <c r="Z51" i="48"/>
  <c r="Y51" i="48"/>
  <c r="Z52" i="48"/>
  <c r="AA54" i="48"/>
  <c r="AA53" i="48"/>
  <c r="AA52" i="48"/>
  <c r="Z53" i="48"/>
  <c r="D80" i="3" l="1"/>
  <c r="F77" i="3"/>
  <c r="F78" i="3"/>
  <c r="F79" i="3"/>
  <c r="E77" i="3"/>
  <c r="E78" i="3"/>
  <c r="E79" i="3"/>
  <c r="D79" i="3"/>
  <c r="D15" i="48"/>
  <c r="D21" i="48" s="1"/>
  <c r="D78" i="3"/>
  <c r="D77" i="3"/>
  <c r="J27" i="3"/>
  <c r="J29" i="48"/>
  <c r="K29" i="48"/>
  <c r="L29" i="48"/>
  <c r="M29" i="48"/>
  <c r="N29" i="48"/>
  <c r="O29" i="48"/>
  <c r="J26" i="48"/>
  <c r="K26" i="48"/>
  <c r="L26" i="48"/>
  <c r="M26" i="48"/>
  <c r="N26" i="48"/>
  <c r="O26" i="48"/>
  <c r="I29" i="48"/>
  <c r="I26" i="48"/>
  <c r="I13" i="48"/>
  <c r="J13" i="48"/>
  <c r="K13" i="48"/>
  <c r="L13" i="48"/>
  <c r="M13" i="48"/>
  <c r="N13" i="48"/>
  <c r="O13" i="48"/>
  <c r="I15" i="48"/>
  <c r="J15" i="48"/>
  <c r="K15" i="48"/>
  <c r="L15" i="48"/>
  <c r="F15" i="48" s="1"/>
  <c r="M15" i="48"/>
  <c r="N15" i="48"/>
  <c r="O15" i="48"/>
  <c r="I16" i="48"/>
  <c r="J16" i="48"/>
  <c r="K16" i="48"/>
  <c r="L16" i="48"/>
  <c r="F16" i="48" s="1"/>
  <c r="M16" i="48"/>
  <c r="N16" i="48"/>
  <c r="O16" i="48"/>
  <c r="I17" i="48"/>
  <c r="J17" i="48"/>
  <c r="K17" i="48"/>
  <c r="L17" i="48"/>
  <c r="F17" i="48" s="1"/>
  <c r="M17" i="48"/>
  <c r="N17" i="48"/>
  <c r="O17" i="48"/>
  <c r="I18" i="48"/>
  <c r="J18" i="48"/>
  <c r="K18" i="48"/>
  <c r="L18" i="48"/>
  <c r="F18" i="48" s="1"/>
  <c r="M18" i="48"/>
  <c r="N18" i="48"/>
  <c r="O18" i="48"/>
  <c r="J12" i="48"/>
  <c r="K12" i="48"/>
  <c r="L12" i="48"/>
  <c r="F12" i="48" s="1"/>
  <c r="AC96" i="48" s="1"/>
  <c r="M12" i="48"/>
  <c r="N12" i="48"/>
  <c r="O12" i="48"/>
  <c r="I12" i="48"/>
  <c r="J10" i="48"/>
  <c r="K10" i="48"/>
  <c r="L10" i="48"/>
  <c r="F10" i="48" s="1"/>
  <c r="M10" i="48"/>
  <c r="N10" i="48"/>
  <c r="O10" i="48"/>
  <c r="I10" i="48"/>
  <c r="J3" i="48"/>
  <c r="K3" i="48"/>
  <c r="L3" i="48"/>
  <c r="F3" i="48" s="1"/>
  <c r="M3" i="48"/>
  <c r="N3" i="48"/>
  <c r="O3" i="48"/>
  <c r="J4" i="48"/>
  <c r="K4" i="48"/>
  <c r="L4" i="48"/>
  <c r="F4" i="48" s="1"/>
  <c r="M4" i="48"/>
  <c r="N4" i="48"/>
  <c r="O4" i="48"/>
  <c r="J5" i="48"/>
  <c r="K5" i="48"/>
  <c r="L5" i="48"/>
  <c r="F5" i="48" s="1"/>
  <c r="M5" i="48"/>
  <c r="N5" i="48"/>
  <c r="O5" i="48"/>
  <c r="J6" i="48"/>
  <c r="K6" i="48"/>
  <c r="L6" i="48"/>
  <c r="F6" i="48" s="1"/>
  <c r="M6" i="48"/>
  <c r="N6" i="48"/>
  <c r="O6" i="48"/>
  <c r="J7" i="48"/>
  <c r="K7" i="48"/>
  <c r="L7" i="48"/>
  <c r="F7" i="48" s="1"/>
  <c r="M7" i="48"/>
  <c r="N7" i="48"/>
  <c r="O7" i="48"/>
  <c r="J8" i="48"/>
  <c r="K8" i="48"/>
  <c r="L8" i="48"/>
  <c r="F8" i="48" s="1"/>
  <c r="M8" i="48"/>
  <c r="N8" i="48"/>
  <c r="O8" i="48"/>
  <c r="J9" i="48"/>
  <c r="K9" i="48"/>
  <c r="L9" i="48"/>
  <c r="F9" i="48" s="1"/>
  <c r="M9" i="48"/>
  <c r="N9" i="48"/>
  <c r="O9" i="48"/>
  <c r="I4" i="48"/>
  <c r="I5" i="48"/>
  <c r="I6" i="48"/>
  <c r="I7" i="48"/>
  <c r="I8" i="48"/>
  <c r="I9" i="48"/>
  <c r="I3" i="48"/>
  <c r="D13" i="48"/>
  <c r="E26" i="48"/>
  <c r="F26" i="48"/>
  <c r="AC104" i="48" s="1"/>
  <c r="E5" i="48"/>
  <c r="D3" i="48"/>
  <c r="E10" i="48"/>
  <c r="E12" i="48"/>
  <c r="AB96" i="48" s="1"/>
  <c r="E13" i="48"/>
  <c r="AB97" i="48" s="1"/>
  <c r="E15" i="48"/>
  <c r="E16" i="48"/>
  <c r="E17" i="48"/>
  <c r="AB102" i="48" s="1"/>
  <c r="E18" i="48"/>
  <c r="E3" i="48"/>
  <c r="AB87" i="48" s="1"/>
  <c r="E4" i="48"/>
  <c r="E6" i="48"/>
  <c r="E7" i="48"/>
  <c r="E8" i="48"/>
  <c r="E9" i="48"/>
  <c r="AB93" i="48" s="1"/>
  <c r="D10" i="48"/>
  <c r="D16" i="48"/>
  <c r="D17" i="48"/>
  <c r="AA102" i="48" s="1"/>
  <c r="D18" i="48"/>
  <c r="D12" i="48"/>
  <c r="D4" i="48"/>
  <c r="D6" i="48"/>
  <c r="D7" i="48"/>
  <c r="D8" i="48"/>
  <c r="D26" i="48"/>
  <c r="D94" i="3"/>
  <c r="D55" i="3"/>
  <c r="D71" i="3"/>
  <c r="C36" i="48"/>
  <c r="D43" i="3"/>
  <c r="O30" i="48" l="1"/>
  <c r="K30" i="48"/>
  <c r="M30" i="48"/>
  <c r="E21" i="48"/>
  <c r="AB99" i="48" s="1"/>
  <c r="E23" i="48"/>
  <c r="E22" i="48"/>
  <c r="AB100" i="48" s="1"/>
  <c r="F22" i="48"/>
  <c r="AC100" i="48" s="1"/>
  <c r="F23" i="48"/>
  <c r="F21" i="48"/>
  <c r="AC99" i="48" s="1"/>
  <c r="D23" i="48"/>
  <c r="D22" i="48"/>
  <c r="N30" i="48"/>
  <c r="J30" i="48"/>
  <c r="G26" i="48"/>
  <c r="L30" i="48"/>
  <c r="G29" i="48"/>
  <c r="G18" i="48"/>
  <c r="E30" i="48"/>
  <c r="I30" i="48"/>
  <c r="G16" i="48"/>
  <c r="F13" i="48"/>
  <c r="G7" i="48"/>
  <c r="G4" i="48"/>
  <c r="G15" i="48"/>
  <c r="G10" i="48"/>
  <c r="G17" i="48"/>
  <c r="G6" i="48"/>
  <c r="G9" i="48"/>
  <c r="G5" i="48"/>
  <c r="G8" i="48"/>
  <c r="G12" i="48"/>
  <c r="F30" i="48"/>
  <c r="G3" i="48"/>
  <c r="D30" i="48"/>
  <c r="G22" i="48" l="1"/>
  <c r="G30" i="48"/>
  <c r="G23" i="48"/>
  <c r="F24" i="48"/>
  <c r="G21" i="48"/>
  <c r="D24" i="48"/>
  <c r="E24" i="48"/>
  <c r="G13" i="48"/>
  <c r="G24" i="48" l="1"/>
  <c r="X81" i="48" l="1"/>
  <c r="V73" i="48" s="1"/>
  <c r="V74" i="48"/>
  <c r="O76" i="48"/>
  <c r="N76" i="48"/>
  <c r="M76" i="48"/>
  <c r="L76" i="48"/>
  <c r="K76" i="48"/>
  <c r="J76" i="48"/>
  <c r="I76" i="48"/>
  <c r="O75" i="48"/>
  <c r="N75" i="48"/>
  <c r="M75" i="48"/>
  <c r="L75" i="48"/>
  <c r="K75" i="48"/>
  <c r="J75" i="48"/>
  <c r="I75" i="48"/>
  <c r="I60" i="48"/>
  <c r="I57" i="41" s="1"/>
  <c r="X27" i="48" a="1"/>
  <c r="Y27" i="48" s="1"/>
  <c r="Y40" i="48" s="1"/>
  <c r="U27" i="48" a="1"/>
  <c r="W27" i="48" s="1"/>
  <c r="W40" i="48" s="1"/>
  <c r="J58" i="48"/>
  <c r="J64" i="48" s="1"/>
  <c r="C58" i="48"/>
  <c r="O57" i="48"/>
  <c r="O58" i="48" s="1"/>
  <c r="O64" i="48" s="1"/>
  <c r="N57" i="48"/>
  <c r="N58" i="48" s="1"/>
  <c r="N64" i="48" s="1"/>
  <c r="M57" i="48"/>
  <c r="M58" i="48" s="1"/>
  <c r="M64" i="48" s="1"/>
  <c r="L57" i="48"/>
  <c r="K57" i="48"/>
  <c r="K58" i="48" s="1"/>
  <c r="K64" i="48" s="1"/>
  <c r="I57" i="48"/>
  <c r="I54" i="41" s="1"/>
  <c r="C57" i="48"/>
  <c r="C56" i="48"/>
  <c r="C55" i="48"/>
  <c r="C54" i="48"/>
  <c r="C53" i="48"/>
  <c r="C52" i="48"/>
  <c r="C51" i="48"/>
  <c r="C50" i="48"/>
  <c r="C49" i="48"/>
  <c r="C48" i="48"/>
  <c r="C47" i="48"/>
  <c r="I46" i="48"/>
  <c r="I43" i="41" s="1"/>
  <c r="I55" i="41" s="1"/>
  <c r="I59" i="41" s="1"/>
  <c r="C46" i="48"/>
  <c r="C45" i="48"/>
  <c r="C44" i="48"/>
  <c r="C43" i="48"/>
  <c r="C42" i="48"/>
  <c r="C41" i="48"/>
  <c r="C40" i="48"/>
  <c r="C39" i="48"/>
  <c r="X4" i="48" a="1"/>
  <c r="X23" i="48" s="1"/>
  <c r="U4" i="48" a="1"/>
  <c r="U25" i="48" s="1"/>
  <c r="C38" i="48"/>
  <c r="C37" i="48"/>
  <c r="Y4" i="48" l="1"/>
  <c r="Y7" i="48"/>
  <c r="X18" i="48"/>
  <c r="Y22" i="48"/>
  <c r="Y39" i="48" s="1"/>
  <c r="X11" i="48"/>
  <c r="X15" i="48"/>
  <c r="V68" i="48"/>
  <c r="Z4" i="48"/>
  <c r="Y8" i="48"/>
  <c r="Y12" i="48"/>
  <c r="Y15" i="48"/>
  <c r="X19" i="48"/>
  <c r="Y24" i="48"/>
  <c r="Z5" i="48"/>
  <c r="Z9" i="48"/>
  <c r="Z12" i="48"/>
  <c r="Y16" i="48"/>
  <c r="Z20" i="48"/>
  <c r="Z24" i="48"/>
  <c r="V27" i="48"/>
  <c r="V40" i="48" s="1"/>
  <c r="V70" i="48"/>
  <c r="X7" i="48"/>
  <c r="X10" i="48"/>
  <c r="Z13" i="48"/>
  <c r="Z17" i="48"/>
  <c r="X21" i="48"/>
  <c r="X38" i="48" s="1"/>
  <c r="V72" i="48"/>
  <c r="V5" i="48"/>
  <c r="W8" i="48"/>
  <c r="V12" i="48"/>
  <c r="U16" i="48"/>
  <c r="V19" i="48"/>
  <c r="V21" i="48"/>
  <c r="V38" i="48" s="1"/>
  <c r="U23" i="48"/>
  <c r="AA23" i="48" s="1"/>
  <c r="W24" i="48"/>
  <c r="U4" i="48"/>
  <c r="V7" i="48"/>
  <c r="U11" i="48"/>
  <c r="W14" i="48"/>
  <c r="U18" i="48"/>
  <c r="W21" i="48"/>
  <c r="W38" i="48" s="1"/>
  <c r="V23" i="48"/>
  <c r="V25" i="48"/>
  <c r="V42" i="48" s="1"/>
  <c r="V4" i="48"/>
  <c r="U6" i="48"/>
  <c r="U8" i="48"/>
  <c r="W9" i="48"/>
  <c r="V11" i="48"/>
  <c r="V13" i="48"/>
  <c r="U15" i="48"/>
  <c r="W16" i="48"/>
  <c r="W18" i="48"/>
  <c r="V20" i="48"/>
  <c r="U22" i="48"/>
  <c r="U39" i="48" s="1"/>
  <c r="U24" i="48"/>
  <c r="W25" i="48"/>
  <c r="W42" i="48" s="1"/>
  <c r="X27" i="48"/>
  <c r="X40" i="48" s="1"/>
  <c r="U7" i="48"/>
  <c r="AA7" i="48" s="1"/>
  <c r="W10" i="48"/>
  <c r="U14" i="48"/>
  <c r="W17" i="48"/>
  <c r="AC17" i="48" s="1"/>
  <c r="C46" i="26" s="1"/>
  <c r="W5" i="48"/>
  <c r="AC5" i="48" s="1"/>
  <c r="C34" i="26" s="1"/>
  <c r="V9" i="48"/>
  <c r="W12" i="48"/>
  <c r="AC12" i="48" s="1"/>
  <c r="C41" i="26" s="1"/>
  <c r="V16" i="48"/>
  <c r="AB16" i="48" s="1"/>
  <c r="U20" i="48"/>
  <c r="I58" i="48"/>
  <c r="I64" i="48" s="1"/>
  <c r="W4" i="48"/>
  <c r="W6" i="48"/>
  <c r="V8" i="48"/>
  <c r="U10" i="48"/>
  <c r="U12" i="48"/>
  <c r="W13" i="48"/>
  <c r="V15" i="48"/>
  <c r="V17" i="48"/>
  <c r="U19" i="48"/>
  <c r="W20" i="48"/>
  <c r="W22" i="48"/>
  <c r="W39" i="48" s="1"/>
  <c r="V24" i="48"/>
  <c r="X6" i="48"/>
  <c r="Z8" i="48"/>
  <c r="Y11" i="48"/>
  <c r="X14" i="48"/>
  <c r="Z16" i="48"/>
  <c r="Y19" i="48"/>
  <c r="L58" i="48"/>
  <c r="L64" i="48" s="1"/>
  <c r="U27" i="48"/>
  <c r="U40" i="48" s="1"/>
  <c r="Z27" i="48"/>
  <c r="U42" i="48"/>
  <c r="Y25" i="48"/>
  <c r="Y42" i="48" s="1"/>
  <c r="X24" i="48"/>
  <c r="Z22" i="48"/>
  <c r="Z39" i="48" s="1"/>
  <c r="Y21" i="48"/>
  <c r="Y38" i="48" s="1"/>
  <c r="X20" i="48"/>
  <c r="X5" i="48"/>
  <c r="Y6" i="48"/>
  <c r="Z7" i="48"/>
  <c r="X9" i="48"/>
  <c r="Y10" i="48"/>
  <c r="Z11" i="48"/>
  <c r="X13" i="48"/>
  <c r="Y14" i="48"/>
  <c r="Z15" i="48"/>
  <c r="X17" i="48"/>
  <c r="Y18" i="48"/>
  <c r="Z19" i="48"/>
  <c r="Z21" i="48"/>
  <c r="Z38" i="48" s="1"/>
  <c r="Y23" i="48"/>
  <c r="X25" i="48"/>
  <c r="X42" i="48" s="1"/>
  <c r="U5" i="48"/>
  <c r="V6" i="48"/>
  <c r="W7" i="48"/>
  <c r="U9" i="48"/>
  <c r="V10" i="48"/>
  <c r="W11" i="48"/>
  <c r="U13" i="48"/>
  <c r="V14" i="48"/>
  <c r="W15" i="48"/>
  <c r="U17" i="48"/>
  <c r="V18" i="48"/>
  <c r="W19" i="48"/>
  <c r="U21" i="48"/>
  <c r="V22" i="48"/>
  <c r="W23" i="48"/>
  <c r="X4" i="48"/>
  <c r="Y5" i="48"/>
  <c r="Z6" i="48"/>
  <c r="X8" i="48"/>
  <c r="Y9" i="48"/>
  <c r="Z10" i="48"/>
  <c r="X12" i="48"/>
  <c r="Y13" i="48"/>
  <c r="Z14" i="48"/>
  <c r="X16" i="48"/>
  <c r="Y17" i="48"/>
  <c r="Z18" i="48"/>
  <c r="Y20" i="48"/>
  <c r="X22" i="48"/>
  <c r="X39" i="48" s="1"/>
  <c r="Z23" i="48"/>
  <c r="Z25" i="48"/>
  <c r="Z42" i="48" s="1"/>
  <c r="V71" i="48"/>
  <c r="V75" i="48"/>
  <c r="V69" i="48"/>
  <c r="P103" i="3"/>
  <c r="AC27" i="48" l="1"/>
  <c r="AC40" i="48" s="1"/>
  <c r="C10" i="26" s="1"/>
  <c r="Z40" i="48"/>
  <c r="U35" i="48"/>
  <c r="Z37" i="48"/>
  <c r="Y37" i="48"/>
  <c r="W37" i="48"/>
  <c r="V37" i="48"/>
  <c r="U37" i="48"/>
  <c r="X37" i="48"/>
  <c r="AB24" i="48"/>
  <c r="AC103" i="48"/>
  <c r="W103" i="48" s="1"/>
  <c r="F60" i="48" s="1"/>
  <c r="AB8" i="48"/>
  <c r="AB90" i="48" s="1"/>
  <c r="V90" i="48" s="1"/>
  <c r="AA89" i="48"/>
  <c r="U89" i="48" s="1"/>
  <c r="D39" i="48" s="1"/>
  <c r="C36" i="41" s="1"/>
  <c r="AA11" i="48"/>
  <c r="AC24" i="48"/>
  <c r="C53" i="26" s="1"/>
  <c r="AC20" i="48"/>
  <c r="C49" i="26" s="1"/>
  <c r="AB7" i="48"/>
  <c r="AB25" i="48"/>
  <c r="AC19" i="48"/>
  <c r="C48" i="26" s="1"/>
  <c r="AB14" i="48"/>
  <c r="AA9" i="48"/>
  <c r="AA91" i="48" s="1"/>
  <c r="U91" i="48" s="1"/>
  <c r="AC16" i="48"/>
  <c r="C45" i="26" s="1"/>
  <c r="AA18" i="48"/>
  <c r="AB20" i="48"/>
  <c r="AB19" i="48"/>
  <c r="AA15" i="48"/>
  <c r="AB12" i="48"/>
  <c r="AA24" i="48"/>
  <c r="AB13" i="48"/>
  <c r="AC13" i="48"/>
  <c r="Z35" i="48"/>
  <c r="AA14" i="48"/>
  <c r="AB4" i="48"/>
  <c r="AB23" i="48"/>
  <c r="AB17" i="48"/>
  <c r="Y35" i="48"/>
  <c r="X41" i="48"/>
  <c r="AC6" i="48"/>
  <c r="AC21" i="48"/>
  <c r="C50" i="26" s="1"/>
  <c r="V41" i="48"/>
  <c r="AA20" i="48"/>
  <c r="AB27" i="48"/>
  <c r="AB40" i="48" s="1"/>
  <c r="AA6" i="48"/>
  <c r="AA19" i="48"/>
  <c r="U41" i="48"/>
  <c r="W35" i="48"/>
  <c r="AB11" i="48"/>
  <c r="AA8" i="48"/>
  <c r="AA90" i="48" s="1"/>
  <c r="U90" i="48" s="1"/>
  <c r="U104" i="48" s="1"/>
  <c r="D55" i="48" s="1"/>
  <c r="C52" i="41" s="1"/>
  <c r="AC8" i="48"/>
  <c r="AC10" i="48"/>
  <c r="C39" i="26" s="1"/>
  <c r="AB10" i="48"/>
  <c r="AA5" i="48"/>
  <c r="AA27" i="48"/>
  <c r="AA40" i="48" s="1"/>
  <c r="AD40" i="48" s="1"/>
  <c r="AC9" i="48"/>
  <c r="AA10" i="48"/>
  <c r="AA92" i="48" s="1"/>
  <c r="U92" i="48" s="1"/>
  <c r="AC4" i="48"/>
  <c r="C33" i="26" s="1"/>
  <c r="AB15" i="48"/>
  <c r="AB37" i="48" s="1"/>
  <c r="AA16" i="48"/>
  <c r="Z41" i="48"/>
  <c r="AA17" i="48"/>
  <c r="AC11" i="48"/>
  <c r="C40" i="26" s="1"/>
  <c r="V35" i="48"/>
  <c r="Y41" i="48"/>
  <c r="Z26" i="48"/>
  <c r="Z31" i="48" s="1"/>
  <c r="Y26" i="48"/>
  <c r="Y31" i="48" s="1"/>
  <c r="AC18" i="48"/>
  <c r="C47" i="26" s="1"/>
  <c r="X36" i="48"/>
  <c r="AC23" i="48"/>
  <c r="C52" i="26" s="1"/>
  <c r="AB18" i="48"/>
  <c r="AA13" i="48"/>
  <c r="AA93" i="48" s="1"/>
  <c r="U93" i="48" s="1"/>
  <c r="AC7" i="48"/>
  <c r="AC22" i="48"/>
  <c r="C51" i="26" s="1"/>
  <c r="AB5" i="48"/>
  <c r="W26" i="48"/>
  <c r="U26" i="48"/>
  <c r="AA25" i="48"/>
  <c r="Z36" i="48"/>
  <c r="V36" i="48"/>
  <c r="AB6" i="48"/>
  <c r="V26" i="48"/>
  <c r="W36" i="48"/>
  <c r="Y36" i="48"/>
  <c r="AA22" i="48"/>
  <c r="AA12" i="48"/>
  <c r="AC14" i="48"/>
  <c r="C43" i="26" s="1"/>
  <c r="X35" i="48"/>
  <c r="X26" i="48"/>
  <c r="X31" i="48" s="1"/>
  <c r="U36" i="48"/>
  <c r="AB9" i="48"/>
  <c r="AB91" i="48" s="1"/>
  <c r="V91" i="48" s="1"/>
  <c r="E41" i="48" s="1"/>
  <c r="D38" i="41" s="1"/>
  <c r="W41" i="48"/>
  <c r="AC25" i="48"/>
  <c r="AA4" i="48"/>
  <c r="V39" i="48"/>
  <c r="AB22" i="48"/>
  <c r="U38" i="48"/>
  <c r="AA21" i="48"/>
  <c r="AC15" i="48"/>
  <c r="AB21" i="48"/>
  <c r="E32" i="3"/>
  <c r="F32" i="3"/>
  <c r="G32" i="3"/>
  <c r="H32" i="3"/>
  <c r="I32" i="3"/>
  <c r="J32" i="3"/>
  <c r="K32" i="3"/>
  <c r="L32" i="3"/>
  <c r="M32" i="3"/>
  <c r="N32" i="3"/>
  <c r="O32" i="3"/>
  <c r="P32" i="3"/>
  <c r="Q32" i="3"/>
  <c r="R32" i="3"/>
  <c r="S32" i="3"/>
  <c r="T32" i="3"/>
  <c r="U32" i="3"/>
  <c r="V32" i="3"/>
  <c r="E33" i="3"/>
  <c r="F33" i="3"/>
  <c r="G33" i="3"/>
  <c r="H33" i="3"/>
  <c r="I33" i="3"/>
  <c r="J33" i="3"/>
  <c r="K33" i="3"/>
  <c r="L33" i="3"/>
  <c r="M33" i="3"/>
  <c r="N33" i="3"/>
  <c r="O33" i="3"/>
  <c r="P33" i="3"/>
  <c r="Q33" i="3"/>
  <c r="R33" i="3"/>
  <c r="S33" i="3"/>
  <c r="T33" i="3"/>
  <c r="U33" i="3"/>
  <c r="V33" i="3"/>
  <c r="E34" i="3"/>
  <c r="F34" i="3"/>
  <c r="G34" i="3"/>
  <c r="H34" i="3"/>
  <c r="I34" i="3"/>
  <c r="J34" i="3"/>
  <c r="K34" i="3"/>
  <c r="L34" i="3"/>
  <c r="M34" i="3"/>
  <c r="N34" i="3"/>
  <c r="O34" i="3"/>
  <c r="P34" i="3"/>
  <c r="Q34" i="3"/>
  <c r="R34" i="3"/>
  <c r="S34" i="3"/>
  <c r="T34" i="3"/>
  <c r="U34" i="3"/>
  <c r="V34" i="3"/>
  <c r="E35" i="3"/>
  <c r="F35" i="3"/>
  <c r="G35" i="3"/>
  <c r="H35" i="3"/>
  <c r="I35" i="3"/>
  <c r="J35" i="3"/>
  <c r="K35" i="3"/>
  <c r="L35" i="3"/>
  <c r="M35" i="3"/>
  <c r="N35" i="3"/>
  <c r="O35" i="3"/>
  <c r="P35" i="3"/>
  <c r="Q35" i="3"/>
  <c r="R35" i="3"/>
  <c r="S35" i="3"/>
  <c r="T35" i="3"/>
  <c r="U35" i="3"/>
  <c r="V35" i="3"/>
  <c r="E36" i="3"/>
  <c r="F36" i="3"/>
  <c r="G36" i="3"/>
  <c r="H36" i="3"/>
  <c r="I36" i="3"/>
  <c r="J36" i="3"/>
  <c r="K36" i="3"/>
  <c r="L36" i="3"/>
  <c r="M36" i="3"/>
  <c r="N36" i="3"/>
  <c r="O36" i="3"/>
  <c r="P36" i="3"/>
  <c r="Q36" i="3"/>
  <c r="R36" i="3"/>
  <c r="S36" i="3"/>
  <c r="T36" i="3"/>
  <c r="U36" i="3"/>
  <c r="V36" i="3"/>
  <c r="D33" i="3"/>
  <c r="D34" i="3"/>
  <c r="D35" i="3"/>
  <c r="D36" i="3"/>
  <c r="D32" i="3"/>
  <c r="E4" i="3"/>
  <c r="E42" i="3" s="1"/>
  <c r="F4" i="3"/>
  <c r="F42" i="3" s="1"/>
  <c r="G4" i="3"/>
  <c r="G42" i="3" s="1"/>
  <c r="H4" i="3"/>
  <c r="H42" i="3" s="1"/>
  <c r="I4" i="3"/>
  <c r="I42" i="3" s="1"/>
  <c r="J4" i="3"/>
  <c r="J42" i="3" s="1"/>
  <c r="K4" i="3"/>
  <c r="K42" i="3" s="1"/>
  <c r="L4" i="3"/>
  <c r="L42" i="3" s="1"/>
  <c r="M4" i="3"/>
  <c r="M42" i="3" s="1"/>
  <c r="N4" i="3"/>
  <c r="N42" i="3" s="1"/>
  <c r="O4" i="3"/>
  <c r="O42" i="3" s="1"/>
  <c r="P4" i="3"/>
  <c r="P42" i="3" s="1"/>
  <c r="Q4" i="3"/>
  <c r="Q42" i="3" s="1"/>
  <c r="R4" i="3"/>
  <c r="R42" i="3" s="1"/>
  <c r="S4" i="3"/>
  <c r="S42" i="3" s="1"/>
  <c r="T4" i="3"/>
  <c r="T42" i="3" s="1"/>
  <c r="U4" i="3"/>
  <c r="U42" i="3" s="1"/>
  <c r="V4" i="3"/>
  <c r="V42" i="3" s="1"/>
  <c r="E5" i="3"/>
  <c r="F5" i="3"/>
  <c r="G5" i="3"/>
  <c r="H5" i="3"/>
  <c r="I5" i="3"/>
  <c r="J5" i="3"/>
  <c r="K5" i="3"/>
  <c r="L5" i="3"/>
  <c r="M5" i="3"/>
  <c r="N5" i="3"/>
  <c r="O5" i="3"/>
  <c r="P5" i="3"/>
  <c r="Q5" i="3"/>
  <c r="R5" i="3"/>
  <c r="S5" i="3"/>
  <c r="T5" i="3"/>
  <c r="U5" i="3"/>
  <c r="V5" i="3"/>
  <c r="E6" i="3"/>
  <c r="F6" i="3"/>
  <c r="G6" i="3"/>
  <c r="H6" i="3"/>
  <c r="I6" i="3"/>
  <c r="J6" i="3"/>
  <c r="K6" i="3"/>
  <c r="L6" i="3"/>
  <c r="M6" i="3"/>
  <c r="N6" i="3"/>
  <c r="O6" i="3"/>
  <c r="P6" i="3"/>
  <c r="Q6" i="3"/>
  <c r="R6" i="3"/>
  <c r="S6" i="3"/>
  <c r="T6" i="3"/>
  <c r="U6" i="3"/>
  <c r="V6" i="3"/>
  <c r="E7" i="3"/>
  <c r="F7" i="3"/>
  <c r="G7" i="3"/>
  <c r="H7" i="3"/>
  <c r="I7" i="3"/>
  <c r="J7" i="3"/>
  <c r="K7" i="3"/>
  <c r="L7" i="3"/>
  <c r="M7" i="3"/>
  <c r="N7" i="3"/>
  <c r="O7" i="3"/>
  <c r="P7" i="3"/>
  <c r="Q7" i="3"/>
  <c r="R7" i="3"/>
  <c r="S7" i="3"/>
  <c r="T7" i="3"/>
  <c r="U7" i="3"/>
  <c r="V7" i="3"/>
  <c r="E8" i="3"/>
  <c r="F8" i="3"/>
  <c r="G8" i="3"/>
  <c r="H8" i="3"/>
  <c r="I8" i="3"/>
  <c r="J8" i="3"/>
  <c r="K8" i="3"/>
  <c r="L8" i="3"/>
  <c r="M8" i="3"/>
  <c r="N8" i="3"/>
  <c r="O8" i="3"/>
  <c r="P8" i="3"/>
  <c r="Q8" i="3"/>
  <c r="R8" i="3"/>
  <c r="S8" i="3"/>
  <c r="T8" i="3"/>
  <c r="U8" i="3"/>
  <c r="V8" i="3"/>
  <c r="E9" i="3"/>
  <c r="F9" i="3"/>
  <c r="G9" i="3"/>
  <c r="H9" i="3"/>
  <c r="I9" i="3"/>
  <c r="J9" i="3"/>
  <c r="K9" i="3"/>
  <c r="L9" i="3"/>
  <c r="M9" i="3"/>
  <c r="N9" i="3"/>
  <c r="O9" i="3"/>
  <c r="P9" i="3"/>
  <c r="Q9" i="3"/>
  <c r="R9" i="3"/>
  <c r="S9" i="3"/>
  <c r="T9" i="3"/>
  <c r="U9" i="3"/>
  <c r="V9" i="3"/>
  <c r="E10" i="3"/>
  <c r="F10" i="3"/>
  <c r="G10" i="3"/>
  <c r="H10" i="3"/>
  <c r="I10" i="3"/>
  <c r="J10" i="3"/>
  <c r="K10" i="3"/>
  <c r="L10" i="3"/>
  <c r="M10" i="3"/>
  <c r="N10" i="3"/>
  <c r="O10" i="3"/>
  <c r="P10" i="3"/>
  <c r="Q10" i="3"/>
  <c r="R10" i="3"/>
  <c r="S10" i="3"/>
  <c r="T10" i="3"/>
  <c r="U10" i="3"/>
  <c r="V10" i="3"/>
  <c r="E11" i="3"/>
  <c r="F11" i="3"/>
  <c r="G11" i="3"/>
  <c r="H11" i="3"/>
  <c r="I11" i="3"/>
  <c r="J11" i="3"/>
  <c r="K11" i="3"/>
  <c r="L11" i="3"/>
  <c r="M11" i="3"/>
  <c r="N11" i="3"/>
  <c r="O11" i="3"/>
  <c r="P11" i="3"/>
  <c r="Q11" i="3"/>
  <c r="R11" i="3"/>
  <c r="S11" i="3"/>
  <c r="T11" i="3"/>
  <c r="U11" i="3"/>
  <c r="V11" i="3"/>
  <c r="E12" i="3"/>
  <c r="F12" i="3"/>
  <c r="G12" i="3"/>
  <c r="H12" i="3"/>
  <c r="I12" i="3"/>
  <c r="J12" i="3"/>
  <c r="K12" i="3"/>
  <c r="L12" i="3"/>
  <c r="M12" i="3"/>
  <c r="N12" i="3"/>
  <c r="O12" i="3"/>
  <c r="P12" i="3"/>
  <c r="Q12" i="3"/>
  <c r="R12" i="3"/>
  <c r="S12" i="3"/>
  <c r="T12" i="3"/>
  <c r="U12" i="3"/>
  <c r="V12" i="3"/>
  <c r="E13" i="3"/>
  <c r="F13" i="3"/>
  <c r="G13" i="3"/>
  <c r="H13" i="3"/>
  <c r="I13" i="3"/>
  <c r="J13" i="3"/>
  <c r="K13" i="3"/>
  <c r="L13" i="3"/>
  <c r="M13" i="3"/>
  <c r="N13" i="3"/>
  <c r="O13" i="3"/>
  <c r="P13" i="3"/>
  <c r="Q13" i="3"/>
  <c r="R13" i="3"/>
  <c r="S13" i="3"/>
  <c r="T13" i="3"/>
  <c r="U13" i="3"/>
  <c r="V13" i="3"/>
  <c r="E14" i="3"/>
  <c r="F14" i="3"/>
  <c r="G14" i="3"/>
  <c r="H14" i="3"/>
  <c r="I14" i="3"/>
  <c r="J14" i="3"/>
  <c r="K14" i="3"/>
  <c r="L14" i="3"/>
  <c r="M14" i="3"/>
  <c r="N14" i="3"/>
  <c r="O14" i="3"/>
  <c r="P14" i="3"/>
  <c r="Q14" i="3"/>
  <c r="R14" i="3"/>
  <c r="S14" i="3"/>
  <c r="T14" i="3"/>
  <c r="U14" i="3"/>
  <c r="V14" i="3"/>
  <c r="E15" i="3"/>
  <c r="F15" i="3"/>
  <c r="G15" i="3"/>
  <c r="H15" i="3"/>
  <c r="I15" i="3"/>
  <c r="J15" i="3"/>
  <c r="K15" i="3"/>
  <c r="L15" i="3"/>
  <c r="M15" i="3"/>
  <c r="N15" i="3"/>
  <c r="O15" i="3"/>
  <c r="P15" i="3"/>
  <c r="Q15" i="3"/>
  <c r="R15" i="3"/>
  <c r="S15" i="3"/>
  <c r="T15" i="3"/>
  <c r="U15" i="3"/>
  <c r="V15" i="3"/>
  <c r="E16" i="3"/>
  <c r="F16" i="3"/>
  <c r="G16" i="3"/>
  <c r="H16" i="3"/>
  <c r="I16" i="3"/>
  <c r="J16" i="3"/>
  <c r="K16" i="3"/>
  <c r="L16" i="3"/>
  <c r="M16" i="3"/>
  <c r="N16" i="3"/>
  <c r="O16" i="3"/>
  <c r="P16" i="3"/>
  <c r="Q16" i="3"/>
  <c r="R16" i="3"/>
  <c r="S16" i="3"/>
  <c r="T16" i="3"/>
  <c r="U16" i="3"/>
  <c r="V16" i="3"/>
  <c r="E17" i="3"/>
  <c r="F17" i="3"/>
  <c r="G17" i="3"/>
  <c r="H17" i="3"/>
  <c r="I17" i="3"/>
  <c r="J17" i="3"/>
  <c r="K17" i="3"/>
  <c r="L17" i="3"/>
  <c r="M17" i="3"/>
  <c r="N17" i="3"/>
  <c r="O17" i="3"/>
  <c r="P17" i="3"/>
  <c r="Q17" i="3"/>
  <c r="R17" i="3"/>
  <c r="S17" i="3"/>
  <c r="T17" i="3"/>
  <c r="U17" i="3"/>
  <c r="V17" i="3"/>
  <c r="E18" i="3"/>
  <c r="F18" i="3"/>
  <c r="G18" i="3"/>
  <c r="H18" i="3"/>
  <c r="I18" i="3"/>
  <c r="J18" i="3"/>
  <c r="K18" i="3"/>
  <c r="L18" i="3"/>
  <c r="M18" i="3"/>
  <c r="N18" i="3"/>
  <c r="O18" i="3"/>
  <c r="P18" i="3"/>
  <c r="Q18" i="3"/>
  <c r="R18" i="3"/>
  <c r="S18" i="3"/>
  <c r="T18" i="3"/>
  <c r="U18" i="3"/>
  <c r="V18" i="3"/>
  <c r="E19" i="3"/>
  <c r="F19" i="3"/>
  <c r="G19" i="3"/>
  <c r="H19" i="3"/>
  <c r="I19" i="3"/>
  <c r="J19" i="3"/>
  <c r="K19" i="3"/>
  <c r="L19" i="3"/>
  <c r="M19" i="3"/>
  <c r="N19" i="3"/>
  <c r="O19" i="3"/>
  <c r="P19" i="3"/>
  <c r="Q19" i="3"/>
  <c r="R19" i="3"/>
  <c r="S19" i="3"/>
  <c r="T19" i="3"/>
  <c r="U19" i="3"/>
  <c r="V19" i="3"/>
  <c r="E20" i="3"/>
  <c r="F20" i="3"/>
  <c r="G20" i="3"/>
  <c r="H20" i="3"/>
  <c r="I20" i="3"/>
  <c r="J20" i="3"/>
  <c r="K20" i="3"/>
  <c r="L20" i="3"/>
  <c r="M20" i="3"/>
  <c r="N20" i="3"/>
  <c r="O20" i="3"/>
  <c r="P20" i="3"/>
  <c r="Q20" i="3"/>
  <c r="R20" i="3"/>
  <c r="S20" i="3"/>
  <c r="T20" i="3"/>
  <c r="U20" i="3"/>
  <c r="V20" i="3"/>
  <c r="E21" i="3"/>
  <c r="F21" i="3"/>
  <c r="G21" i="3"/>
  <c r="H21" i="3"/>
  <c r="I21" i="3"/>
  <c r="J21" i="3"/>
  <c r="K21" i="3"/>
  <c r="L21" i="3"/>
  <c r="M21" i="3"/>
  <c r="N21" i="3"/>
  <c r="O21" i="3"/>
  <c r="P21" i="3"/>
  <c r="Q21" i="3"/>
  <c r="R21" i="3"/>
  <c r="S21" i="3"/>
  <c r="T21" i="3"/>
  <c r="U21" i="3"/>
  <c r="V21" i="3"/>
  <c r="E22" i="3"/>
  <c r="F22" i="3"/>
  <c r="G22" i="3"/>
  <c r="H22" i="3"/>
  <c r="I22" i="3"/>
  <c r="J22" i="3"/>
  <c r="K22" i="3"/>
  <c r="L22" i="3"/>
  <c r="M22" i="3"/>
  <c r="N22" i="3"/>
  <c r="O22" i="3"/>
  <c r="P22" i="3"/>
  <c r="Q22" i="3"/>
  <c r="R22" i="3"/>
  <c r="S22" i="3"/>
  <c r="T22" i="3"/>
  <c r="U22" i="3"/>
  <c r="V22" i="3"/>
  <c r="E23" i="3"/>
  <c r="F23" i="3"/>
  <c r="G23" i="3"/>
  <c r="H23" i="3"/>
  <c r="I23" i="3"/>
  <c r="J23" i="3"/>
  <c r="K23" i="3"/>
  <c r="L23" i="3"/>
  <c r="M23" i="3"/>
  <c r="N23" i="3"/>
  <c r="O23" i="3"/>
  <c r="P23" i="3"/>
  <c r="Q23" i="3"/>
  <c r="R23" i="3"/>
  <c r="S23" i="3"/>
  <c r="T23" i="3"/>
  <c r="U23" i="3"/>
  <c r="V23" i="3"/>
  <c r="E24" i="3"/>
  <c r="E41" i="3" s="1"/>
  <c r="F24" i="3"/>
  <c r="F41" i="3" s="1"/>
  <c r="G24" i="3"/>
  <c r="G41" i="3" s="1"/>
  <c r="H24" i="3"/>
  <c r="H41" i="3" s="1"/>
  <c r="I24" i="3"/>
  <c r="I41" i="3" s="1"/>
  <c r="J24" i="3"/>
  <c r="J41" i="3" s="1"/>
  <c r="K24" i="3"/>
  <c r="K41" i="3" s="1"/>
  <c r="L24" i="3"/>
  <c r="L41" i="3" s="1"/>
  <c r="M24" i="3"/>
  <c r="M41" i="3" s="1"/>
  <c r="N24" i="3"/>
  <c r="N41" i="3" s="1"/>
  <c r="O24" i="3"/>
  <c r="O41" i="3" s="1"/>
  <c r="P24" i="3"/>
  <c r="P41" i="3" s="1"/>
  <c r="Q24" i="3"/>
  <c r="Q41" i="3" s="1"/>
  <c r="R24" i="3"/>
  <c r="R41" i="3" s="1"/>
  <c r="S24" i="3"/>
  <c r="S41" i="3" s="1"/>
  <c r="T24" i="3"/>
  <c r="T41" i="3" s="1"/>
  <c r="U24" i="3"/>
  <c r="U41" i="3" s="1"/>
  <c r="V24" i="3"/>
  <c r="V41" i="3" s="1"/>
  <c r="E25" i="3"/>
  <c r="E43" i="3" s="1"/>
  <c r="F25" i="3"/>
  <c r="F43" i="3" s="1"/>
  <c r="G25" i="3"/>
  <c r="G43" i="3" s="1"/>
  <c r="H25" i="3"/>
  <c r="I25" i="3"/>
  <c r="I43" i="3" s="1"/>
  <c r="J25" i="3"/>
  <c r="J43" i="3" s="1"/>
  <c r="K25" i="3"/>
  <c r="K43" i="3" s="1"/>
  <c r="L25" i="3"/>
  <c r="M25" i="3"/>
  <c r="M43" i="3" s="1"/>
  <c r="N25" i="3"/>
  <c r="N43" i="3" s="1"/>
  <c r="O25" i="3"/>
  <c r="O43" i="3" s="1"/>
  <c r="P25" i="3"/>
  <c r="Q25" i="3"/>
  <c r="Q43" i="3" s="1"/>
  <c r="R25" i="3"/>
  <c r="R43" i="3" s="1"/>
  <c r="S25" i="3"/>
  <c r="S43" i="3" s="1"/>
  <c r="T25" i="3"/>
  <c r="U25" i="3"/>
  <c r="U43" i="3" s="1"/>
  <c r="V25" i="3"/>
  <c r="V43" i="3" s="1"/>
  <c r="E26" i="3"/>
  <c r="F26" i="3"/>
  <c r="G26" i="3"/>
  <c r="H26" i="3"/>
  <c r="H43" i="3" s="1"/>
  <c r="I26" i="3"/>
  <c r="J26" i="3"/>
  <c r="K26" i="3"/>
  <c r="L26" i="3"/>
  <c r="L43" i="3" s="1"/>
  <c r="M26" i="3"/>
  <c r="N26" i="3"/>
  <c r="O26" i="3"/>
  <c r="P26" i="3"/>
  <c r="P43" i="3" s="1"/>
  <c r="Q26" i="3"/>
  <c r="R26" i="3"/>
  <c r="S26" i="3"/>
  <c r="T26" i="3"/>
  <c r="T43" i="3" s="1"/>
  <c r="U26" i="3"/>
  <c r="V26" i="3"/>
  <c r="E27" i="3"/>
  <c r="F27" i="3"/>
  <c r="G27" i="3"/>
  <c r="H27" i="3"/>
  <c r="I27" i="3"/>
  <c r="K27" i="3"/>
  <c r="L27" i="3"/>
  <c r="M27" i="3"/>
  <c r="N27" i="3"/>
  <c r="O27" i="3"/>
  <c r="P27" i="3"/>
  <c r="Q27" i="3"/>
  <c r="R27" i="3"/>
  <c r="S27" i="3"/>
  <c r="T27" i="3"/>
  <c r="U27" i="3"/>
  <c r="V27" i="3"/>
  <c r="E28" i="3"/>
  <c r="F28" i="3"/>
  <c r="G28" i="3"/>
  <c r="H28" i="3"/>
  <c r="I28" i="3"/>
  <c r="J28" i="3"/>
  <c r="K28" i="3"/>
  <c r="L28" i="3"/>
  <c r="M28" i="3"/>
  <c r="N28" i="3"/>
  <c r="O28" i="3"/>
  <c r="P28" i="3"/>
  <c r="Q28" i="3"/>
  <c r="R28" i="3"/>
  <c r="S28" i="3"/>
  <c r="T28" i="3"/>
  <c r="U28" i="3"/>
  <c r="V28" i="3"/>
  <c r="E29" i="3"/>
  <c r="F29" i="3"/>
  <c r="G29" i="3"/>
  <c r="H29" i="3"/>
  <c r="I29" i="3"/>
  <c r="J29" i="3"/>
  <c r="K29" i="3"/>
  <c r="L29" i="3"/>
  <c r="M29" i="3"/>
  <c r="N29" i="3"/>
  <c r="O29" i="3"/>
  <c r="P29" i="3"/>
  <c r="Q29" i="3"/>
  <c r="R29" i="3"/>
  <c r="S29" i="3"/>
  <c r="T29" i="3"/>
  <c r="U29" i="3"/>
  <c r="V29" i="3"/>
  <c r="D5" i="3"/>
  <c r="D6" i="3"/>
  <c r="D7" i="3"/>
  <c r="D8" i="3"/>
  <c r="D42" i="3" s="1"/>
  <c r="D9" i="3"/>
  <c r="D10" i="3"/>
  <c r="D11" i="3"/>
  <c r="D12" i="3"/>
  <c r="D13" i="3"/>
  <c r="D14" i="3"/>
  <c r="D15" i="3"/>
  <c r="D16" i="3"/>
  <c r="D17" i="3"/>
  <c r="D18" i="3"/>
  <c r="D19" i="3"/>
  <c r="D20" i="3"/>
  <c r="D21" i="3"/>
  <c r="D22" i="3"/>
  <c r="D23" i="3"/>
  <c r="D24" i="3"/>
  <c r="D41" i="3" s="1"/>
  <c r="D25" i="3"/>
  <c r="D26" i="3"/>
  <c r="D27" i="3"/>
  <c r="D28" i="3"/>
  <c r="D29" i="3"/>
  <c r="D4" i="3"/>
  <c r="C54" i="26" l="1"/>
  <c r="U13" i="39"/>
  <c r="U12" i="39"/>
  <c r="U14" i="39"/>
  <c r="AC89" i="48"/>
  <c r="W89" i="48" s="1"/>
  <c r="F39" i="48" s="1"/>
  <c r="C36" i="26"/>
  <c r="D59" i="26"/>
  <c r="E57" i="41"/>
  <c r="AC91" i="48"/>
  <c r="W91" i="48" s="1"/>
  <c r="F41" i="48" s="1"/>
  <c r="C38" i="26"/>
  <c r="AC88" i="48"/>
  <c r="W88" i="48" s="1"/>
  <c r="F38" i="48" s="1"/>
  <c r="C35" i="26"/>
  <c r="AC93" i="48"/>
  <c r="W93" i="48" s="1"/>
  <c r="F45" i="48" s="1"/>
  <c r="C42" i="26"/>
  <c r="AA37" i="48"/>
  <c r="T12" i="39"/>
  <c r="T14" i="39"/>
  <c r="T13" i="39"/>
  <c r="AC37" i="48"/>
  <c r="C7" i="26" s="1"/>
  <c r="C44" i="26"/>
  <c r="AC90" i="48"/>
  <c r="W90" i="48" s="1"/>
  <c r="C37" i="26"/>
  <c r="S14" i="39"/>
  <c r="S12" i="39"/>
  <c r="S13" i="39"/>
  <c r="AB105" i="48"/>
  <c r="V105" i="48" s="1"/>
  <c r="E57" i="48" s="1"/>
  <c r="D54" i="41" s="1"/>
  <c r="D12" i="41" s="1"/>
  <c r="F55" i="48"/>
  <c r="D44" i="48"/>
  <c r="C41" i="41" s="1"/>
  <c r="C11" i="41" s="1"/>
  <c r="AA104" i="48"/>
  <c r="AB42" i="48"/>
  <c r="D56" i="48"/>
  <c r="C53" i="41" s="1"/>
  <c r="F40" i="48"/>
  <c r="W104" i="48"/>
  <c r="F44" i="48" s="1"/>
  <c r="AC105" i="48"/>
  <c r="W105" i="48" s="1"/>
  <c r="F57" i="48" s="1"/>
  <c r="AA105" i="48"/>
  <c r="U105" i="48" s="1"/>
  <c r="D57" i="48" s="1"/>
  <c r="C54" i="41" s="1"/>
  <c r="C12" i="41" s="1"/>
  <c r="AB104" i="48"/>
  <c r="E40" i="48"/>
  <c r="D37" i="41" s="1"/>
  <c r="V104" i="48"/>
  <c r="E55" i="48" s="1"/>
  <c r="D52" i="41" s="1"/>
  <c r="E56" i="48"/>
  <c r="D53" i="41" s="1"/>
  <c r="AB88" i="48"/>
  <c r="V88" i="48" s="1"/>
  <c r="AD27" i="48"/>
  <c r="AA103" i="48"/>
  <c r="E60" i="48"/>
  <c r="D57" i="41" s="1"/>
  <c r="AB103" i="48"/>
  <c r="V103" i="48" s="1"/>
  <c r="AA96" i="48"/>
  <c r="AC97" i="48"/>
  <c r="W97" i="48" s="1"/>
  <c r="F48" i="48" s="1"/>
  <c r="AC92" i="48"/>
  <c r="W92" i="48" s="1"/>
  <c r="F42" i="48" s="1"/>
  <c r="AA88" i="48"/>
  <c r="U88" i="48" s="1"/>
  <c r="D38" i="48" s="1"/>
  <c r="C35" i="41" s="1"/>
  <c r="AA99" i="48"/>
  <c r="U99" i="48" s="1"/>
  <c r="D50" i="48" s="1"/>
  <c r="C47" i="41" s="1"/>
  <c r="AB101" i="48"/>
  <c r="V101" i="48" s="1"/>
  <c r="V102" i="48" s="1"/>
  <c r="E54" i="48" s="1"/>
  <c r="AA101" i="48"/>
  <c r="U101" i="48" s="1"/>
  <c r="D53" i="48" s="1"/>
  <c r="AC41" i="48"/>
  <c r="C11" i="26" s="1"/>
  <c r="D41" i="48"/>
  <c r="C38" i="41" s="1"/>
  <c r="AB89" i="48"/>
  <c r="V89" i="48" s="1"/>
  <c r="W99" i="48"/>
  <c r="F50" i="48" s="1"/>
  <c r="W96" i="48"/>
  <c r="F47" i="48" s="1"/>
  <c r="W100" i="48"/>
  <c r="F51" i="48" s="1"/>
  <c r="W98" i="48"/>
  <c r="F49" i="48" s="1"/>
  <c r="D42" i="48"/>
  <c r="C39" i="41" s="1"/>
  <c r="AB92" i="48"/>
  <c r="V92" i="48" s="1"/>
  <c r="E42" i="48" s="1"/>
  <c r="D39" i="41" s="1"/>
  <c r="D40" i="48"/>
  <c r="C37" i="41" s="1"/>
  <c r="AA100" i="48"/>
  <c r="AA94" i="48"/>
  <c r="U94" i="48" s="1"/>
  <c r="D46" i="48" s="1"/>
  <c r="C43" i="41" s="1"/>
  <c r="D45" i="48"/>
  <c r="C42" i="41" s="1"/>
  <c r="AB94" i="48"/>
  <c r="V94" i="48" s="1"/>
  <c r="E43" i="48" s="1"/>
  <c r="D40" i="41" s="1"/>
  <c r="AC94" i="48"/>
  <c r="W94" i="48" s="1"/>
  <c r="F43" i="48" s="1"/>
  <c r="AB35" i="48"/>
  <c r="AD20" i="48"/>
  <c r="AB41" i="48"/>
  <c r="AD6" i="48"/>
  <c r="AD7" i="48"/>
  <c r="AD16" i="48"/>
  <c r="AA97" i="48"/>
  <c r="AD19" i="48"/>
  <c r="AC39" i="48"/>
  <c r="C9" i="26" s="1"/>
  <c r="AC102" i="48"/>
  <c r="AC38" i="48"/>
  <c r="C8" i="26" s="1"/>
  <c r="AC101" i="48"/>
  <c r="AA87" i="48"/>
  <c r="U87" i="48" s="1"/>
  <c r="AC35" i="48"/>
  <c r="C5" i="26" s="1"/>
  <c r="AC87" i="48"/>
  <c r="W87" i="48" s="1"/>
  <c r="F37" i="48" s="1"/>
  <c r="AD24" i="48"/>
  <c r="AD13" i="48"/>
  <c r="AD5" i="48"/>
  <c r="AD14" i="48"/>
  <c r="AD17" i="48"/>
  <c r="AD23" i="48"/>
  <c r="Z43" i="48"/>
  <c r="AD9" i="48"/>
  <c r="AD11" i="48"/>
  <c r="AD10" i="48"/>
  <c r="AD8" i="48"/>
  <c r="U43" i="48"/>
  <c r="X43" i="48"/>
  <c r="Y43" i="48"/>
  <c r="V43" i="48"/>
  <c r="AA41" i="48"/>
  <c r="AA36" i="48"/>
  <c r="AD18" i="48"/>
  <c r="AD21" i="48"/>
  <c r="AA38" i="48"/>
  <c r="W43" i="48"/>
  <c r="AD25" i="48"/>
  <c r="AA42" i="48"/>
  <c r="V31" i="48"/>
  <c r="AB26" i="48"/>
  <c r="AB31" i="48" s="1"/>
  <c r="AB36" i="48"/>
  <c r="AB39" i="48"/>
  <c r="AA26" i="48"/>
  <c r="U31" i="48"/>
  <c r="AB38" i="48"/>
  <c r="AD12" i="48"/>
  <c r="AD15" i="48"/>
  <c r="AA35" i="48"/>
  <c r="AD4" i="48"/>
  <c r="AC42" i="48"/>
  <c r="C12" i="26" s="1"/>
  <c r="C15" i="26" s="1"/>
  <c r="AD22" i="48"/>
  <c r="AA39" i="48"/>
  <c r="AC36" i="48"/>
  <c r="C6" i="26" s="1"/>
  <c r="AC26" i="48"/>
  <c r="AC31" i="48" s="1"/>
  <c r="C59" i="26" s="1"/>
  <c r="W31" i="48"/>
  <c r="D30" i="3"/>
  <c r="E54" i="41" l="1"/>
  <c r="E12" i="41" s="1"/>
  <c r="D54" i="26"/>
  <c r="F76" i="48"/>
  <c r="F89" i="48" s="1"/>
  <c r="E47" i="41"/>
  <c r="D47" i="26"/>
  <c r="E39" i="41"/>
  <c r="D39" i="26"/>
  <c r="D10" i="41"/>
  <c r="D38" i="42"/>
  <c r="D50" i="42" s="1"/>
  <c r="D37" i="26"/>
  <c r="E37" i="41"/>
  <c r="E38" i="42"/>
  <c r="E50" i="42" s="1"/>
  <c r="E10" i="41"/>
  <c r="D34" i="26"/>
  <c r="E34" i="41"/>
  <c r="D46" i="26"/>
  <c r="E46" i="41"/>
  <c r="E71" i="48"/>
  <c r="E85" i="48" s="1"/>
  <c r="D51" i="41"/>
  <c r="D9" i="41" s="1"/>
  <c r="D45" i="26"/>
  <c r="E45" i="41"/>
  <c r="D52" i="26"/>
  <c r="E52" i="41"/>
  <c r="E35" i="41"/>
  <c r="D35" i="26"/>
  <c r="E59" i="26"/>
  <c r="D70" i="48"/>
  <c r="D84" i="48" s="1"/>
  <c r="C50" i="41"/>
  <c r="C8" i="41" s="1"/>
  <c r="D48" i="26"/>
  <c r="E48" i="41"/>
  <c r="D40" i="26"/>
  <c r="E40" i="41"/>
  <c r="W12" i="39"/>
  <c r="W14" i="39"/>
  <c r="W13" i="39"/>
  <c r="D44" i="26"/>
  <c r="E44" i="41"/>
  <c r="D41" i="26"/>
  <c r="E41" i="41"/>
  <c r="D42" i="26"/>
  <c r="E42" i="41"/>
  <c r="D38" i="26"/>
  <c r="E38" i="41"/>
  <c r="D36" i="26"/>
  <c r="E36" i="41"/>
  <c r="E44" i="48"/>
  <c r="E76" i="48"/>
  <c r="E89" i="48" s="1"/>
  <c r="F56" i="48"/>
  <c r="G44" i="48"/>
  <c r="F46" i="48"/>
  <c r="F36" i="48"/>
  <c r="F52" i="48"/>
  <c r="E53" i="48"/>
  <c r="D50" i="41" s="1"/>
  <c r="D8" i="41" s="1"/>
  <c r="V87" i="48"/>
  <c r="V93" i="48"/>
  <c r="U97" i="48"/>
  <c r="E39" i="48"/>
  <c r="D36" i="41" s="1"/>
  <c r="D36" i="48"/>
  <c r="U103" i="48"/>
  <c r="U102" i="48"/>
  <c r="D43" i="48"/>
  <c r="V100" i="48"/>
  <c r="V98" i="48"/>
  <c r="E49" i="48" s="1"/>
  <c r="D46" i="41" s="1"/>
  <c r="V97" i="48"/>
  <c r="E48" i="48" s="1"/>
  <c r="D45" i="41" s="1"/>
  <c r="V99" i="48"/>
  <c r="E50" i="48" s="1"/>
  <c r="D47" i="41" s="1"/>
  <c r="V96" i="48"/>
  <c r="E47" i="48" s="1"/>
  <c r="D44" i="41" s="1"/>
  <c r="U96" i="48"/>
  <c r="W101" i="48"/>
  <c r="F53" i="48" s="1"/>
  <c r="W102" i="48"/>
  <c r="F54" i="48" s="1"/>
  <c r="E46" i="48"/>
  <c r="D43" i="41" s="1"/>
  <c r="U100" i="48"/>
  <c r="D37" i="48"/>
  <c r="C34" i="41" s="1"/>
  <c r="E38" i="48"/>
  <c r="D35" i="41" s="1"/>
  <c r="AD37" i="48"/>
  <c r="AC43" i="48"/>
  <c r="AD39" i="48"/>
  <c r="D75" i="48"/>
  <c r="AA31" i="48"/>
  <c r="AD26" i="48"/>
  <c r="AD31" i="48" s="1"/>
  <c r="AD35" i="48"/>
  <c r="AA43" i="48"/>
  <c r="AD41" i="48"/>
  <c r="AD42" i="48"/>
  <c r="AD38" i="48"/>
  <c r="AD36" i="48"/>
  <c r="AB43" i="48"/>
  <c r="E56" i="42"/>
  <c r="E5" i="39"/>
  <c r="L10" i="35"/>
  <c r="I10" i="35"/>
  <c r="D68" i="48" l="1"/>
  <c r="C40" i="41"/>
  <c r="C6" i="41" s="1"/>
  <c r="F68" i="48"/>
  <c r="E43" i="41"/>
  <c r="D43" i="26"/>
  <c r="E75" i="48"/>
  <c r="E88" i="48" s="1"/>
  <c r="D41" i="41"/>
  <c r="D11" i="41" s="1"/>
  <c r="E6" i="41"/>
  <c r="D67" i="48"/>
  <c r="C33" i="41"/>
  <c r="F67" i="48"/>
  <c r="E33" i="41"/>
  <c r="E5" i="41" s="1"/>
  <c r="D33" i="26"/>
  <c r="F70" i="48"/>
  <c r="D50" i="26"/>
  <c r="E50" i="41"/>
  <c r="E8" i="41" s="1"/>
  <c r="E51" i="41"/>
  <c r="E9" i="41" s="1"/>
  <c r="D51" i="26"/>
  <c r="D49" i="26"/>
  <c r="E49" i="41"/>
  <c r="D53" i="26"/>
  <c r="E53" i="41"/>
  <c r="E11" i="41" s="1"/>
  <c r="E7" i="41"/>
  <c r="D52" i="48"/>
  <c r="C49" i="41" s="1"/>
  <c r="D51" i="48"/>
  <c r="C48" i="41" s="1"/>
  <c r="D47" i="48"/>
  <c r="E37" i="48"/>
  <c r="D34" i="41" s="1"/>
  <c r="E36" i="48"/>
  <c r="D33" i="41" s="1"/>
  <c r="E52" i="48"/>
  <c r="D49" i="41" s="1"/>
  <c r="E51" i="48"/>
  <c r="D60" i="48"/>
  <c r="C57" i="41" s="1"/>
  <c r="D48" i="48"/>
  <c r="C45" i="41" s="1"/>
  <c r="D54" i="48"/>
  <c r="D81" i="48"/>
  <c r="E45" i="48"/>
  <c r="D88" i="48"/>
  <c r="AD43" i="48"/>
  <c r="W8" i="13"/>
  <c r="D71" i="48" l="1"/>
  <c r="D85" i="48" s="1"/>
  <c r="C51" i="41"/>
  <c r="C9" i="41" s="1"/>
  <c r="C5" i="41"/>
  <c r="D5" i="41"/>
  <c r="D55" i="26"/>
  <c r="D61" i="26" s="1"/>
  <c r="E68" i="48"/>
  <c r="D42" i="41"/>
  <c r="D6" i="41" s="1"/>
  <c r="C10" i="41"/>
  <c r="C38" i="42"/>
  <c r="C50" i="42" s="1"/>
  <c r="D48" i="41"/>
  <c r="D7" i="41" s="1"/>
  <c r="C44" i="41"/>
  <c r="E67" i="48"/>
  <c r="G57" i="48"/>
  <c r="P57" i="48" s="1"/>
  <c r="D76" i="48"/>
  <c r="W7" i="13"/>
  <c r="V14" i="13"/>
  <c r="V13" i="13"/>
  <c r="W12" i="13"/>
  <c r="V12" i="13"/>
  <c r="G76" i="48" l="1"/>
  <c r="P76" i="48" s="1"/>
  <c r="D89" i="48"/>
  <c r="G89" i="48" s="1"/>
  <c r="W15" i="13"/>
  <c r="V15" i="13"/>
  <c r="I17" i="35" l="1"/>
  <c r="L45" i="13" l="1"/>
  <c r="L5" i="13" l="1"/>
  <c r="C12" i="13" s="1"/>
  <c r="C27" i="13" s="1"/>
  <c r="M36" i="13" l="1"/>
  <c r="M37" i="13" s="1"/>
  <c r="M38" i="13" s="1"/>
  <c r="M39" i="13" s="1"/>
  <c r="N36" i="13"/>
  <c r="N37" i="13" s="1"/>
  <c r="N38" i="13" s="1"/>
  <c r="N39" i="13" s="1"/>
  <c r="N40" i="13" s="1"/>
  <c r="N41" i="13" s="1"/>
  <c r="N42" i="13" s="1"/>
  <c r="N43" i="13" s="1"/>
  <c r="N44" i="13" s="1"/>
  <c r="N45" i="13" s="1"/>
  <c r="N46" i="13" s="1"/>
  <c r="AA14" i="13"/>
  <c r="AA13" i="13"/>
  <c r="AA12" i="13"/>
  <c r="AA7" i="13"/>
  <c r="T15" i="13"/>
  <c r="C9" i="35"/>
  <c r="U4" i="13" l="1"/>
  <c r="U3" i="13"/>
  <c r="U11" i="13"/>
  <c r="U7" i="13"/>
  <c r="AA15" i="13"/>
  <c r="AB11" i="13" s="1"/>
  <c r="M40" i="13"/>
  <c r="M41" i="13" s="1"/>
  <c r="M42" i="13" s="1"/>
  <c r="M43" i="13" s="1"/>
  <c r="M44" i="13" s="1"/>
  <c r="U14" i="13"/>
  <c r="U10" i="13"/>
  <c r="U13" i="13"/>
  <c r="U9" i="13"/>
  <c r="U5" i="13"/>
  <c r="U6" i="13"/>
  <c r="U12" i="13"/>
  <c r="U8" i="13"/>
  <c r="U15" i="13" l="1"/>
  <c r="AB7" i="13"/>
  <c r="AB14" i="13"/>
  <c r="AB5" i="13"/>
  <c r="AB9" i="13"/>
  <c r="AB6" i="13"/>
  <c r="AB10" i="13"/>
  <c r="AB3" i="13"/>
  <c r="AB4" i="13"/>
  <c r="AB8" i="13"/>
  <c r="AB12" i="13"/>
  <c r="AB13" i="13"/>
  <c r="M45" i="13"/>
  <c r="M46" i="13" s="1"/>
  <c r="AB15" i="13" l="1"/>
  <c r="F75" i="3"/>
  <c r="F55" i="3"/>
  <c r="F56" i="3"/>
  <c r="F57" i="3"/>
  <c r="F58" i="3"/>
  <c r="F59" i="3"/>
  <c r="F60" i="3"/>
  <c r="F61" i="3"/>
  <c r="F62" i="3"/>
  <c r="F63" i="3"/>
  <c r="F64" i="3"/>
  <c r="F65" i="3"/>
  <c r="F66" i="3"/>
  <c r="F67" i="3"/>
  <c r="F68" i="3"/>
  <c r="F69" i="3"/>
  <c r="F70" i="3"/>
  <c r="F71" i="3"/>
  <c r="F72" i="3"/>
  <c r="F99" i="3" s="1"/>
  <c r="F73" i="3"/>
  <c r="F98" i="3" s="1"/>
  <c r="F74" i="3"/>
  <c r="F76" i="3"/>
  <c r="F81" i="3"/>
  <c r="F80" i="3"/>
  <c r="J17" i="35"/>
  <c r="M17" i="35" s="1"/>
  <c r="J18" i="35"/>
  <c r="J19" i="35"/>
  <c r="E24" i="39"/>
  <c r="Y21" i="13" s="1"/>
  <c r="S21" i="13" s="1"/>
  <c r="E25" i="39"/>
  <c r="Y22" i="13" s="1"/>
  <c r="S22" i="13" s="1"/>
  <c r="E77" i="39"/>
  <c r="E85" i="39" s="1"/>
  <c r="E94" i="39"/>
  <c r="E102" i="39" s="1"/>
  <c r="E27" i="39"/>
  <c r="Y24" i="13"/>
  <c r="S24" i="13" s="1"/>
  <c r="E28" i="39"/>
  <c r="Y25" i="13" s="1"/>
  <c r="S25" i="13" s="1"/>
  <c r="E29" i="39"/>
  <c r="E115" i="39"/>
  <c r="E30" i="39" s="1"/>
  <c r="Y27" i="13" s="1"/>
  <c r="S27" i="13" s="1"/>
  <c r="E48" i="39"/>
  <c r="E65" i="39"/>
  <c r="E116" i="39"/>
  <c r="E49" i="39"/>
  <c r="E117" i="39"/>
  <c r="E50" i="39"/>
  <c r="E118" i="39"/>
  <c r="E8" i="13"/>
  <c r="F40" i="39"/>
  <c r="H40" i="39" s="1"/>
  <c r="F57" i="39"/>
  <c r="H57" i="39" s="1"/>
  <c r="F108" i="39"/>
  <c r="F39" i="39"/>
  <c r="F107" i="39"/>
  <c r="F41" i="39"/>
  <c r="F24" i="39" s="1"/>
  <c r="Z21" i="13" s="1"/>
  <c r="T21" i="13" s="1"/>
  <c r="F42" i="39"/>
  <c r="F25" i="39" s="1"/>
  <c r="Z22" i="13" s="1"/>
  <c r="T22" i="13" s="1"/>
  <c r="F77" i="39"/>
  <c r="F94" i="39"/>
  <c r="F27" i="39"/>
  <c r="Z24" i="13" s="1"/>
  <c r="T24" i="13" s="1"/>
  <c r="F28" i="39"/>
  <c r="Z25" i="13" s="1"/>
  <c r="T25" i="13" s="1"/>
  <c r="F46" i="39"/>
  <c r="F29" i="39" s="1"/>
  <c r="Z26" i="13" s="1"/>
  <c r="T26" i="13" s="1"/>
  <c r="F47" i="39"/>
  <c r="F115" i="39"/>
  <c r="F48" i="39"/>
  <c r="F14" i="39" s="1"/>
  <c r="F116" i="39"/>
  <c r="F49" i="39"/>
  <c r="F117" i="39"/>
  <c r="F50" i="39"/>
  <c r="F118" i="39"/>
  <c r="I18" i="35"/>
  <c r="I20" i="35" s="1"/>
  <c r="I19" i="35"/>
  <c r="M57" i="13"/>
  <c r="O61" i="13" s="1"/>
  <c r="D23" i="39"/>
  <c r="X20" i="13" s="1"/>
  <c r="R20" i="13" s="1"/>
  <c r="D24" i="39"/>
  <c r="X21" i="13" s="1"/>
  <c r="R21" i="13" s="1"/>
  <c r="D25" i="39"/>
  <c r="D77" i="39"/>
  <c r="D94" i="39"/>
  <c r="D27" i="39"/>
  <c r="X24" i="13" s="1"/>
  <c r="R24" i="13" s="1"/>
  <c r="D28" i="39"/>
  <c r="D29" i="39"/>
  <c r="X26" i="13" s="1"/>
  <c r="R26" i="13" s="1"/>
  <c r="D47" i="39"/>
  <c r="D115" i="39"/>
  <c r="D48" i="39"/>
  <c r="D65" i="39"/>
  <c r="D68" i="39" s="1"/>
  <c r="D116" i="39"/>
  <c r="D49" i="39"/>
  <c r="D15" i="39" s="1"/>
  <c r="D117" i="39"/>
  <c r="D50" i="39"/>
  <c r="D16" i="39" s="1"/>
  <c r="D118" i="39"/>
  <c r="F33" i="41"/>
  <c r="F34" i="41"/>
  <c r="F41" i="41"/>
  <c r="F52" i="41"/>
  <c r="F53" i="41"/>
  <c r="F51" i="41"/>
  <c r="F9" i="41" s="1"/>
  <c r="F50" i="41"/>
  <c r="F8" i="41" s="1"/>
  <c r="F44" i="41"/>
  <c r="F45" i="41"/>
  <c r="F46" i="41"/>
  <c r="F47" i="41"/>
  <c r="F48" i="41"/>
  <c r="F49" i="41"/>
  <c r="F36" i="41"/>
  <c r="F37" i="41"/>
  <c r="F38" i="41"/>
  <c r="F39" i="41"/>
  <c r="F40" i="41"/>
  <c r="F42" i="41"/>
  <c r="M42" i="44"/>
  <c r="L42" i="44"/>
  <c r="M40" i="44"/>
  <c r="L40" i="44"/>
  <c r="M36" i="44"/>
  <c r="L36" i="44"/>
  <c r="M34" i="44"/>
  <c r="L34" i="44"/>
  <c r="M33" i="44"/>
  <c r="L33" i="44"/>
  <c r="M32" i="44"/>
  <c r="L32" i="44"/>
  <c r="M30" i="44"/>
  <c r="L30" i="44"/>
  <c r="M28" i="44"/>
  <c r="L28" i="44"/>
  <c r="L22" i="44"/>
  <c r="K18" i="44"/>
  <c r="K10" i="44"/>
  <c r="L37" i="13"/>
  <c r="L38" i="13"/>
  <c r="L39" i="13"/>
  <c r="L40" i="13"/>
  <c r="L41" i="13"/>
  <c r="L42" i="13"/>
  <c r="L44" i="13" s="1"/>
  <c r="L46" i="13" s="1"/>
  <c r="L36" i="13"/>
  <c r="I30" i="35"/>
  <c r="I31" i="35"/>
  <c r="I32" i="35"/>
  <c r="I36" i="35" s="1"/>
  <c r="I33" i="35"/>
  <c r="I34" i="35"/>
  <c r="I35" i="35"/>
  <c r="J75" i="3"/>
  <c r="L75" i="3"/>
  <c r="O75" i="3"/>
  <c r="D136" i="40"/>
  <c r="C136" i="40"/>
  <c r="D135" i="40"/>
  <c r="C135" i="40"/>
  <c r="D134" i="40"/>
  <c r="C134" i="40"/>
  <c r="D133" i="40"/>
  <c r="C133" i="40"/>
  <c r="D132" i="40"/>
  <c r="C132" i="40"/>
  <c r="D131" i="40"/>
  <c r="C131" i="40"/>
  <c r="D130" i="40"/>
  <c r="C130" i="40"/>
  <c r="D129" i="40"/>
  <c r="C129" i="40"/>
  <c r="D128" i="40"/>
  <c r="C128" i="40"/>
  <c r="D127" i="40"/>
  <c r="C127" i="40"/>
  <c r="D126" i="40"/>
  <c r="C126" i="40"/>
  <c r="D125" i="40"/>
  <c r="F8" i="40" s="1"/>
  <c r="C125" i="40"/>
  <c r="D124" i="40"/>
  <c r="C124" i="40"/>
  <c r="D123" i="40"/>
  <c r="C123" i="40"/>
  <c r="D122" i="40"/>
  <c r="C122" i="40"/>
  <c r="D121" i="40"/>
  <c r="F7" i="40" s="1"/>
  <c r="C121" i="40"/>
  <c r="D120" i="40"/>
  <c r="C120" i="40"/>
  <c r="D119" i="40"/>
  <c r="C119" i="40"/>
  <c r="D118" i="40"/>
  <c r="C118" i="40"/>
  <c r="D117" i="40"/>
  <c r="F6" i="40" s="1"/>
  <c r="C117" i="40"/>
  <c r="D116" i="40"/>
  <c r="C116" i="40"/>
  <c r="D115" i="40"/>
  <c r="C115" i="40"/>
  <c r="D114" i="40"/>
  <c r="C114" i="40"/>
  <c r="D113" i="40"/>
  <c r="C113" i="40"/>
  <c r="D112" i="40"/>
  <c r="C112" i="40"/>
  <c r="D111" i="40"/>
  <c r="C111" i="40"/>
  <c r="D110" i="40"/>
  <c r="C110" i="40"/>
  <c r="D109" i="40"/>
  <c r="C109" i="40"/>
  <c r="D108" i="40"/>
  <c r="C108" i="40"/>
  <c r="D107" i="40"/>
  <c r="C107" i="40"/>
  <c r="D106" i="40"/>
  <c r="C106" i="40"/>
  <c r="D105" i="40"/>
  <c r="C105" i="40"/>
  <c r="D104" i="40"/>
  <c r="C104" i="40"/>
  <c r="D103" i="40"/>
  <c r="C103" i="40"/>
  <c r="D102" i="40"/>
  <c r="C102" i="40"/>
  <c r="D101" i="40"/>
  <c r="C101" i="40"/>
  <c r="D100" i="40"/>
  <c r="C100" i="40"/>
  <c r="D99" i="40"/>
  <c r="C99" i="40"/>
  <c r="D98" i="40"/>
  <c r="C98" i="40"/>
  <c r="D97" i="40"/>
  <c r="C97" i="40"/>
  <c r="D96" i="40"/>
  <c r="C96" i="40"/>
  <c r="D95" i="40"/>
  <c r="C95" i="40"/>
  <c r="D94" i="40"/>
  <c r="C94" i="40"/>
  <c r="D93" i="40"/>
  <c r="C93" i="40"/>
  <c r="D92" i="40"/>
  <c r="C92" i="40"/>
  <c r="D91" i="40"/>
  <c r="C91" i="40"/>
  <c r="D90" i="40"/>
  <c r="C90" i="40"/>
  <c r="D89" i="40"/>
  <c r="C89" i="40"/>
  <c r="D88" i="40"/>
  <c r="C88" i="40"/>
  <c r="D87" i="40"/>
  <c r="C87" i="40"/>
  <c r="D86" i="40"/>
  <c r="C86" i="40"/>
  <c r="D85" i="40"/>
  <c r="C85" i="40"/>
  <c r="D84" i="40"/>
  <c r="C84" i="40"/>
  <c r="D83" i="40"/>
  <c r="C83" i="40"/>
  <c r="D82" i="40"/>
  <c r="C82" i="40"/>
  <c r="D81" i="40"/>
  <c r="C81" i="40"/>
  <c r="D80" i="40"/>
  <c r="C80" i="40"/>
  <c r="D79" i="40"/>
  <c r="C79" i="40"/>
  <c r="D78" i="40"/>
  <c r="C78" i="40"/>
  <c r="D77" i="40"/>
  <c r="C77" i="40"/>
  <c r="E8" i="40"/>
  <c r="D8" i="40"/>
  <c r="E7" i="40"/>
  <c r="E6" i="40"/>
  <c r="E5" i="40"/>
  <c r="D5" i="40"/>
  <c r="J103" i="3"/>
  <c r="L25" i="35"/>
  <c r="O25" i="35" s="1"/>
  <c r="N26" i="35"/>
  <c r="N27" i="35" s="1"/>
  <c r="K26" i="35"/>
  <c r="M26" i="35"/>
  <c r="L26" i="35"/>
  <c r="J26" i="35"/>
  <c r="I24" i="35" a="1"/>
  <c r="I24" i="35" s="1"/>
  <c r="I27" i="35" s="1"/>
  <c r="O90" i="3" s="1"/>
  <c r="G23" i="39"/>
  <c r="AA20" i="13" s="1"/>
  <c r="U20" i="13" s="1"/>
  <c r="G26" i="39"/>
  <c r="AA23" i="13" s="1"/>
  <c r="U23" i="13" s="1"/>
  <c r="G28" i="39"/>
  <c r="AA25" i="13"/>
  <c r="U25" i="13" s="1"/>
  <c r="G32" i="39"/>
  <c r="AA29" i="13" s="1"/>
  <c r="U29" i="13" s="1"/>
  <c r="K19" i="35"/>
  <c r="L19" i="35"/>
  <c r="L20" i="35" s="1"/>
  <c r="I90" i="3" s="1"/>
  <c r="I103" i="3" s="1"/>
  <c r="K18" i="35"/>
  <c r="M18" i="35" s="1"/>
  <c r="K17" i="35"/>
  <c r="K20" i="35"/>
  <c r="K10" i="35"/>
  <c r="G119" i="39"/>
  <c r="G85" i="39"/>
  <c r="G68" i="39"/>
  <c r="G51" i="39"/>
  <c r="H114" i="39"/>
  <c r="H113" i="39"/>
  <c r="H112" i="39"/>
  <c r="H111" i="39"/>
  <c r="H110" i="39"/>
  <c r="H109" i="39"/>
  <c r="H101" i="39"/>
  <c r="H100" i="39"/>
  <c r="H99" i="39"/>
  <c r="H98" i="39"/>
  <c r="H97" i="39"/>
  <c r="H96" i="39"/>
  <c r="H93" i="39"/>
  <c r="H92" i="39"/>
  <c r="H91" i="39"/>
  <c r="H90" i="39"/>
  <c r="H84" i="39"/>
  <c r="H83" i="39"/>
  <c r="H82" i="39"/>
  <c r="H81" i="39"/>
  <c r="H80" i="39"/>
  <c r="H79" i="39"/>
  <c r="H78" i="39"/>
  <c r="H76" i="39"/>
  <c r="H75" i="39"/>
  <c r="H74" i="39"/>
  <c r="H73" i="39"/>
  <c r="H67" i="39"/>
  <c r="H66" i="39"/>
  <c r="H64" i="39"/>
  <c r="H63" i="39"/>
  <c r="H62" i="39"/>
  <c r="H61" i="39"/>
  <c r="H60" i="39"/>
  <c r="H59" i="39"/>
  <c r="H58" i="39"/>
  <c r="H56" i="39"/>
  <c r="H45" i="39"/>
  <c r="H44" i="39"/>
  <c r="H43" i="39"/>
  <c r="V7" i="39"/>
  <c r="U7" i="39"/>
  <c r="T7" i="39"/>
  <c r="S7" i="39"/>
  <c r="P6" i="39"/>
  <c r="O6" i="39"/>
  <c r="N6" i="39"/>
  <c r="M6" i="39"/>
  <c r="G16" i="39"/>
  <c r="G15" i="39"/>
  <c r="G14" i="39"/>
  <c r="G13" i="39"/>
  <c r="E13" i="39"/>
  <c r="G12" i="39"/>
  <c r="E12" i="39"/>
  <c r="D12" i="39"/>
  <c r="G11" i="39"/>
  <c r="F11" i="39"/>
  <c r="E11" i="39"/>
  <c r="D11" i="39"/>
  <c r="F10" i="39"/>
  <c r="E10" i="39"/>
  <c r="D10" i="39"/>
  <c r="G9" i="39"/>
  <c r="G8" i="39"/>
  <c r="E8" i="39"/>
  <c r="D8" i="39"/>
  <c r="G7" i="39"/>
  <c r="E7" i="39"/>
  <c r="D7" i="39"/>
  <c r="G6" i="39"/>
  <c r="E6" i="39"/>
  <c r="D6" i="39"/>
  <c r="G5" i="39"/>
  <c r="D5" i="39"/>
  <c r="E108" i="39"/>
  <c r="E23" i="39" s="1"/>
  <c r="E107" i="39"/>
  <c r="D107" i="39"/>
  <c r="D22" i="39" s="1"/>
  <c r="X19" i="13" s="1"/>
  <c r="G95" i="39"/>
  <c r="G10" i="39" s="1"/>
  <c r="D102" i="39"/>
  <c r="E16" i="39"/>
  <c r="F13" i="39"/>
  <c r="G33" i="39"/>
  <c r="AA30" i="13" s="1"/>
  <c r="G31" i="39"/>
  <c r="AA28" i="13" s="1"/>
  <c r="U28" i="13" s="1"/>
  <c r="G30" i="39"/>
  <c r="AA27" i="13" s="1"/>
  <c r="U27" i="13" s="1"/>
  <c r="G29" i="39"/>
  <c r="AA26" i="13" s="1"/>
  <c r="G25" i="39"/>
  <c r="AA22" i="13"/>
  <c r="U22" i="13" s="1"/>
  <c r="G24" i="39"/>
  <c r="AA21" i="13" s="1"/>
  <c r="U21" i="13" s="1"/>
  <c r="G22" i="39"/>
  <c r="L24" i="35"/>
  <c r="F6" i="39"/>
  <c r="D13" i="39"/>
  <c r="E15" i="39"/>
  <c r="H41" i="39"/>
  <c r="F8" i="39"/>
  <c r="M53" i="13"/>
  <c r="M52" i="13"/>
  <c r="D9" i="35"/>
  <c r="E9" i="35"/>
  <c r="F9" i="35"/>
  <c r="J10" i="35"/>
  <c r="M10" i="35" s="1"/>
  <c r="F83" i="3"/>
  <c r="K83" i="3"/>
  <c r="L83" i="3"/>
  <c r="N83" i="3"/>
  <c r="M83" i="3"/>
  <c r="F84" i="3"/>
  <c r="K84" i="3"/>
  <c r="L84" i="3"/>
  <c r="N84" i="3"/>
  <c r="M84" i="3"/>
  <c r="O84" i="3"/>
  <c r="F85" i="3"/>
  <c r="K85" i="3"/>
  <c r="L85" i="3"/>
  <c r="N85" i="3"/>
  <c r="M85" i="3"/>
  <c r="O85" i="3"/>
  <c r="F86" i="3"/>
  <c r="K86" i="3"/>
  <c r="M86" i="3"/>
  <c r="N86" i="3"/>
  <c r="O86" i="3"/>
  <c r="I86" i="3"/>
  <c r="F87" i="3"/>
  <c r="L87" i="3"/>
  <c r="N87" i="3"/>
  <c r="M87" i="3"/>
  <c r="O87" i="3"/>
  <c r="J84" i="3"/>
  <c r="J86" i="3"/>
  <c r="I83" i="3"/>
  <c r="J71" i="3"/>
  <c r="J97" i="3" s="1"/>
  <c r="K71" i="3"/>
  <c r="K97" i="3" s="1"/>
  <c r="L71" i="3"/>
  <c r="L97" i="3" s="1"/>
  <c r="M71" i="3"/>
  <c r="M97" i="3" s="1"/>
  <c r="N71" i="3"/>
  <c r="N97" i="3" s="1"/>
  <c r="O71" i="3"/>
  <c r="O97" i="3" s="1"/>
  <c r="E20" i="27"/>
  <c r="F20" i="27" s="1"/>
  <c r="G20" i="27" s="1"/>
  <c r="H20" i="27" s="1"/>
  <c r="E19" i="27"/>
  <c r="F19" i="27" s="1"/>
  <c r="G19" i="27" s="1"/>
  <c r="H19" i="27" s="1"/>
  <c r="E18" i="27"/>
  <c r="F18" i="27" s="1"/>
  <c r="G18" i="27" s="1"/>
  <c r="H18" i="27" s="1"/>
  <c r="E17" i="27"/>
  <c r="F17" i="27" s="1"/>
  <c r="G17" i="27" s="1"/>
  <c r="E16" i="27"/>
  <c r="F16" i="27" s="1"/>
  <c r="H15" i="27"/>
  <c r="E14" i="27"/>
  <c r="F14" i="27" s="1"/>
  <c r="G14" i="27" s="1"/>
  <c r="H14" i="27" s="1"/>
  <c r="E13" i="27"/>
  <c r="F13" i="27"/>
  <c r="G13" i="27" s="1"/>
  <c r="E10" i="27"/>
  <c r="F10" i="27" s="1"/>
  <c r="G10" i="27" s="1"/>
  <c r="H10" i="27" s="1"/>
  <c r="E9" i="27"/>
  <c r="F9" i="27" s="1"/>
  <c r="G9" i="27" s="1"/>
  <c r="E8" i="27"/>
  <c r="F8" i="27" s="1"/>
  <c r="E7" i="27"/>
  <c r="F7" i="27" s="1"/>
  <c r="G7" i="27" s="1"/>
  <c r="H7" i="27" s="1"/>
  <c r="G16" i="27"/>
  <c r="E11" i="27"/>
  <c r="F11" i="27" s="1"/>
  <c r="E12" i="27"/>
  <c r="F12" i="27"/>
  <c r="G12" i="27" s="1"/>
  <c r="H12" i="27" s="1"/>
  <c r="E23" i="27"/>
  <c r="F23" i="27" s="1"/>
  <c r="G23" i="27" s="1"/>
  <c r="H23" i="27" s="1"/>
  <c r="E24" i="27"/>
  <c r="F24" i="27" s="1"/>
  <c r="G24" i="27" s="1"/>
  <c r="H24" i="27" s="1"/>
  <c r="E21" i="27"/>
  <c r="F21" i="27"/>
  <c r="E22" i="27"/>
  <c r="F22" i="27" s="1"/>
  <c r="G22" i="27" s="1"/>
  <c r="H22" i="27" s="1"/>
  <c r="J66" i="3"/>
  <c r="J70" i="3"/>
  <c r="K59" i="3"/>
  <c r="K65" i="3"/>
  <c r="K66" i="3"/>
  <c r="L65" i="3"/>
  <c r="L66" i="3"/>
  <c r="L70" i="3"/>
  <c r="M59" i="3"/>
  <c r="M65" i="3"/>
  <c r="M66" i="3"/>
  <c r="M70" i="3"/>
  <c r="N59" i="3"/>
  <c r="N65" i="3"/>
  <c r="N66" i="3"/>
  <c r="N70" i="3"/>
  <c r="O59" i="3"/>
  <c r="O65" i="3"/>
  <c r="O66" i="3"/>
  <c r="O70" i="3"/>
  <c r="J63" i="3"/>
  <c r="K63" i="3"/>
  <c r="L63" i="3"/>
  <c r="N63" i="3"/>
  <c r="J61" i="3"/>
  <c r="K61" i="3"/>
  <c r="L61" i="3"/>
  <c r="M61" i="3"/>
  <c r="N61" i="3"/>
  <c r="O61" i="3"/>
  <c r="K58" i="3"/>
  <c r="L58" i="3"/>
  <c r="M58" i="3"/>
  <c r="N58" i="3"/>
  <c r="E57" i="3"/>
  <c r="J57" i="3"/>
  <c r="K57" i="3"/>
  <c r="M57" i="3"/>
  <c r="N57" i="3"/>
  <c r="O57" i="3"/>
  <c r="K67" i="3"/>
  <c r="L67" i="3"/>
  <c r="M67" i="3"/>
  <c r="J55" i="3"/>
  <c r="K55" i="3"/>
  <c r="L55" i="3"/>
  <c r="M55" i="3"/>
  <c r="N55" i="3"/>
  <c r="O55" i="3"/>
  <c r="J56" i="3"/>
  <c r="J60" i="3"/>
  <c r="J68" i="3"/>
  <c r="K56" i="3"/>
  <c r="K60" i="3"/>
  <c r="K62" i="3"/>
  <c r="K64" i="3"/>
  <c r="K69" i="3"/>
  <c r="L56" i="3"/>
  <c r="L62" i="3"/>
  <c r="L68" i="3"/>
  <c r="L69" i="3"/>
  <c r="M60" i="3"/>
  <c r="M62" i="3"/>
  <c r="M64" i="3"/>
  <c r="M68" i="3"/>
  <c r="M69" i="3"/>
  <c r="N56" i="3"/>
  <c r="N60" i="3"/>
  <c r="N64" i="3"/>
  <c r="N68" i="3"/>
  <c r="N69" i="3"/>
  <c r="O56" i="3"/>
  <c r="O62" i="3"/>
  <c r="O64" i="3"/>
  <c r="O69" i="3"/>
  <c r="J74" i="3"/>
  <c r="K74" i="3"/>
  <c r="L74" i="3"/>
  <c r="M74" i="3"/>
  <c r="N74" i="3"/>
  <c r="O74" i="3"/>
  <c r="J77" i="3"/>
  <c r="J79" i="3"/>
  <c r="K77" i="3"/>
  <c r="K79" i="3"/>
  <c r="L77" i="3"/>
  <c r="L79" i="3"/>
  <c r="M77" i="3"/>
  <c r="M79" i="3"/>
  <c r="N79" i="3"/>
  <c r="O77" i="3"/>
  <c r="O79" i="3"/>
  <c r="K78" i="3"/>
  <c r="K14" i="48" s="1"/>
  <c r="K19" i="48" s="1"/>
  <c r="L78" i="3"/>
  <c r="L14" i="48" s="1"/>
  <c r="M78" i="3"/>
  <c r="M14" i="48" s="1"/>
  <c r="M19" i="48" s="1"/>
  <c r="O78" i="3"/>
  <c r="O14" i="48" s="1"/>
  <c r="O19" i="48" s="1"/>
  <c r="J76" i="3"/>
  <c r="K76" i="3"/>
  <c r="L76" i="3"/>
  <c r="M76" i="3"/>
  <c r="N76" i="3"/>
  <c r="J80" i="3"/>
  <c r="K80" i="3"/>
  <c r="L80" i="3"/>
  <c r="M80" i="3"/>
  <c r="N80" i="3"/>
  <c r="O80" i="3"/>
  <c r="J73" i="3"/>
  <c r="J98" i="3" s="1"/>
  <c r="K73" i="3"/>
  <c r="K98" i="3" s="1"/>
  <c r="L73" i="3"/>
  <c r="L98" i="3" s="1"/>
  <c r="M73" i="3"/>
  <c r="M98" i="3" s="1"/>
  <c r="N73" i="3"/>
  <c r="N98" i="3" s="1"/>
  <c r="O73" i="3"/>
  <c r="O98" i="3" s="1"/>
  <c r="J72" i="3"/>
  <c r="J99" i="3" s="1"/>
  <c r="K72" i="3"/>
  <c r="K99" i="3" s="1"/>
  <c r="L72" i="3"/>
  <c r="S44" i="3"/>
  <c r="N72" i="3"/>
  <c r="N99" i="3" s="1"/>
  <c r="O72" i="3"/>
  <c r="O99" i="3" s="1"/>
  <c r="AD7" i="3"/>
  <c r="AE5" i="3" s="1"/>
  <c r="R5" i="20"/>
  <c r="S5" i="20"/>
  <c r="T5" i="20"/>
  <c r="R6" i="20"/>
  <c r="S6" i="20"/>
  <c r="T6" i="20"/>
  <c r="R7" i="20"/>
  <c r="S7" i="20"/>
  <c r="T7" i="20"/>
  <c r="R8" i="20"/>
  <c r="S8" i="20"/>
  <c r="T8" i="20"/>
  <c r="R9" i="20"/>
  <c r="S9" i="20"/>
  <c r="T9" i="20"/>
  <c r="R10" i="20"/>
  <c r="S10" i="20"/>
  <c r="T10" i="20"/>
  <c r="U10" i="20"/>
  <c r="R11" i="20"/>
  <c r="S11" i="20"/>
  <c r="T11" i="20"/>
  <c r="R12" i="20"/>
  <c r="S12" i="20"/>
  <c r="T12" i="20"/>
  <c r="R13" i="20"/>
  <c r="S13" i="20"/>
  <c r="T13" i="20"/>
  <c r="E75" i="3"/>
  <c r="L57" i="3"/>
  <c r="O58" i="3"/>
  <c r="E63" i="3"/>
  <c r="L59" i="3"/>
  <c r="J59" i="3"/>
  <c r="N75" i="3"/>
  <c r="J65" i="3"/>
  <c r="M75" i="3"/>
  <c r="K75" i="3"/>
  <c r="O60" i="3"/>
  <c r="L64" i="3"/>
  <c r="J64" i="3"/>
  <c r="J58" i="3"/>
  <c r="N67" i="3"/>
  <c r="F97" i="3"/>
  <c r="I75" i="3"/>
  <c r="N78" i="3"/>
  <c r="N14" i="48" s="1"/>
  <c r="N19" i="48" s="1"/>
  <c r="O68" i="3"/>
  <c r="K68" i="3"/>
  <c r="J62" i="3"/>
  <c r="E62" i="3"/>
  <c r="O67" i="3"/>
  <c r="O63" i="3"/>
  <c r="H17" i="27"/>
  <c r="H13" i="27"/>
  <c r="G21" i="27"/>
  <c r="G11" i="27"/>
  <c r="H11" i="27" s="1"/>
  <c r="H9" i="27"/>
  <c r="H16" i="27"/>
  <c r="H21" i="27"/>
  <c r="F11" i="41" l="1"/>
  <c r="F5" i="41"/>
  <c r="F7" i="41"/>
  <c r="F84" i="48"/>
  <c r="F14" i="48"/>
  <c r="L19" i="48"/>
  <c r="F68" i="39"/>
  <c r="F7" i="39"/>
  <c r="H7" i="39" s="1"/>
  <c r="H116" i="39"/>
  <c r="AE7" i="3"/>
  <c r="AE6" i="3"/>
  <c r="D14" i="39"/>
  <c r="E26" i="39"/>
  <c r="Y23" i="13" s="1"/>
  <c r="S23" i="13" s="1"/>
  <c r="D30" i="39"/>
  <c r="X27" i="13" s="1"/>
  <c r="R27" i="13" s="1"/>
  <c r="E9" i="39"/>
  <c r="F12" i="42"/>
  <c r="F19" i="42"/>
  <c r="F15" i="42"/>
  <c r="F23" i="42"/>
  <c r="F3" i="42"/>
  <c r="F16" i="42"/>
  <c r="F4" i="42"/>
  <c r="I37" i="3"/>
  <c r="I49" i="3" s="1"/>
  <c r="E84" i="3"/>
  <c r="F10" i="42"/>
  <c r="F7" i="42"/>
  <c r="F18" i="42"/>
  <c r="F14" i="42"/>
  <c r="F22" i="42"/>
  <c r="D22" i="42"/>
  <c r="D11" i="42"/>
  <c r="F8" i="42"/>
  <c r="F21" i="42"/>
  <c r="F49" i="42" s="1"/>
  <c r="D23" i="42"/>
  <c r="E85" i="3"/>
  <c r="E83" i="3"/>
  <c r="F9" i="42"/>
  <c r="F6" i="42"/>
  <c r="F17" i="42"/>
  <c r="F20" i="42"/>
  <c r="F11" i="42"/>
  <c r="K94" i="3"/>
  <c r="I56" i="3"/>
  <c r="F43" i="41" s="1"/>
  <c r="I80" i="3"/>
  <c r="E74" i="3"/>
  <c r="I62" i="3"/>
  <c r="E64" i="3"/>
  <c r="E55" i="3"/>
  <c r="I67" i="3"/>
  <c r="I58" i="3"/>
  <c r="E61" i="3"/>
  <c r="I63" i="3"/>
  <c r="I65" i="3"/>
  <c r="E59" i="3"/>
  <c r="I85" i="3"/>
  <c r="N94" i="3"/>
  <c r="F37" i="3"/>
  <c r="F49" i="3" s="1"/>
  <c r="D44" i="3"/>
  <c r="M44" i="3"/>
  <c r="E72" i="3"/>
  <c r="E99" i="3" s="1"/>
  <c r="I73" i="3"/>
  <c r="I98" i="3" s="1"/>
  <c r="E80" i="3"/>
  <c r="E68" i="3"/>
  <c r="I55" i="3"/>
  <c r="I61" i="3"/>
  <c r="E65" i="3"/>
  <c r="E69" i="3"/>
  <c r="E60" i="3"/>
  <c r="W6" i="3"/>
  <c r="W15" i="3"/>
  <c r="O94" i="3"/>
  <c r="L94" i="3"/>
  <c r="J94" i="3"/>
  <c r="F30" i="3"/>
  <c r="J30" i="3"/>
  <c r="F96" i="3"/>
  <c r="T44" i="3"/>
  <c r="I71" i="3"/>
  <c r="I97" i="3" s="1"/>
  <c r="Q44" i="3"/>
  <c r="H44" i="3"/>
  <c r="I69" i="3"/>
  <c r="I60" i="3"/>
  <c r="D64" i="3"/>
  <c r="E67" i="3"/>
  <c r="E58" i="3"/>
  <c r="I66" i="3"/>
  <c r="E70" i="3"/>
  <c r="I70" i="3"/>
  <c r="E66" i="3"/>
  <c r="R97" i="3"/>
  <c r="R71" i="3"/>
  <c r="U30" i="3"/>
  <c r="E44" i="3"/>
  <c r="R44" i="3"/>
  <c r="V37" i="3"/>
  <c r="V49" i="3" s="1"/>
  <c r="I72" i="3"/>
  <c r="R65" i="3"/>
  <c r="R59" i="3"/>
  <c r="D87" i="3"/>
  <c r="E94" i="3"/>
  <c r="W22" i="3"/>
  <c r="N44" i="3"/>
  <c r="M96" i="3"/>
  <c r="R64" i="3"/>
  <c r="W18" i="3"/>
  <c r="D69" i="3"/>
  <c r="D68" i="3"/>
  <c r="W13" i="3"/>
  <c r="W11" i="3"/>
  <c r="W5" i="3"/>
  <c r="T30" i="3"/>
  <c r="W7" i="3"/>
  <c r="R61" i="3"/>
  <c r="D61" i="3"/>
  <c r="W12" i="3"/>
  <c r="D63" i="3"/>
  <c r="G63" i="3" s="1"/>
  <c r="W19" i="3"/>
  <c r="D70" i="3"/>
  <c r="D66" i="3"/>
  <c r="D65" i="3"/>
  <c r="R75" i="3"/>
  <c r="R58" i="3"/>
  <c r="O44" i="3"/>
  <c r="F44" i="3"/>
  <c r="D73" i="3"/>
  <c r="D97" i="3"/>
  <c r="E76" i="3"/>
  <c r="I78" i="3"/>
  <c r="I14" i="48" s="1"/>
  <c r="I19" i="48" s="1"/>
  <c r="I79" i="3"/>
  <c r="D74" i="3"/>
  <c r="I68" i="3"/>
  <c r="I84" i="3"/>
  <c r="H37" i="3"/>
  <c r="H49" i="3" s="1"/>
  <c r="W21" i="3"/>
  <c r="W20" i="3"/>
  <c r="R78" i="3"/>
  <c r="I87" i="3"/>
  <c r="P37" i="3"/>
  <c r="P49" i="3" s="1"/>
  <c r="Q37" i="3"/>
  <c r="Q49" i="3" s="1"/>
  <c r="W24" i="3"/>
  <c r="W41" i="3" s="1"/>
  <c r="O103" i="3"/>
  <c r="D90" i="3"/>
  <c r="D103" i="3" s="1"/>
  <c r="O95" i="3"/>
  <c r="R79" i="3"/>
  <c r="K30" i="3"/>
  <c r="K70" i="3"/>
  <c r="R70" i="3" s="1"/>
  <c r="E73" i="3"/>
  <c r="E98" i="3" s="1"/>
  <c r="M94" i="3"/>
  <c r="I30" i="3"/>
  <c r="M72" i="3"/>
  <c r="M99" i="3" s="1"/>
  <c r="J69" i="3"/>
  <c r="L60" i="3"/>
  <c r="L95" i="3" s="1"/>
  <c r="I44" i="3"/>
  <c r="E37" i="3"/>
  <c r="E49" i="3" s="1"/>
  <c r="H6" i="39"/>
  <c r="H94" i="39"/>
  <c r="H48" i="39"/>
  <c r="K96" i="3"/>
  <c r="L99" i="3"/>
  <c r="W17" i="3"/>
  <c r="R66" i="3"/>
  <c r="I94" i="3"/>
  <c r="T37" i="3"/>
  <c r="T49" i="3" s="1"/>
  <c r="J37" i="3"/>
  <c r="J49" i="3" s="1"/>
  <c r="D58" i="3"/>
  <c r="R80" i="3"/>
  <c r="P30" i="3"/>
  <c r="W10" i="3"/>
  <c r="R69" i="3"/>
  <c r="M63" i="3"/>
  <c r="I76" i="3"/>
  <c r="D76" i="3"/>
  <c r="I74" i="3"/>
  <c r="W9" i="3"/>
  <c r="D67" i="3"/>
  <c r="G67" i="3" s="1"/>
  <c r="I57" i="3"/>
  <c r="D57" i="3"/>
  <c r="G57" i="3" s="1"/>
  <c r="W8" i="3"/>
  <c r="D59" i="3"/>
  <c r="M24" i="35"/>
  <c r="M27" i="35" s="1"/>
  <c r="L90" i="3" s="1"/>
  <c r="L103" i="3" s="1"/>
  <c r="D9" i="39"/>
  <c r="D17" i="39" s="1"/>
  <c r="R68" i="3"/>
  <c r="S37" i="3"/>
  <c r="S49" i="3" s="1"/>
  <c r="N37" i="3"/>
  <c r="N49" i="3" s="1"/>
  <c r="G37" i="3"/>
  <c r="G49" i="3" s="1"/>
  <c r="J24" i="35"/>
  <c r="J27" i="35" s="1"/>
  <c r="M90" i="3" s="1"/>
  <c r="H11" i="39"/>
  <c r="H50" i="39"/>
  <c r="W14" i="3"/>
  <c r="K24" i="35"/>
  <c r="K27" i="35" s="1"/>
  <c r="N90" i="3" s="1"/>
  <c r="N103" i="3" s="1"/>
  <c r="K44" i="3"/>
  <c r="I77" i="3"/>
  <c r="I64" i="3"/>
  <c r="D62" i="3"/>
  <c r="G62" i="3" s="1"/>
  <c r="D60" i="3"/>
  <c r="D56" i="3"/>
  <c r="W4" i="3"/>
  <c r="W42" i="3" s="1"/>
  <c r="W16" i="3"/>
  <c r="E86" i="3"/>
  <c r="H46" i="39"/>
  <c r="J55" i="41"/>
  <c r="F16" i="39"/>
  <c r="F102" i="39"/>
  <c r="E51" i="39"/>
  <c r="H47" i="39"/>
  <c r="F12" i="39"/>
  <c r="H12" i="39" s="1"/>
  <c r="H118" i="39"/>
  <c r="F31" i="39"/>
  <c r="Z28" i="13" s="1"/>
  <c r="T28" i="13" s="1"/>
  <c r="D85" i="39"/>
  <c r="H13" i="39"/>
  <c r="D33" i="39"/>
  <c r="X30" i="13" s="1"/>
  <c r="R30" i="13" s="1"/>
  <c r="H42" i="39"/>
  <c r="H107" i="39"/>
  <c r="H8" i="39"/>
  <c r="H108" i="39"/>
  <c r="E32" i="39"/>
  <c r="Y29" i="13" s="1"/>
  <c r="S29" i="13" s="1"/>
  <c r="H95" i="39"/>
  <c r="H115" i="39"/>
  <c r="L96" i="3"/>
  <c r="W28" i="3"/>
  <c r="Q30" i="3"/>
  <c r="R30" i="3"/>
  <c r="S30" i="3"/>
  <c r="E56" i="3"/>
  <c r="O30" i="3"/>
  <c r="W27" i="3"/>
  <c r="M30" i="3"/>
  <c r="V30" i="3"/>
  <c r="V44" i="3"/>
  <c r="V47" i="3" s="1"/>
  <c r="P44" i="3"/>
  <c r="E71" i="3"/>
  <c r="N30" i="3"/>
  <c r="G44" i="3"/>
  <c r="G30" i="3"/>
  <c r="W29" i="3"/>
  <c r="O76" i="3"/>
  <c r="O81" i="3" s="1"/>
  <c r="E30" i="3"/>
  <c r="W26" i="3"/>
  <c r="R73" i="3"/>
  <c r="R55" i="3"/>
  <c r="U44" i="3"/>
  <c r="R67" i="3"/>
  <c r="M56" i="3"/>
  <c r="R57" i="3"/>
  <c r="W23" i="3"/>
  <c r="W25" i="3"/>
  <c r="W43" i="3" s="1"/>
  <c r="L30" i="3"/>
  <c r="H30" i="3"/>
  <c r="N62" i="3"/>
  <c r="R62" i="3" s="1"/>
  <c r="R74" i="3"/>
  <c r="J78" i="3"/>
  <c r="N77" i="3"/>
  <c r="R77" i="3" s="1"/>
  <c r="D72" i="3"/>
  <c r="L86" i="3"/>
  <c r="R86" i="3" s="1"/>
  <c r="M37" i="3"/>
  <c r="M49" i="3" s="1"/>
  <c r="D86" i="3"/>
  <c r="Y20" i="13"/>
  <c r="F54" i="41"/>
  <c r="F12" i="41" s="1"/>
  <c r="F32" i="39"/>
  <c r="Z29" i="13" s="1"/>
  <c r="T29" i="13" s="1"/>
  <c r="F15" i="39"/>
  <c r="H15" i="39" s="1"/>
  <c r="F26" i="39"/>
  <c r="Z23" i="13" s="1"/>
  <c r="T23" i="13" s="1"/>
  <c r="F9" i="39"/>
  <c r="H77" i="39"/>
  <c r="F85" i="39"/>
  <c r="F22" i="39"/>
  <c r="Z19" i="13" s="1"/>
  <c r="T19" i="13" s="1"/>
  <c r="H39" i="39"/>
  <c r="F5" i="39"/>
  <c r="H5" i="39" s="1"/>
  <c r="F51" i="39"/>
  <c r="E10" i="13"/>
  <c r="E6" i="13"/>
  <c r="E11" i="13"/>
  <c r="E15" i="13"/>
  <c r="E12" i="13"/>
  <c r="E4" i="13"/>
  <c r="E13" i="13"/>
  <c r="E9" i="13"/>
  <c r="E7" i="13"/>
  <c r="E5" i="13"/>
  <c r="E14" i="13"/>
  <c r="F95" i="3"/>
  <c r="J67" i="3"/>
  <c r="K37" i="3"/>
  <c r="K49" i="3" s="1"/>
  <c r="W35" i="3"/>
  <c r="O37" i="3"/>
  <c r="O49" i="3" s="1"/>
  <c r="E87" i="3"/>
  <c r="K87" i="3"/>
  <c r="K88" i="3" s="1"/>
  <c r="L37" i="3"/>
  <c r="L49" i="3" s="1"/>
  <c r="D84" i="3"/>
  <c r="G84" i="3" s="1"/>
  <c r="W33" i="3"/>
  <c r="O83" i="3"/>
  <c r="R83" i="3" s="1"/>
  <c r="U37" i="3"/>
  <c r="U49" i="3" s="1"/>
  <c r="AA19" i="13"/>
  <c r="U26" i="13"/>
  <c r="U30" i="13"/>
  <c r="F5" i="40"/>
  <c r="D119" i="39"/>
  <c r="H117" i="39"/>
  <c r="D31" i="39"/>
  <c r="X28" i="13" s="1"/>
  <c r="R28" i="13" s="1"/>
  <c r="D51" i="39"/>
  <c r="X25" i="13"/>
  <c r="R25" i="13" s="1"/>
  <c r="H28" i="39"/>
  <c r="X22" i="13"/>
  <c r="H25" i="39"/>
  <c r="R37" i="3"/>
  <c r="R49" i="3" s="1"/>
  <c r="D83" i="3"/>
  <c r="J85" i="3"/>
  <c r="W34" i="3"/>
  <c r="D85" i="3"/>
  <c r="F119" i="39"/>
  <c r="D75" i="3"/>
  <c r="G75" i="3" s="1"/>
  <c r="P75" i="3" s="1"/>
  <c r="D32" i="39"/>
  <c r="Y26" i="13"/>
  <c r="S26" i="13" s="1"/>
  <c r="H29" i="39"/>
  <c r="L44" i="3"/>
  <c r="J44" i="3"/>
  <c r="W32" i="3"/>
  <c r="E119" i="39"/>
  <c r="H49" i="39"/>
  <c r="E68" i="39"/>
  <c r="H68" i="39" s="1"/>
  <c r="H65" i="39"/>
  <c r="E14" i="39"/>
  <c r="H14" i="39" s="1"/>
  <c r="W36" i="3"/>
  <c r="N52" i="13"/>
  <c r="H10" i="39"/>
  <c r="M19" i="35"/>
  <c r="F33" i="39"/>
  <c r="Z30" i="13" s="1"/>
  <c r="T30" i="13" s="1"/>
  <c r="F94" i="3"/>
  <c r="N53" i="13"/>
  <c r="G27" i="39"/>
  <c r="O24" i="35"/>
  <c r="O27" i="35" s="1"/>
  <c r="F23" i="39"/>
  <c r="Z20" i="13" s="1"/>
  <c r="T20" i="13" s="1"/>
  <c r="D37" i="3"/>
  <c r="D49" i="3" s="1"/>
  <c r="H24" i="39"/>
  <c r="H16" i="39"/>
  <c r="G102" i="39"/>
  <c r="H102" i="39" s="1"/>
  <c r="L27" i="35"/>
  <c r="K90" i="3" s="1"/>
  <c r="W7" i="39"/>
  <c r="O26" i="35"/>
  <c r="Q4" i="13"/>
  <c r="I59" i="3"/>
  <c r="D26" i="39"/>
  <c r="E33" i="39"/>
  <c r="F27" i="27"/>
  <c r="G27" i="27" s="1"/>
  <c r="G31" i="27" s="1"/>
  <c r="G32" i="27" s="1"/>
  <c r="G33" i="27" s="1"/>
  <c r="G8" i="27"/>
  <c r="H8" i="27" s="1"/>
  <c r="H27" i="27" s="1"/>
  <c r="R98" i="3"/>
  <c r="N88" i="3"/>
  <c r="N102" i="3" s="1"/>
  <c r="R85" i="3"/>
  <c r="R84" i="3"/>
  <c r="M88" i="3"/>
  <c r="M102" i="3" s="1"/>
  <c r="F88" i="3"/>
  <c r="J87" i="3"/>
  <c r="J83" i="3"/>
  <c r="G17" i="39"/>
  <c r="E22" i="39"/>
  <c r="F30" i="39"/>
  <c r="E31" i="39"/>
  <c r="J20" i="35"/>
  <c r="F63" i="42" l="1"/>
  <c r="F55" i="41"/>
  <c r="F6" i="41"/>
  <c r="F45" i="42"/>
  <c r="F47" i="42"/>
  <c r="F51" i="42"/>
  <c r="F19" i="48"/>
  <c r="AC98" i="48"/>
  <c r="J96" i="3"/>
  <c r="J14" i="48"/>
  <c r="J19" i="48" s="1"/>
  <c r="D14" i="48"/>
  <c r="AA98" i="48" s="1"/>
  <c r="U98" i="48" s="1"/>
  <c r="D96" i="3"/>
  <c r="D81" i="3"/>
  <c r="E81" i="3"/>
  <c r="E14" i="48"/>
  <c r="I70" i="48"/>
  <c r="F71" i="48"/>
  <c r="F85" i="48" s="1"/>
  <c r="G54" i="48"/>
  <c r="P54" i="48" s="1"/>
  <c r="I67" i="48"/>
  <c r="I71" i="48"/>
  <c r="L73" i="48"/>
  <c r="L78" i="48" s="1"/>
  <c r="F64" i="42"/>
  <c r="H9" i="39"/>
  <c r="D51" i="42"/>
  <c r="G85" i="3"/>
  <c r="P85" i="3" s="1"/>
  <c r="G83" i="3"/>
  <c r="L88" i="3"/>
  <c r="L102" i="3" s="1"/>
  <c r="R90" i="3"/>
  <c r="G79" i="3"/>
  <c r="P79" i="3" s="1"/>
  <c r="G55" i="3"/>
  <c r="R60" i="3"/>
  <c r="I88" i="3"/>
  <c r="I102" i="3" s="1"/>
  <c r="M55" i="41"/>
  <c r="G60" i="3"/>
  <c r="P60" i="3" s="1"/>
  <c r="H85" i="39"/>
  <c r="C11" i="42"/>
  <c r="O55" i="41"/>
  <c r="G64" i="3"/>
  <c r="P64" i="3" s="1"/>
  <c r="M47" i="3"/>
  <c r="M51" i="3" s="1"/>
  <c r="F48" i="42"/>
  <c r="G66" i="3"/>
  <c r="P66" i="3" s="1"/>
  <c r="P55" i="3"/>
  <c r="C22" i="42"/>
  <c r="G70" i="3"/>
  <c r="G61" i="3"/>
  <c r="P61" i="3" s="1"/>
  <c r="D64" i="42"/>
  <c r="F62" i="42"/>
  <c r="F60" i="42"/>
  <c r="I47" i="3"/>
  <c r="I51" i="3" s="1"/>
  <c r="G74" i="3"/>
  <c r="P74" i="3" s="1"/>
  <c r="L81" i="3"/>
  <c r="G65" i="3"/>
  <c r="P65" i="3" s="1"/>
  <c r="G58" i="3"/>
  <c r="P58" i="3" s="1"/>
  <c r="G80" i="3"/>
  <c r="P80" i="3" s="1"/>
  <c r="G76" i="3"/>
  <c r="P76" i="3" s="1"/>
  <c r="O47" i="3"/>
  <c r="O51" i="3" s="1"/>
  <c r="G59" i="3"/>
  <c r="P59" i="3" s="1"/>
  <c r="E47" i="3"/>
  <c r="E51" i="3" s="1"/>
  <c r="R99" i="3"/>
  <c r="P47" i="3"/>
  <c r="P51" i="3" s="1"/>
  <c r="R94" i="3"/>
  <c r="E88" i="3"/>
  <c r="E102" i="3" s="1"/>
  <c r="J95" i="3"/>
  <c r="G86" i="3"/>
  <c r="P86" i="3" s="1"/>
  <c r="Q47" i="3"/>
  <c r="Q51" i="3" s="1"/>
  <c r="T47" i="3"/>
  <c r="T51" i="3" s="1"/>
  <c r="N47" i="3"/>
  <c r="N51" i="3" s="1"/>
  <c r="G68" i="3"/>
  <c r="P68" i="3" s="1"/>
  <c r="K47" i="3"/>
  <c r="K51" i="3" s="1"/>
  <c r="G69" i="3"/>
  <c r="P69" i="3" s="1"/>
  <c r="G87" i="3"/>
  <c r="P87" i="3" s="1"/>
  <c r="P63" i="3"/>
  <c r="O88" i="3"/>
  <c r="O102" i="3" s="1"/>
  <c r="F47" i="3"/>
  <c r="F51" i="3" s="1"/>
  <c r="P84" i="3"/>
  <c r="G47" i="3"/>
  <c r="G51" i="3" s="1"/>
  <c r="V51" i="3"/>
  <c r="G77" i="3"/>
  <c r="P77" i="3" s="1"/>
  <c r="L100" i="3"/>
  <c r="R87" i="3"/>
  <c r="R72" i="3"/>
  <c r="P57" i="3"/>
  <c r="I99" i="3"/>
  <c r="I69" i="48" s="1"/>
  <c r="I81" i="3"/>
  <c r="H47" i="3"/>
  <c r="H51" i="3" s="1"/>
  <c r="W49" i="3"/>
  <c r="R63" i="3"/>
  <c r="E96" i="3"/>
  <c r="F13" i="42"/>
  <c r="R47" i="3"/>
  <c r="R51" i="3" s="1"/>
  <c r="G78" i="3"/>
  <c r="P78" i="3" s="1"/>
  <c r="S9" i="39"/>
  <c r="I12" i="35"/>
  <c r="L4" i="13"/>
  <c r="L6" i="13" s="1"/>
  <c r="S47" i="3"/>
  <c r="S51" i="3" s="1"/>
  <c r="P70" i="3"/>
  <c r="K95" i="3"/>
  <c r="W30" i="3"/>
  <c r="F100" i="3"/>
  <c r="W44" i="3"/>
  <c r="I96" i="3"/>
  <c r="K81" i="3"/>
  <c r="M103" i="3"/>
  <c r="L47" i="3"/>
  <c r="L51" i="3" s="1"/>
  <c r="D95" i="3"/>
  <c r="H119" i="39"/>
  <c r="E17" i="39"/>
  <c r="F17" i="39"/>
  <c r="U9" i="39" s="1"/>
  <c r="X23" i="13"/>
  <c r="R23" i="13" s="1"/>
  <c r="H26" i="39"/>
  <c r="W37" i="3"/>
  <c r="D99" i="3"/>
  <c r="G72" i="3"/>
  <c r="P72" i="3" s="1"/>
  <c r="D98" i="3"/>
  <c r="G73" i="3"/>
  <c r="P73" i="3" s="1"/>
  <c r="N81" i="3"/>
  <c r="E95" i="3"/>
  <c r="G56" i="3"/>
  <c r="P56" i="3" s="1"/>
  <c r="N95" i="3"/>
  <c r="D47" i="3"/>
  <c r="D51" i="3" s="1"/>
  <c r="I95" i="3"/>
  <c r="H27" i="39"/>
  <c r="AA24" i="13"/>
  <c r="AA31" i="13" s="1"/>
  <c r="O19" i="13" s="1"/>
  <c r="H4" i="13" s="1"/>
  <c r="R22" i="13"/>
  <c r="G34" i="39"/>
  <c r="H51" i="39"/>
  <c r="H23" i="39"/>
  <c r="P62" i="3"/>
  <c r="R76" i="3"/>
  <c r="O96" i="3"/>
  <c r="X29" i="13"/>
  <c r="R29" i="13" s="1"/>
  <c r="H32" i="39"/>
  <c r="U19" i="13"/>
  <c r="R56" i="3"/>
  <c r="M81" i="3"/>
  <c r="M95" i="3"/>
  <c r="E97" i="3"/>
  <c r="G71" i="3"/>
  <c r="P71" i="3" s="1"/>
  <c r="H33" i="39"/>
  <c r="Y30" i="13"/>
  <c r="S30" i="13" s="1"/>
  <c r="K103" i="3"/>
  <c r="D88" i="3"/>
  <c r="D102" i="3" s="1"/>
  <c r="D34" i="39"/>
  <c r="P67" i="3"/>
  <c r="J81" i="3"/>
  <c r="U47" i="3"/>
  <c r="U51" i="3" s="1"/>
  <c r="J47" i="3"/>
  <c r="J51" i="3" s="1"/>
  <c r="N96" i="3"/>
  <c r="I25" i="27"/>
  <c r="I22" i="27"/>
  <c r="I20" i="27"/>
  <c r="I7" i="27"/>
  <c r="I11" i="27"/>
  <c r="I15" i="27"/>
  <c r="I12" i="27"/>
  <c r="I16" i="27"/>
  <c r="I9" i="27"/>
  <c r="I26" i="27"/>
  <c r="I18" i="27"/>
  <c r="I24" i="27"/>
  <c r="I13" i="27"/>
  <c r="I14" i="27"/>
  <c r="I10" i="27"/>
  <c r="I17" i="27"/>
  <c r="H28" i="27"/>
  <c r="I19" i="27"/>
  <c r="I23" i="27"/>
  <c r="I21" i="27"/>
  <c r="M20" i="35"/>
  <c r="E90" i="3"/>
  <c r="J88" i="3"/>
  <c r="J102" i="3" s="1"/>
  <c r="F102" i="3"/>
  <c r="Y28" i="13"/>
  <c r="S28" i="13" s="1"/>
  <c r="R36" i="13" s="1"/>
  <c r="H31" i="39"/>
  <c r="V9" i="39"/>
  <c r="L12" i="35"/>
  <c r="L55" i="41"/>
  <c r="P83" i="3"/>
  <c r="Z27" i="13"/>
  <c r="F34" i="39"/>
  <c r="H30" i="39"/>
  <c r="Y19" i="13"/>
  <c r="H22" i="39"/>
  <c r="E34" i="39"/>
  <c r="I8" i="27"/>
  <c r="K102" i="3"/>
  <c r="C23" i="42"/>
  <c r="C51" i="42" l="1"/>
  <c r="I73" i="48"/>
  <c r="I78" i="48" s="1"/>
  <c r="D49" i="48"/>
  <c r="E19" i="48"/>
  <c r="AB98" i="48"/>
  <c r="G99" i="3"/>
  <c r="G71" i="48"/>
  <c r="P71" i="48" s="1"/>
  <c r="N73" i="48"/>
  <c r="N78" i="48" s="1"/>
  <c r="K73" i="48"/>
  <c r="K78" i="48" s="1"/>
  <c r="J73" i="48"/>
  <c r="J78" i="48" s="1"/>
  <c r="O73" i="48"/>
  <c r="O78" i="48" s="1"/>
  <c r="M73" i="48"/>
  <c r="M78" i="48" s="1"/>
  <c r="G14" i="48"/>
  <c r="G19" i="48" s="1"/>
  <c r="D19" i="48"/>
  <c r="H17" i="39"/>
  <c r="I17" i="39" s="1"/>
  <c r="L105" i="3"/>
  <c r="N55" i="41"/>
  <c r="K12" i="35"/>
  <c r="R103" i="3"/>
  <c r="C64" i="42"/>
  <c r="D21" i="42"/>
  <c r="D49" i="42" s="1"/>
  <c r="J100" i="3"/>
  <c r="J105" i="3" s="1"/>
  <c r="G95" i="3"/>
  <c r="R88" i="3"/>
  <c r="P99" i="3"/>
  <c r="W47" i="3"/>
  <c r="W51" i="3" s="1"/>
  <c r="C14" i="13"/>
  <c r="C15" i="13"/>
  <c r="C11" i="13"/>
  <c r="C22" i="41" s="1"/>
  <c r="C4" i="13"/>
  <c r="C19" i="13" s="1"/>
  <c r="C9" i="13"/>
  <c r="C13" i="13"/>
  <c r="C28" i="13" s="1"/>
  <c r="C5" i="13"/>
  <c r="C16" i="41" s="1"/>
  <c r="C6" i="13"/>
  <c r="C17" i="41" s="1"/>
  <c r="C7" i="13"/>
  <c r="C10" i="13"/>
  <c r="C8" i="13"/>
  <c r="C23" i="13" s="1"/>
  <c r="G96" i="3"/>
  <c r="K100" i="3"/>
  <c r="K105" i="3" s="1"/>
  <c r="R96" i="3"/>
  <c r="R81" i="3"/>
  <c r="J12" i="35"/>
  <c r="M12" i="35" s="1"/>
  <c r="T9" i="39"/>
  <c r="Y31" i="13"/>
  <c r="I15" i="41"/>
  <c r="G97" i="3"/>
  <c r="M100" i="3"/>
  <c r="G81" i="3"/>
  <c r="P81" i="3" s="1"/>
  <c r="X31" i="13"/>
  <c r="E100" i="3"/>
  <c r="K55" i="41"/>
  <c r="R31" i="13"/>
  <c r="L23" i="13" s="1"/>
  <c r="I100" i="3"/>
  <c r="I105" i="3" s="1"/>
  <c r="N100" i="3"/>
  <c r="N105" i="3" s="1"/>
  <c r="O25" i="13"/>
  <c r="H10" i="13" s="1"/>
  <c r="I21" i="41" s="1"/>
  <c r="F21" i="41" s="1"/>
  <c r="O27" i="13"/>
  <c r="H12" i="13" s="1"/>
  <c r="I23" i="41" s="1"/>
  <c r="F23" i="41" s="1"/>
  <c r="O28" i="13"/>
  <c r="H13" i="13" s="1"/>
  <c r="I24" i="41" s="1"/>
  <c r="F24" i="41" s="1"/>
  <c r="O22" i="13"/>
  <c r="H7" i="13" s="1"/>
  <c r="I18" i="41" s="1"/>
  <c r="F18" i="41" s="1"/>
  <c r="O21" i="13"/>
  <c r="H6" i="13" s="1"/>
  <c r="I17" i="41" s="1"/>
  <c r="F17" i="41" s="1"/>
  <c r="O20" i="13"/>
  <c r="O23" i="13"/>
  <c r="H8" i="13" s="1"/>
  <c r="I19" i="41" s="1"/>
  <c r="F19" i="41" s="1"/>
  <c r="O26" i="13"/>
  <c r="H11" i="13" s="1"/>
  <c r="I22" i="41" s="1"/>
  <c r="F22" i="41" s="1"/>
  <c r="O30" i="13"/>
  <c r="H15" i="13" s="1"/>
  <c r="I26" i="41" s="1"/>
  <c r="F26" i="41" s="1"/>
  <c r="O29" i="13"/>
  <c r="H14" i="13" s="1"/>
  <c r="I25" i="41" s="1"/>
  <c r="F25" i="41" s="1"/>
  <c r="G94" i="3"/>
  <c r="D100" i="3"/>
  <c r="V8" i="39"/>
  <c r="L11" i="35"/>
  <c r="U24" i="13"/>
  <c r="U31" i="13" s="1"/>
  <c r="O24" i="13"/>
  <c r="H9" i="13" s="1"/>
  <c r="I20" i="41" s="1"/>
  <c r="F20" i="41" s="1"/>
  <c r="G88" i="3"/>
  <c r="P88" i="3" s="1"/>
  <c r="I11" i="35"/>
  <c r="S8" i="39"/>
  <c r="R95" i="3"/>
  <c r="O100" i="3"/>
  <c r="O105" i="3" s="1"/>
  <c r="G98" i="3"/>
  <c r="C25" i="41"/>
  <c r="C29" i="13"/>
  <c r="R102" i="3"/>
  <c r="J11" i="35"/>
  <c r="H34" i="39"/>
  <c r="T8" i="39"/>
  <c r="K11" i="35"/>
  <c r="U8" i="39"/>
  <c r="C20" i="41"/>
  <c r="C24" i="13"/>
  <c r="C23" i="41"/>
  <c r="F105" i="3"/>
  <c r="G102" i="3"/>
  <c r="P102" i="3" s="1"/>
  <c r="T27" i="13"/>
  <c r="Z31" i="13"/>
  <c r="C26" i="41"/>
  <c r="C30" i="13"/>
  <c r="C18" i="41"/>
  <c r="C22" i="13"/>
  <c r="C21" i="41"/>
  <c r="C25" i="13"/>
  <c r="E45" i="26"/>
  <c r="C20" i="13"/>
  <c r="S31" i="13"/>
  <c r="M28" i="13" s="1"/>
  <c r="E48" i="26"/>
  <c r="L13" i="41"/>
  <c r="M4" i="13"/>
  <c r="G90" i="3"/>
  <c r="E103" i="3"/>
  <c r="E47" i="26"/>
  <c r="I27" i="27"/>
  <c r="E46" i="26"/>
  <c r="E49" i="26"/>
  <c r="C14" i="42"/>
  <c r="C18" i="42"/>
  <c r="C15" i="42"/>
  <c r="C19" i="42"/>
  <c r="C46" i="41" l="1"/>
  <c r="F82" i="48"/>
  <c r="P94" i="3"/>
  <c r="P97" i="3"/>
  <c r="F81" i="48"/>
  <c r="G85" i="48"/>
  <c r="P98" i="3"/>
  <c r="P96" i="3"/>
  <c r="P95" i="3"/>
  <c r="G55" i="48"/>
  <c r="P55" i="48" s="1"/>
  <c r="G56" i="48"/>
  <c r="P56" i="48" s="1"/>
  <c r="C3" i="42"/>
  <c r="C21" i="13"/>
  <c r="C15" i="41"/>
  <c r="F32" i="42"/>
  <c r="C26" i="13"/>
  <c r="E16" i="42"/>
  <c r="F35" i="42"/>
  <c r="F26" i="42"/>
  <c r="F30" i="42"/>
  <c r="C16" i="42"/>
  <c r="E19" i="42"/>
  <c r="E17" i="42"/>
  <c r="E15" i="42"/>
  <c r="F31" i="42"/>
  <c r="F27" i="42"/>
  <c r="C20" i="42"/>
  <c r="C48" i="42" s="1"/>
  <c r="C16" i="13"/>
  <c r="E18" i="42"/>
  <c r="F34" i="42"/>
  <c r="C19" i="41"/>
  <c r="F28" i="42"/>
  <c r="F33" i="42"/>
  <c r="J13" i="41"/>
  <c r="E34" i="26"/>
  <c r="C24" i="41"/>
  <c r="K13" i="41"/>
  <c r="D9" i="13"/>
  <c r="D4" i="13"/>
  <c r="D5" i="13"/>
  <c r="D7" i="13"/>
  <c r="D13" i="13"/>
  <c r="D15" i="13"/>
  <c r="D14" i="13"/>
  <c r="D11" i="13"/>
  <c r="D6" i="13"/>
  <c r="D10" i="13"/>
  <c r="L22" i="13"/>
  <c r="W9" i="39"/>
  <c r="D105" i="3"/>
  <c r="G100" i="3"/>
  <c r="P100" i="3" s="1"/>
  <c r="N13" i="41"/>
  <c r="O13" i="41"/>
  <c r="R100" i="3"/>
  <c r="M105" i="3"/>
  <c r="R105" i="3" s="1"/>
  <c r="O31" i="13"/>
  <c r="H5" i="13"/>
  <c r="L19" i="13"/>
  <c r="L26" i="13"/>
  <c r="L27" i="13"/>
  <c r="L20" i="13"/>
  <c r="L28" i="13"/>
  <c r="L21" i="13"/>
  <c r="L25" i="13"/>
  <c r="L24" i="13"/>
  <c r="L30" i="13"/>
  <c r="L29" i="13"/>
  <c r="M13" i="41"/>
  <c r="F15" i="41"/>
  <c r="D28" i="13"/>
  <c r="C55" i="26"/>
  <c r="C61" i="26" s="1"/>
  <c r="E61" i="26" s="1"/>
  <c r="C31" i="42"/>
  <c r="C26" i="42"/>
  <c r="C30" i="42"/>
  <c r="C24" i="42"/>
  <c r="C29" i="42"/>
  <c r="M11" i="35"/>
  <c r="C34" i="42"/>
  <c r="G103" i="3"/>
  <c r="E105" i="3"/>
  <c r="C33" i="42"/>
  <c r="T31" i="13"/>
  <c r="N27" i="13" s="1"/>
  <c r="C31" i="13"/>
  <c r="C32" i="42"/>
  <c r="E54" i="26"/>
  <c r="C25" i="42"/>
  <c r="C35" i="42"/>
  <c r="E50" i="26"/>
  <c r="W8" i="39"/>
  <c r="O4" i="13"/>
  <c r="M20" i="13"/>
  <c r="M24" i="13"/>
  <c r="M26" i="13"/>
  <c r="M30" i="13"/>
  <c r="M19" i="13"/>
  <c r="M23" i="13"/>
  <c r="M27" i="13"/>
  <c r="M25" i="13"/>
  <c r="M22" i="13"/>
  <c r="M21" i="13"/>
  <c r="M29" i="13"/>
  <c r="E44" i="26"/>
  <c r="C27" i="42"/>
  <c r="C17" i="42"/>
  <c r="C55" i="41" l="1"/>
  <c r="C59" i="41" s="1"/>
  <c r="C7" i="41"/>
  <c r="C47" i="42"/>
  <c r="C27" i="41"/>
  <c r="F58" i="48"/>
  <c r="F64" i="48" s="1"/>
  <c r="G43" i="48"/>
  <c r="P43" i="48" s="1"/>
  <c r="G40" i="48"/>
  <c r="P40" i="48" s="1"/>
  <c r="G51" i="48"/>
  <c r="P51" i="48" s="1"/>
  <c r="G38" i="48"/>
  <c r="P38" i="48" s="1"/>
  <c r="E82" i="48"/>
  <c r="G50" i="48"/>
  <c r="P50" i="48" s="1"/>
  <c r="G49" i="48"/>
  <c r="P49" i="48" s="1"/>
  <c r="G41" i="48"/>
  <c r="P41" i="48" s="1"/>
  <c r="G46" i="48"/>
  <c r="P46" i="48" s="1"/>
  <c r="F75" i="48"/>
  <c r="P44" i="48"/>
  <c r="G48" i="48"/>
  <c r="P48" i="48" s="1"/>
  <c r="G60" i="48"/>
  <c r="P60" i="48" s="1"/>
  <c r="D58" i="48"/>
  <c r="D64" i="48" s="1"/>
  <c r="G42" i="48"/>
  <c r="P42" i="48" s="1"/>
  <c r="G39" i="48"/>
  <c r="P39" i="48" s="1"/>
  <c r="E70" i="48"/>
  <c r="G53" i="48"/>
  <c r="P53" i="48" s="1"/>
  <c r="G47" i="48"/>
  <c r="P47" i="48" s="1"/>
  <c r="G52" i="48"/>
  <c r="P52" i="48" s="1"/>
  <c r="G37" i="48"/>
  <c r="P37" i="48" s="1"/>
  <c r="G45" i="48"/>
  <c r="P45" i="48" s="1"/>
  <c r="C62" i="42"/>
  <c r="C28" i="42"/>
  <c r="C65" i="42" s="1"/>
  <c r="G105" i="3"/>
  <c r="P105" i="3" s="1"/>
  <c r="D9" i="42"/>
  <c r="D7" i="42"/>
  <c r="D12" i="42"/>
  <c r="C4" i="42"/>
  <c r="C45" i="42" s="1"/>
  <c r="D6" i="42"/>
  <c r="D8" i="42"/>
  <c r="D10" i="42"/>
  <c r="D13" i="42"/>
  <c r="C41" i="13"/>
  <c r="C42" i="13"/>
  <c r="I13" i="41"/>
  <c r="L31" i="13"/>
  <c r="F5" i="42"/>
  <c r="I16" i="41"/>
  <c r="H16" i="13"/>
  <c r="D16" i="13"/>
  <c r="F24" i="42"/>
  <c r="C13" i="26"/>
  <c r="C44" i="13"/>
  <c r="C34" i="13"/>
  <c r="C40" i="13"/>
  <c r="C43" i="13"/>
  <c r="C39" i="13"/>
  <c r="D25" i="41"/>
  <c r="D29" i="13"/>
  <c r="F14" i="13"/>
  <c r="D22" i="41"/>
  <c r="D26" i="13"/>
  <c r="D17" i="41"/>
  <c r="D21" i="13"/>
  <c r="D20" i="41"/>
  <c r="D24" i="13"/>
  <c r="D18" i="41"/>
  <c r="D22" i="13"/>
  <c r="F7" i="13"/>
  <c r="D23" i="41"/>
  <c r="D27" i="13"/>
  <c r="F12" i="13"/>
  <c r="D19" i="41"/>
  <c r="D16" i="41"/>
  <c r="D20" i="13"/>
  <c r="F5" i="13"/>
  <c r="E33" i="26"/>
  <c r="N29" i="13"/>
  <c r="N24" i="13"/>
  <c r="F9" i="13" s="1"/>
  <c r="N20" i="13"/>
  <c r="N23" i="13"/>
  <c r="N22" i="13"/>
  <c r="N30" i="13"/>
  <c r="N26" i="13"/>
  <c r="N19" i="13"/>
  <c r="N28" i="13"/>
  <c r="N21" i="13"/>
  <c r="N25" i="13"/>
  <c r="C45" i="13"/>
  <c r="D19" i="13"/>
  <c r="D15" i="41"/>
  <c r="D21" i="41"/>
  <c r="D25" i="13"/>
  <c r="F10" i="13"/>
  <c r="E20" i="42"/>
  <c r="E3" i="42"/>
  <c r="E23" i="41"/>
  <c r="E27" i="13"/>
  <c r="D23" i="26"/>
  <c r="C37" i="13"/>
  <c r="C35" i="13"/>
  <c r="E14" i="42"/>
  <c r="D26" i="41"/>
  <c r="D30" i="13"/>
  <c r="F15" i="13"/>
  <c r="E8" i="26"/>
  <c r="E12" i="26"/>
  <c r="C46" i="13"/>
  <c r="C38" i="13"/>
  <c r="E7" i="26"/>
  <c r="M31" i="13"/>
  <c r="D24" i="41"/>
  <c r="F13" i="13"/>
  <c r="C36" i="13"/>
  <c r="C21" i="42"/>
  <c r="C52" i="42" l="1"/>
  <c r="C60" i="42"/>
  <c r="C63" i="42"/>
  <c r="C49" i="42"/>
  <c r="E62" i="42"/>
  <c r="E47" i="42"/>
  <c r="F61" i="42"/>
  <c r="F46" i="42"/>
  <c r="F55" i="42" s="1"/>
  <c r="G36" i="48"/>
  <c r="P36" i="48" s="1"/>
  <c r="P58" i="48" s="1"/>
  <c r="E58" i="48"/>
  <c r="E64" i="48" s="1"/>
  <c r="E84" i="48"/>
  <c r="G84" i="48" s="1"/>
  <c r="G70" i="48"/>
  <c r="P70" i="48" s="1"/>
  <c r="D82" i="48"/>
  <c r="G68" i="48"/>
  <c r="P68" i="48" s="1"/>
  <c r="G75" i="48"/>
  <c r="P75" i="48" s="1"/>
  <c r="F88" i="48"/>
  <c r="G88" i="48" s="1"/>
  <c r="E32" i="42"/>
  <c r="E5" i="26"/>
  <c r="E4" i="42"/>
  <c r="E45" i="42" s="1"/>
  <c r="D20" i="42"/>
  <c r="D63" i="42" s="1"/>
  <c r="D5" i="42"/>
  <c r="G50" i="41"/>
  <c r="F16" i="41"/>
  <c r="I27" i="41"/>
  <c r="G8" i="41"/>
  <c r="C5" i="42"/>
  <c r="C13" i="42"/>
  <c r="C10" i="42"/>
  <c r="E48" i="42"/>
  <c r="D30" i="42"/>
  <c r="N31" i="13"/>
  <c r="E19" i="41"/>
  <c r="E23" i="13"/>
  <c r="F23" i="13" s="1"/>
  <c r="D19" i="26"/>
  <c r="D32" i="42"/>
  <c r="G23" i="41"/>
  <c r="D31" i="42"/>
  <c r="E42" i="26"/>
  <c r="C12" i="42"/>
  <c r="C6" i="42"/>
  <c r="E36" i="26"/>
  <c r="E40" i="26"/>
  <c r="D35" i="42"/>
  <c r="C8" i="42"/>
  <c r="E21" i="41"/>
  <c r="E25" i="13"/>
  <c r="F25" i="13" s="1"/>
  <c r="D21" i="26"/>
  <c r="E22" i="41"/>
  <c r="E26" i="13"/>
  <c r="F26" i="13" s="1"/>
  <c r="D22" i="26"/>
  <c r="E16" i="41"/>
  <c r="E20" i="13"/>
  <c r="F20" i="13" s="1"/>
  <c r="D16" i="26"/>
  <c r="D28" i="42"/>
  <c r="D26" i="42"/>
  <c r="C7" i="42"/>
  <c r="D33" i="42"/>
  <c r="D24" i="42"/>
  <c r="D27" i="41"/>
  <c r="C9" i="42"/>
  <c r="E17" i="41"/>
  <c r="E21" i="13"/>
  <c r="D17" i="26"/>
  <c r="E26" i="41"/>
  <c r="E30" i="13"/>
  <c r="D26" i="26"/>
  <c r="E20" i="41"/>
  <c r="E24" i="13"/>
  <c r="D20" i="26"/>
  <c r="D25" i="42"/>
  <c r="D29" i="42"/>
  <c r="F11" i="13"/>
  <c r="E37" i="26"/>
  <c r="E43" i="26"/>
  <c r="E39" i="26"/>
  <c r="E38" i="26"/>
  <c r="E51" i="26"/>
  <c r="D31" i="13"/>
  <c r="D41" i="13" s="1"/>
  <c r="E24" i="41"/>
  <c r="E28" i="13"/>
  <c r="D24" i="26"/>
  <c r="E18" i="41"/>
  <c r="E22" i="13"/>
  <c r="D18" i="26"/>
  <c r="E25" i="41"/>
  <c r="E29" i="13"/>
  <c r="F29" i="13" s="1"/>
  <c r="D25" i="26"/>
  <c r="F8" i="13"/>
  <c r="F27" i="13"/>
  <c r="D27" i="42"/>
  <c r="F6" i="13"/>
  <c r="D34" i="42"/>
  <c r="C66" i="42"/>
  <c r="C46" i="42" l="1"/>
  <c r="C55" i="42" s="1"/>
  <c r="D61" i="42"/>
  <c r="D46" i="42"/>
  <c r="G32" i="42"/>
  <c r="G58" i="48"/>
  <c r="G64" i="48" s="1"/>
  <c r="G67" i="48"/>
  <c r="E81" i="48"/>
  <c r="G82" i="48"/>
  <c r="E60" i="42"/>
  <c r="E25" i="42"/>
  <c r="E28" i="42"/>
  <c r="G28" i="42" s="1"/>
  <c r="E33" i="42"/>
  <c r="G33" i="42" s="1"/>
  <c r="D65" i="42"/>
  <c r="E27" i="42"/>
  <c r="G27" i="42" s="1"/>
  <c r="E26" i="42"/>
  <c r="E30" i="42"/>
  <c r="G30" i="42" s="1"/>
  <c r="E29" i="42"/>
  <c r="G29" i="42" s="1"/>
  <c r="E34" i="42"/>
  <c r="E35" i="42"/>
  <c r="G35" i="42" s="1"/>
  <c r="E31" i="42"/>
  <c r="G31" i="42" s="1"/>
  <c r="G20" i="42"/>
  <c r="D48" i="42"/>
  <c r="G48" i="42" s="1"/>
  <c r="E9" i="42"/>
  <c r="G9" i="42" s="1"/>
  <c r="E7" i="42"/>
  <c r="G7" i="42" s="1"/>
  <c r="E10" i="42"/>
  <c r="G10" i="42" s="1"/>
  <c r="E8" i="42"/>
  <c r="G8" i="42" s="1"/>
  <c r="E13" i="42"/>
  <c r="G13" i="42" s="1"/>
  <c r="C13" i="41"/>
  <c r="E6" i="42"/>
  <c r="G6" i="42" s="1"/>
  <c r="E12" i="42"/>
  <c r="G12" i="42" s="1"/>
  <c r="C61" i="42"/>
  <c r="C67" i="42" s="1"/>
  <c r="C36" i="42"/>
  <c r="C40" i="42" s="1"/>
  <c r="G25" i="41"/>
  <c r="G42" i="41"/>
  <c r="G34" i="42"/>
  <c r="G16" i="41"/>
  <c r="G19" i="41"/>
  <c r="G20" i="41"/>
  <c r="D3" i="42"/>
  <c r="G33" i="41"/>
  <c r="D18" i="42"/>
  <c r="G18" i="42" s="1"/>
  <c r="G48" i="41"/>
  <c r="D4" i="42"/>
  <c r="G4" i="42" s="1"/>
  <c r="G34" i="41"/>
  <c r="G7" i="41"/>
  <c r="D16" i="42"/>
  <c r="G16" i="42" s="1"/>
  <c r="G46" i="41"/>
  <c r="D19" i="42"/>
  <c r="G19" i="42" s="1"/>
  <c r="G49" i="41"/>
  <c r="D14" i="42"/>
  <c r="G44" i="41"/>
  <c r="F25" i="42"/>
  <c r="F65" i="42" s="1"/>
  <c r="F27" i="41"/>
  <c r="G5" i="41"/>
  <c r="D15" i="42"/>
  <c r="G15" i="42" s="1"/>
  <c r="G45" i="41"/>
  <c r="D17" i="42"/>
  <c r="G17" i="42" s="1"/>
  <c r="G47" i="41"/>
  <c r="G36" i="41"/>
  <c r="G18" i="41"/>
  <c r="D34" i="13"/>
  <c r="D40" i="13"/>
  <c r="E10" i="26"/>
  <c r="G17" i="41"/>
  <c r="D43" i="13"/>
  <c r="D36" i="13"/>
  <c r="G43" i="41"/>
  <c r="D42" i="13"/>
  <c r="E21" i="42"/>
  <c r="E63" i="42" s="1"/>
  <c r="G51" i="41"/>
  <c r="E41" i="26"/>
  <c r="G39" i="41"/>
  <c r="D52" i="42"/>
  <c r="E5" i="42"/>
  <c r="G26" i="42"/>
  <c r="G38" i="41"/>
  <c r="G26" i="41"/>
  <c r="G22" i="41"/>
  <c r="D46" i="13"/>
  <c r="E9" i="26"/>
  <c r="G9" i="41"/>
  <c r="E52" i="26"/>
  <c r="D44" i="13"/>
  <c r="F22" i="13"/>
  <c r="G37" i="41"/>
  <c r="E35" i="26"/>
  <c r="F24" i="13"/>
  <c r="G54" i="41"/>
  <c r="D55" i="41"/>
  <c r="D59" i="41" s="1"/>
  <c r="F30" i="13"/>
  <c r="G35" i="41"/>
  <c r="E53" i="26"/>
  <c r="D37" i="13"/>
  <c r="G24" i="41"/>
  <c r="G6" i="41"/>
  <c r="D39" i="13"/>
  <c r="D35" i="13"/>
  <c r="F28" i="13"/>
  <c r="F21" i="13"/>
  <c r="E15" i="41"/>
  <c r="E19" i="13"/>
  <c r="D15" i="26"/>
  <c r="E16" i="13"/>
  <c r="F4" i="13"/>
  <c r="G21" i="41"/>
  <c r="G40" i="41"/>
  <c r="D45" i="13"/>
  <c r="D45" i="42" l="1"/>
  <c r="E46" i="42"/>
  <c r="D47" i="42"/>
  <c r="G47" i="42" s="1"/>
  <c r="L15" i="41"/>
  <c r="G81" i="48"/>
  <c r="P67" i="48"/>
  <c r="E61" i="42"/>
  <c r="D62" i="42"/>
  <c r="D60" i="42"/>
  <c r="G5" i="42"/>
  <c r="G61" i="42" s="1"/>
  <c r="G14" i="42"/>
  <c r="G62" i="42" s="1"/>
  <c r="G25" i="42"/>
  <c r="C53" i="42"/>
  <c r="D36" i="42"/>
  <c r="D66" i="42"/>
  <c r="G3" i="42"/>
  <c r="G60" i="42" s="1"/>
  <c r="F52" i="42"/>
  <c r="F36" i="42"/>
  <c r="J15" i="41"/>
  <c r="N15" i="41"/>
  <c r="O15" i="41"/>
  <c r="G12" i="41"/>
  <c r="D13" i="41"/>
  <c r="E27" i="41"/>
  <c r="E24" i="42"/>
  <c r="E65" i="42" s="1"/>
  <c r="G15" i="41"/>
  <c r="G27" i="41" s="1"/>
  <c r="M15" i="41"/>
  <c r="G41" i="41"/>
  <c r="E11" i="42"/>
  <c r="E49" i="42"/>
  <c r="G49" i="42" s="1"/>
  <c r="G21" i="42"/>
  <c r="G63" i="42" s="1"/>
  <c r="L23" i="41"/>
  <c r="M23" i="41"/>
  <c r="J23" i="41"/>
  <c r="N23" i="41"/>
  <c r="O23" i="41"/>
  <c r="K23" i="41"/>
  <c r="K19" i="41"/>
  <c r="J21" i="41"/>
  <c r="N22" i="41"/>
  <c r="O22" i="41"/>
  <c r="O16" i="41"/>
  <c r="O17" i="41"/>
  <c r="K26" i="41"/>
  <c r="L26" i="41"/>
  <c r="J20" i="41"/>
  <c r="J24" i="41"/>
  <c r="K18" i="41"/>
  <c r="J25" i="41"/>
  <c r="L25" i="41"/>
  <c r="M25" i="41"/>
  <c r="F16" i="13"/>
  <c r="N19" i="41"/>
  <c r="K21" i="41"/>
  <c r="L21" i="41"/>
  <c r="M22" i="41"/>
  <c r="J16" i="41"/>
  <c r="N16" i="41"/>
  <c r="N17" i="41"/>
  <c r="O26" i="41"/>
  <c r="M20" i="41"/>
  <c r="L20" i="41"/>
  <c r="N24" i="41"/>
  <c r="O18" i="41"/>
  <c r="M18" i="41"/>
  <c r="J19" i="41"/>
  <c r="L19" i="41"/>
  <c r="M21" i="41"/>
  <c r="L22" i="41"/>
  <c r="K16" i="41"/>
  <c r="K17" i="41"/>
  <c r="J17" i="41"/>
  <c r="M26" i="41"/>
  <c r="O20" i="41"/>
  <c r="K20" i="41"/>
  <c r="M24" i="41"/>
  <c r="L24" i="41"/>
  <c r="J18" i="41"/>
  <c r="K25" i="41"/>
  <c r="N25" i="41"/>
  <c r="O24" i="41"/>
  <c r="L18" i="41"/>
  <c r="O25" i="41"/>
  <c r="M19" i="41"/>
  <c r="O19" i="41"/>
  <c r="O21" i="41"/>
  <c r="N21" i="41"/>
  <c r="J22" i="41"/>
  <c r="K22" i="41"/>
  <c r="M16" i="41"/>
  <c r="L16" i="41"/>
  <c r="M17" i="41"/>
  <c r="L17" i="41"/>
  <c r="J26" i="41"/>
  <c r="N26" i="41"/>
  <c r="N20" i="41"/>
  <c r="K24" i="41"/>
  <c r="N18" i="41"/>
  <c r="D27" i="26"/>
  <c r="E6" i="26"/>
  <c r="E23" i="42"/>
  <c r="G23" i="42" s="1"/>
  <c r="G53" i="41"/>
  <c r="E55" i="26"/>
  <c r="E22" i="42"/>
  <c r="G52" i="41"/>
  <c r="E55" i="41"/>
  <c r="E59" i="41" s="1"/>
  <c r="E66" i="42"/>
  <c r="E11" i="26"/>
  <c r="G11" i="41"/>
  <c r="E31" i="13"/>
  <c r="F31" i="13" s="1"/>
  <c r="F19" i="13"/>
  <c r="G55" i="41" l="1"/>
  <c r="D53" i="42"/>
  <c r="G22" i="42"/>
  <c r="E64" i="42"/>
  <c r="E67" i="42" s="1"/>
  <c r="D40" i="42"/>
  <c r="D67" i="42"/>
  <c r="E36" i="42"/>
  <c r="E40" i="42" s="1"/>
  <c r="G45" i="42"/>
  <c r="D55" i="42"/>
  <c r="G46" i="42"/>
  <c r="E55" i="42"/>
  <c r="E57" i="42" s="1"/>
  <c r="L27" i="41"/>
  <c r="K27" i="41"/>
  <c r="O27" i="41"/>
  <c r="J27" i="41"/>
  <c r="N27" i="41"/>
  <c r="M27" i="41"/>
  <c r="E46" i="13"/>
  <c r="E42" i="13"/>
  <c r="C23" i="26" s="1"/>
  <c r="E23" i="26" s="1"/>
  <c r="E39" i="13"/>
  <c r="C20" i="26" s="1"/>
  <c r="E20" i="26" s="1"/>
  <c r="E37" i="13"/>
  <c r="C18" i="26" s="1"/>
  <c r="E18" i="26" s="1"/>
  <c r="E40" i="13"/>
  <c r="C21" i="26" s="1"/>
  <c r="E21" i="26" s="1"/>
  <c r="E45" i="13"/>
  <c r="C26" i="26" s="1"/>
  <c r="E26" i="26" s="1"/>
  <c r="E44" i="13"/>
  <c r="C25" i="26" s="1"/>
  <c r="E25" i="26" s="1"/>
  <c r="E38" i="13"/>
  <c r="C19" i="26" s="1"/>
  <c r="E19" i="26" s="1"/>
  <c r="E36" i="13"/>
  <c r="C17" i="26" s="1"/>
  <c r="E17" i="26" s="1"/>
  <c r="E41" i="13"/>
  <c r="C22" i="26" s="1"/>
  <c r="E22" i="26" s="1"/>
  <c r="E43" i="13"/>
  <c r="C24" i="26" s="1"/>
  <c r="E24" i="26" s="1"/>
  <c r="E35" i="13"/>
  <c r="C16" i="26" s="1"/>
  <c r="E16" i="26" s="1"/>
  <c r="D13" i="26"/>
  <c r="E13" i="26" s="1"/>
  <c r="G11" i="42"/>
  <c r="E51" i="42"/>
  <c r="G51" i="42" s="1"/>
  <c r="E52" i="42"/>
  <c r="G52" i="42" s="1"/>
  <c r="G24" i="42"/>
  <c r="G65" i="42" s="1"/>
  <c r="E34" i="13"/>
  <c r="E13" i="41"/>
  <c r="G64" i="42" l="1"/>
  <c r="G55" i="42"/>
  <c r="E53" i="42"/>
  <c r="G36" i="42"/>
  <c r="C27" i="26"/>
  <c r="E27" i="26" s="1"/>
  <c r="E15" i="26"/>
  <c r="G69" i="48" l="1"/>
  <c r="E78" i="48"/>
  <c r="E86" i="48"/>
  <c r="E91" i="48" s="1"/>
  <c r="F86" i="48" l="1"/>
  <c r="F91" i="48" s="1"/>
  <c r="F78" i="48"/>
  <c r="P69" i="48"/>
  <c r="G83" i="48"/>
  <c r="D78" i="48" l="1"/>
  <c r="P64" i="48"/>
  <c r="P73" i="48" l="1"/>
  <c r="P78" i="48" s="1"/>
  <c r="G78" i="48"/>
  <c r="D86" i="48"/>
  <c r="G86" i="48" l="1"/>
  <c r="D91" i="48"/>
  <c r="G91" i="48" s="1"/>
  <c r="N59" i="41"/>
  <c r="K59" i="41"/>
  <c r="M59" i="41"/>
  <c r="O59" i="41"/>
  <c r="J59" i="41"/>
  <c r="L59" i="41"/>
  <c r="F57" i="41"/>
  <c r="G57" i="41" s="1"/>
  <c r="G59" i="41" s="1"/>
  <c r="F59" i="41" l="1"/>
  <c r="F10" i="41"/>
  <c r="F38" i="42"/>
  <c r="F50" i="42" s="1"/>
  <c r="G50" i="42" l="1"/>
  <c r="G53" i="42" s="1"/>
  <c r="F53" i="42"/>
  <c r="G38" i="42"/>
  <c r="F66" i="42"/>
  <c r="F67" i="42" s="1"/>
  <c r="F40" i="42"/>
  <c r="F13" i="41"/>
  <c r="G13" i="41" s="1"/>
  <c r="G10" i="41"/>
  <c r="G66" i="42" l="1"/>
  <c r="G40" i="42"/>
  <c r="G70" i="42" l="1"/>
  <c r="G67" i="42"/>
  <c r="C69" i="42" l="1"/>
  <c r="E69" i="42"/>
  <c r="D69" i="42"/>
  <c r="F69" i="42"/>
  <c r="G71" i="42"/>
</calcChain>
</file>

<file path=xl/comments1.xml><?xml version="1.0" encoding="utf-8"?>
<comments xmlns="http://schemas.openxmlformats.org/spreadsheetml/2006/main">
  <authors>
    <author>SCIENCES.PO</author>
  </authors>
  <commentList>
    <comment ref="H27" authorId="0" shapeId="0">
      <text>
        <r>
          <rPr>
            <b/>
            <sz val="9"/>
            <color indexed="81"/>
            <rFont val="Tahoma"/>
            <family val="2"/>
          </rPr>
          <t>SCIENCES.PO:</t>
        </r>
        <r>
          <rPr>
            <sz val="9"/>
            <color indexed="81"/>
            <rFont val="Tahoma"/>
            <family val="2"/>
          </rPr>
          <t xml:space="preserve">
@Adrian: En el SIE segun el balance national de energia de elecricidad el consumo propio es de 49.5 PJ. La cifra de 39.8 PJ entra en los margenes representa el 80% de la cifra del SIE</t>
        </r>
      </text>
    </comment>
    <comment ref="G33" authorId="0" shapeId="0">
      <text>
        <r>
          <rPr>
            <b/>
            <sz val="9"/>
            <color indexed="81"/>
            <rFont val="Tahoma"/>
            <family val="2"/>
          </rPr>
          <t>SCIENCES.PO:</t>
        </r>
        <r>
          <rPr>
            <sz val="9"/>
            <color indexed="81"/>
            <rFont val="Tahoma"/>
            <family val="2"/>
          </rPr>
          <t xml:space="preserve">
@ Adrian: Estamos lejos del precio de 132 centavos el Kwh en la industria en 2013.
EL consumo proio del sector electrico lo contabilizan seguro segun el costo de produccion. La cifra de 12.5 centavos el Kwh te perece realista?</t>
        </r>
      </text>
    </comment>
  </commentList>
</comments>
</file>

<file path=xl/comments2.xml><?xml version="1.0" encoding="utf-8"?>
<comments xmlns="http://schemas.openxmlformats.org/spreadsheetml/2006/main">
  <authors>
    <author>Gissela Landa Rivera</author>
  </authors>
  <commentList>
    <comment ref="I90"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90" authorId="0" shapeId="0">
      <text>
        <r>
          <rPr>
            <b/>
            <sz val="10"/>
            <color rgb="FF000000"/>
            <rFont val="Tahoma"/>
            <family val="2"/>
          </rPr>
          <t>Gissela Landa Rivera:</t>
        </r>
        <r>
          <rPr>
            <sz val="10"/>
            <color rgb="FF000000"/>
            <rFont val="Tahoma"/>
            <family val="2"/>
          </rPr>
          <t xml:space="preserve">
</t>
        </r>
        <r>
          <rPr>
            <sz val="10"/>
            <color rgb="FF000000"/>
            <rFont val="Calibri"/>
            <family val="2"/>
            <scheme val="minor"/>
          </rPr>
          <t>consumption of clean electricity in power sector</t>
        </r>
        <r>
          <rPr>
            <sz val="10"/>
            <color rgb="FF000000"/>
            <rFont val="Calibri"/>
            <family val="2"/>
            <scheme val="minor"/>
          </rPr>
          <t xml:space="preserve">
</t>
        </r>
      </text>
    </comment>
    <comment ref="I103" authorId="0" shapeId="0">
      <text>
        <r>
          <rPr>
            <b/>
            <sz val="10"/>
            <color rgb="FF000000"/>
            <rFont val="Tahoma"/>
            <family val="2"/>
          </rPr>
          <t>Gissela Landa Rivera:</t>
        </r>
        <r>
          <rPr>
            <sz val="10"/>
            <color rgb="FF000000"/>
            <rFont val="Tahoma"/>
            <family val="2"/>
          </rPr>
          <t xml:space="preserve">
</t>
        </r>
        <r>
          <rPr>
            <sz val="10"/>
            <color rgb="FF000000"/>
            <rFont val="Tahoma"/>
            <family val="2"/>
          </rPr>
          <t>include Biogas</t>
        </r>
      </text>
    </comment>
    <comment ref="R103" authorId="0" shapeId="0">
      <text>
        <r>
          <rPr>
            <b/>
            <sz val="10"/>
            <color rgb="FF000000"/>
            <rFont val="Tahoma"/>
            <family val="2"/>
          </rPr>
          <t>Gissela Landa Rivera:</t>
        </r>
        <r>
          <rPr>
            <sz val="10"/>
            <color rgb="FF000000"/>
            <rFont val="Tahoma"/>
            <family val="2"/>
          </rPr>
          <t xml:space="preserve">
</t>
        </r>
        <r>
          <rPr>
            <sz val="10"/>
            <color rgb="FF000000"/>
            <rFont val="Tahoma"/>
            <family val="2"/>
          </rPr>
          <t>consumption of clean electricity in power sector</t>
        </r>
      </text>
    </comment>
  </commentList>
</comments>
</file>

<file path=xl/comments3.xml><?xml version="1.0" encoding="utf-8"?>
<comments xmlns="http://schemas.openxmlformats.org/spreadsheetml/2006/main">
  <authors>
    <author>SCIENCES.PO</author>
    <author>Gissela Landa Rivera</author>
  </authors>
  <commentList>
    <comment ref="C12" authorId="0" shapeId="0">
      <text>
        <r>
          <rPr>
            <b/>
            <sz val="9"/>
            <color rgb="FF000000"/>
            <rFont val="Tahoma"/>
            <family val="2"/>
          </rPr>
          <t>SCIENCES.PO:</t>
        </r>
        <r>
          <rPr>
            <sz val="9"/>
            <color rgb="FF000000"/>
            <rFont val="Tahoma"/>
            <family val="2"/>
          </rPr>
          <t xml:space="preserve">
</t>
        </r>
        <r>
          <rPr>
            <sz val="9"/>
            <color rgb="FF000000"/>
            <rFont val="Tahoma"/>
            <family val="2"/>
          </rPr>
          <t>for coal consumption we use the data from SIE</t>
        </r>
      </text>
    </comment>
    <comment ref="R19" authorId="1" shapeId="0">
      <text>
        <r>
          <rPr>
            <b/>
            <sz val="10"/>
            <color rgb="FF000000"/>
            <rFont val="Tahoma"/>
            <family val="2"/>
          </rPr>
          <t>Gissela Landa Rivera:</t>
        </r>
        <r>
          <rPr>
            <sz val="10"/>
            <color rgb="FF000000"/>
            <rFont val="Tahoma"/>
            <family val="2"/>
          </rPr>
          <t xml:space="preserve">
</t>
        </r>
        <r>
          <rPr>
            <sz val="10"/>
            <color rgb="FF000000"/>
            <rFont val="Tahoma"/>
            <family val="2"/>
          </rPr>
          <t>we supposse that renouvable technologies dont use gas and oil</t>
        </r>
      </text>
    </comment>
  </commentList>
</comments>
</file>

<file path=xl/comments4.xml><?xml version="1.0" encoding="utf-8"?>
<comments xmlns="http://schemas.openxmlformats.org/spreadsheetml/2006/main">
  <authors>
    <author>SCIENCES.PO</author>
  </authors>
  <commentList>
    <comment ref="F76" authorId="0" shapeId="0">
      <text>
        <r>
          <rPr>
            <b/>
            <sz val="9"/>
            <color rgb="FF000000"/>
            <rFont val="Tahoma"/>
            <family val="2"/>
          </rPr>
          <t>SCIENCES.PO:</t>
        </r>
        <r>
          <rPr>
            <sz val="9"/>
            <color rgb="FF000000"/>
            <rFont val="Tahoma"/>
            <family val="2"/>
          </rPr>
          <t xml:space="preserve">Electricity consumption in the electricity secteur correspond  to "Usos prpios of Prodesen" </t>
        </r>
      </text>
    </comment>
  </commentList>
</comments>
</file>

<file path=xl/comments5.xml><?xml version="1.0" encoding="utf-8"?>
<comments xmlns="http://schemas.openxmlformats.org/spreadsheetml/2006/main">
  <authors>
    <author>SCIENCES.PO</author>
  </authors>
  <commentList>
    <comment ref="F54" authorId="0" shapeId="0">
      <text>
        <r>
          <rPr>
            <b/>
            <sz val="9"/>
            <color indexed="81"/>
            <rFont val="Tahoma"/>
            <family val="2"/>
          </rPr>
          <t>SCIENCES.PO:</t>
        </r>
        <r>
          <rPr>
            <sz val="9"/>
            <color indexed="81"/>
            <rFont val="Tahoma"/>
            <family val="2"/>
          </rPr>
          <t xml:space="preserve">
Biomass consumption is not take in account in national contability (manufature of food and berverage = o in matrix use-supply)</t>
        </r>
      </text>
    </comment>
  </commentList>
</comments>
</file>

<file path=xl/comments6.xml><?xml version="1.0" encoding="utf-8"?>
<comments xmlns="http://schemas.openxmlformats.org/spreadsheetml/2006/main">
  <authors>
    <author>SCIENCES.PO</author>
  </authors>
  <commentList>
    <comment ref="F29" authorId="0" shapeId="0">
      <text>
        <r>
          <rPr>
            <b/>
            <sz val="9"/>
            <color rgb="FF000000"/>
            <rFont val="Tahoma"/>
            <family val="2"/>
          </rPr>
          <t>SCIENCES.PO:</t>
        </r>
        <r>
          <rPr>
            <sz val="9"/>
            <color rgb="FF000000"/>
            <rFont val="Tahoma"/>
            <family val="2"/>
          </rPr>
          <t xml:space="preserve">
</t>
        </r>
        <r>
          <rPr>
            <sz val="9"/>
            <color rgb="FF000000"/>
            <rFont val="Tahoma"/>
            <family val="2"/>
          </rPr>
          <t xml:space="preserve">We dont take in account biomass consumption for the electricity sector.
</t>
        </r>
      </text>
    </comment>
  </commentList>
</comments>
</file>

<file path=xl/sharedStrings.xml><?xml version="1.0" encoding="utf-8"?>
<sst xmlns="http://schemas.openxmlformats.org/spreadsheetml/2006/main" count="3187" uniqueCount="950">
  <si>
    <t>Sector</t>
  </si>
  <si>
    <t>Code</t>
  </si>
  <si>
    <t xml:space="preserve">sector agropecuario                                                          </t>
  </si>
  <si>
    <t>Diesel</t>
  </si>
  <si>
    <t>Electricidad</t>
  </si>
  <si>
    <t>Gas LP</t>
  </si>
  <si>
    <t>Querosenes</t>
  </si>
  <si>
    <t>Total</t>
  </si>
  <si>
    <t>sector comercial</t>
  </si>
  <si>
    <t>Combustoleo</t>
  </si>
  <si>
    <t>Gas seco</t>
  </si>
  <si>
    <t>Solar</t>
  </si>
  <si>
    <t>Bagazo caña</t>
  </si>
  <si>
    <t>Carbon</t>
  </si>
  <si>
    <t>Coque de carbon</t>
  </si>
  <si>
    <t>Coque de petroleo</t>
  </si>
  <si>
    <t>Gasolina</t>
  </si>
  <si>
    <t>Leña</t>
  </si>
  <si>
    <t>Sector final no energetico</t>
  </si>
  <si>
    <t>No energeticos</t>
  </si>
  <si>
    <t>Sector industra (Elaboración de refrescos, Hielo y otras bebidas no alcohólicas, y purificación y embotellamiento de agua.)</t>
  </si>
  <si>
    <t>Sector indutrial Fabricación de autómoviles y camiones</t>
  </si>
  <si>
    <t>Sector industrial elaboracion de azucares</t>
  </si>
  <si>
    <t>Fabricación de Cemento y Productos a base de Cemento en PLantas Integradas</t>
  </si>
  <si>
    <t>Fabricación de Pulpa, Papel y Cartón</t>
  </si>
  <si>
    <t>Sector industria elaboracion de cerveza</t>
  </si>
  <si>
    <t>Sector industrial construccion</t>
  </si>
  <si>
    <t>Sector industrial fabricacion de fertilizantes</t>
  </si>
  <si>
    <t>total</t>
  </si>
  <si>
    <t>sector industria fabricacion de productos de hule</t>
  </si>
  <si>
    <t>Sector industria mienria de materiales metalicos no metalico menos petroleo y gas</t>
  </si>
  <si>
    <t>Sector industrial otras ramas</t>
  </si>
  <si>
    <t>Sector industrial pemex petroquimica</t>
  </si>
  <si>
    <t>Sector industrial industria quimica</t>
  </si>
  <si>
    <t>Sector industria industria basica de hierro y del acero</t>
  </si>
  <si>
    <t>Sector industria elaboracion de prductos de tabaco</t>
  </si>
  <si>
    <t>Sector industria fabricacion de vidrio</t>
  </si>
  <si>
    <t>Sector Consumo publico</t>
  </si>
  <si>
    <t>Sector consumo residencial</t>
  </si>
  <si>
    <t>Sector transporte aereo</t>
  </si>
  <si>
    <t>Sector transporte autotransporte</t>
  </si>
  <si>
    <t>Secctor transporte electrico</t>
  </si>
  <si>
    <t>Sector transporte ferroviario</t>
  </si>
  <si>
    <t>Sector transoporte maritimo</t>
  </si>
  <si>
    <t>Étiquettes de colonnes</t>
  </si>
  <si>
    <t>Étiquettes de lignes</t>
  </si>
  <si>
    <t>Total général</t>
  </si>
  <si>
    <t>Industrial</t>
  </si>
  <si>
    <t>Transporte</t>
  </si>
  <si>
    <t>HCOAL</t>
  </si>
  <si>
    <t>BCOAL</t>
  </si>
  <si>
    <t>COKE</t>
  </si>
  <si>
    <t>CRUDE</t>
  </si>
  <si>
    <t>DIESEL</t>
  </si>
  <si>
    <t>GASOLINE</t>
  </si>
  <si>
    <t>JETFUEL</t>
  </si>
  <si>
    <t>LFO</t>
  </si>
  <si>
    <t>HFO</t>
  </si>
  <si>
    <t>NAPHTA</t>
  </si>
  <si>
    <t>OTHPETRO</t>
  </si>
  <si>
    <t>NATGAS</t>
  </si>
  <si>
    <t>OTHGAS</t>
  </si>
  <si>
    <t>WASTE</t>
  </si>
  <si>
    <t>BIOGASOL</t>
  </si>
  <si>
    <t>BIODIESEL</t>
  </si>
  <si>
    <t>BIOGAS</t>
  </si>
  <si>
    <t>OTHRENEW</t>
  </si>
  <si>
    <t>ELECTR</t>
  </si>
  <si>
    <t>HEATPROD</t>
  </si>
  <si>
    <t>NUCLEAR</t>
  </si>
  <si>
    <t>HYDRO</t>
  </si>
  <si>
    <t>GEOTHERM</t>
  </si>
  <si>
    <t>SOLAR</t>
  </si>
  <si>
    <t>WIND</t>
  </si>
  <si>
    <t>OTHSOURC</t>
  </si>
  <si>
    <t>LOSS</t>
  </si>
  <si>
    <t>Agriculture, Hunting, Forestry and Fishing</t>
  </si>
  <si>
    <t>secAtB</t>
  </si>
  <si>
    <t>Mining and Quarrying</t>
  </si>
  <si>
    <t>secC</t>
  </si>
  <si>
    <t>Food, Beverages and Tobacco</t>
  </si>
  <si>
    <t>sec15t16</t>
  </si>
  <si>
    <t>Textiles and Textile Products</t>
  </si>
  <si>
    <t>sec17t18</t>
  </si>
  <si>
    <t>Leather, Leather and Footwear</t>
  </si>
  <si>
    <t>sec19</t>
  </si>
  <si>
    <t>Wood and Products of Wood and Cork</t>
  </si>
  <si>
    <t>sec20</t>
  </si>
  <si>
    <t>Pulp, Paper, Paper , Printing and Publishing</t>
  </si>
  <si>
    <t>sec21t22</t>
  </si>
  <si>
    <t>Coke, Refined Petroleum and Nuclear Fuel</t>
  </si>
  <si>
    <t>sec23</t>
  </si>
  <si>
    <t>Chemicals and Chemical Products</t>
  </si>
  <si>
    <t>sec24</t>
  </si>
  <si>
    <t>Rubber and Plastics</t>
  </si>
  <si>
    <t>sec25</t>
  </si>
  <si>
    <t>Other Non-Metallic Mineral</t>
  </si>
  <si>
    <t>sec26</t>
  </si>
  <si>
    <t>Basic Metals and Fabricated Metal</t>
  </si>
  <si>
    <t>sec27t28</t>
  </si>
  <si>
    <t>Machinery, Nec</t>
  </si>
  <si>
    <t>sec29</t>
  </si>
  <si>
    <t>Electrical and Optical Equipment</t>
  </si>
  <si>
    <t>sec30t33</t>
  </si>
  <si>
    <t>Transport Equipment</t>
  </si>
  <si>
    <t>sec34t35</t>
  </si>
  <si>
    <t>Manufacturing, Nec; Recycling</t>
  </si>
  <si>
    <t>sec36t37</t>
  </si>
  <si>
    <t>Electricity, Gas and Water Supply</t>
  </si>
  <si>
    <t>secE</t>
  </si>
  <si>
    <t>Construction</t>
  </si>
  <si>
    <t>secF</t>
  </si>
  <si>
    <t>Sale, Maintenance and Repair of Motor Vehicles and Motorcycles; Retail Sale of Fuel</t>
  </si>
  <si>
    <t>sec50</t>
  </si>
  <si>
    <t>Wholesale Trade and Commission Trade, Except of Motor Vehicles and Motorcycles</t>
  </si>
  <si>
    <t>sec51</t>
  </si>
  <si>
    <t>Retail Trade, Except of Motor Vehicles and Motorcycles; Repair of Household Goods</t>
  </si>
  <si>
    <t>sec52</t>
  </si>
  <si>
    <t>Hotels and Restaurants</t>
  </si>
  <si>
    <t>secH</t>
  </si>
  <si>
    <t>Inland Transport</t>
  </si>
  <si>
    <t>sec60</t>
  </si>
  <si>
    <t>Water Transport</t>
  </si>
  <si>
    <t>sec61</t>
  </si>
  <si>
    <t>Air Transport</t>
  </si>
  <si>
    <t>sec62</t>
  </si>
  <si>
    <t>Other Supporting and Auxiliary Transport Activities; Activities of Travel Agencies</t>
  </si>
  <si>
    <t>sec63</t>
  </si>
  <si>
    <t>Post and Telecommunications</t>
  </si>
  <si>
    <t>sec64</t>
  </si>
  <si>
    <t>Financial Intermediation</t>
  </si>
  <si>
    <t>secJ</t>
  </si>
  <si>
    <t>Real Estate Activities</t>
  </si>
  <si>
    <t>sec70</t>
  </si>
  <si>
    <t>Renting of M&amp;Eq and Other Business Activities</t>
  </si>
  <si>
    <t>sec71t74</t>
  </si>
  <si>
    <t>Public Admin and Defence; Compulsory Social Security</t>
  </si>
  <si>
    <t>secL</t>
  </si>
  <si>
    <t>Education</t>
  </si>
  <si>
    <t>secM</t>
  </si>
  <si>
    <t>Health and Social Work</t>
  </si>
  <si>
    <t>secN</t>
  </si>
  <si>
    <t>Other Community, Social and Personal Services</t>
  </si>
  <si>
    <t>secO</t>
  </si>
  <si>
    <t>Private Households with Employed Persons</t>
  </si>
  <si>
    <t>secP</t>
  </si>
  <si>
    <t>Extra-territorial organizations and bodies</t>
  </si>
  <si>
    <t>secQ</t>
  </si>
  <si>
    <t>Total intermediate consumption</t>
  </si>
  <si>
    <t>Final consumption expenditure by households</t>
  </si>
  <si>
    <t>FC_HH</t>
  </si>
  <si>
    <t xml:space="preserve">Corresponding NACE code </t>
  </si>
  <si>
    <t>21, 22</t>
  </si>
  <si>
    <t>27, 28</t>
  </si>
  <si>
    <t>34, 35</t>
  </si>
  <si>
    <t>36, 37</t>
  </si>
  <si>
    <t>40, 41</t>
  </si>
  <si>
    <t xml:space="preserve">01, 02, 05  </t>
  </si>
  <si>
    <t>15, 16</t>
  </si>
  <si>
    <t xml:space="preserve">10, 11, 12,13, 14 </t>
  </si>
  <si>
    <t xml:space="preserve">17, 18 </t>
  </si>
  <si>
    <t>30, 31, 32, 33</t>
  </si>
  <si>
    <t>65, 66, 67</t>
  </si>
  <si>
    <t>71, 72, 73, 74</t>
  </si>
  <si>
    <t>90, 91, 92, 93</t>
  </si>
  <si>
    <t>HH</t>
  </si>
  <si>
    <t>Coke oven/Gas Coke</t>
  </si>
  <si>
    <t>Natural gas (dry)</t>
  </si>
  <si>
    <t>Municipal (non-biomass fraction) and industrial waste</t>
  </si>
  <si>
    <t>Biodiesels</t>
  </si>
  <si>
    <t>Hydroelectric</t>
  </si>
  <si>
    <t>Geothermal</t>
  </si>
  <si>
    <t>Electricity</t>
  </si>
  <si>
    <t>Hard coal and derivatives</t>
  </si>
  <si>
    <t xml:space="preserve">Lignite and derivative </t>
  </si>
  <si>
    <t>Crude oil, NGL and feedstocks</t>
  </si>
  <si>
    <t>Diesel oil for road transport</t>
  </si>
  <si>
    <t>Motor gasoline</t>
  </si>
  <si>
    <t>jet fuel (kersone ans gasoline)</t>
  </si>
  <si>
    <t>Light fuel oil</t>
  </si>
  <si>
    <t>Heavy fuel oil</t>
  </si>
  <si>
    <t>Naphtha</t>
  </si>
  <si>
    <t>Other petroleum products</t>
  </si>
  <si>
    <t>Derived gas</t>
  </si>
  <si>
    <t>Biogasoline (including hydrated ethanol)</t>
  </si>
  <si>
    <t>Biogas</t>
  </si>
  <si>
    <t>Heat</t>
  </si>
  <si>
    <t>Nuclear</t>
  </si>
  <si>
    <t xml:space="preserve">Solar </t>
  </si>
  <si>
    <t>wind power</t>
  </si>
  <si>
    <t>Other sources</t>
  </si>
  <si>
    <t>Distribution losses</t>
  </si>
  <si>
    <t>Other combustible renewable (bagazo de cana y leña)</t>
  </si>
  <si>
    <t>INDUSTRY</t>
  </si>
  <si>
    <t>TRANSPORT</t>
  </si>
  <si>
    <t>SERVICES</t>
  </si>
  <si>
    <t>ENERGY</t>
  </si>
  <si>
    <t>Agriculture, livestockand fishing</t>
  </si>
  <si>
    <t>Forestry</t>
  </si>
  <si>
    <t>Manufacture of food, beverages and snuff</t>
  </si>
  <si>
    <t>Manufacture of articles of paper and paperboard</t>
  </si>
  <si>
    <t>Manufacture of chemical</t>
  </si>
  <si>
    <t>Manufacture of cement and concrete</t>
  </si>
  <si>
    <t>Manufacture of steel</t>
  </si>
  <si>
    <t>Manufature of machine and equipment</t>
  </si>
  <si>
    <t>Extraction of oil and gas</t>
  </si>
  <si>
    <t>Construction of buildings</t>
  </si>
  <si>
    <t>Others industries</t>
  </si>
  <si>
    <t>Air transport</t>
  </si>
  <si>
    <t>Rail transport</t>
  </si>
  <si>
    <t>Water transport</t>
  </si>
  <si>
    <t>Freight transport by road</t>
  </si>
  <si>
    <t>Passager transport by road</t>
  </si>
  <si>
    <t>Other transports</t>
  </si>
  <si>
    <t>Business services</t>
  </si>
  <si>
    <t>Public services</t>
  </si>
  <si>
    <t>Manufacture of petroleum and coal products</t>
  </si>
  <si>
    <t>Gas supply by pipeline to final consumer</t>
  </si>
  <si>
    <t>Hydro</t>
  </si>
  <si>
    <t>Wind</t>
  </si>
  <si>
    <t>Cogeneration</t>
  </si>
  <si>
    <t>Thermoelectric</t>
  </si>
  <si>
    <t>Cabon-based</t>
  </si>
  <si>
    <t>Internal Combustion</t>
  </si>
  <si>
    <t>Combined Cycle</t>
  </si>
  <si>
    <t>ELECTRICITY</t>
  </si>
  <si>
    <t>Agriculture</t>
  </si>
  <si>
    <t>Agropecuario</t>
  </si>
  <si>
    <t>N/D</t>
  </si>
  <si>
    <t>Combustóleo</t>
  </si>
  <si>
    <t>Querosenos</t>
  </si>
  <si>
    <t>Coque de petróleo</t>
  </si>
  <si>
    <t>Coque de carbón</t>
  </si>
  <si>
    <t>Energía eólica</t>
  </si>
  <si>
    <t>Energía solar</t>
  </si>
  <si>
    <t>Geoenergía</t>
  </si>
  <si>
    <t>Hidroenergía</t>
  </si>
  <si>
    <t>Nucleoenergía</t>
  </si>
  <si>
    <t>Carbón</t>
  </si>
  <si>
    <t>Transport</t>
  </si>
  <si>
    <t>Household</t>
  </si>
  <si>
    <t>Residential</t>
  </si>
  <si>
    <t>%</t>
  </si>
  <si>
    <t>Source: INEGI, DataMEX_working_doc_Monetary (spreedsheet: Step8, total production by sector)</t>
  </si>
  <si>
    <t>AGRO</t>
  </si>
  <si>
    <t>INDUSTRIES</t>
  </si>
  <si>
    <t>OTHER USES</t>
  </si>
  <si>
    <t>Balance de Energia (Sectirors),  source: SIE</t>
  </si>
  <si>
    <t>WIOD2013 SECTORS</t>
  </si>
  <si>
    <t>SECTORS</t>
  </si>
  <si>
    <t>ENERGY COMMODITIES</t>
  </si>
  <si>
    <t>WIOD2013 Energy commodities</t>
  </si>
  <si>
    <t>Wiod Code</t>
  </si>
  <si>
    <t>D</t>
  </si>
  <si>
    <t>E</t>
  </si>
  <si>
    <t>GLP</t>
  </si>
  <si>
    <t>Q</t>
  </si>
  <si>
    <t>CO</t>
  </si>
  <si>
    <t>GS</t>
  </si>
  <si>
    <t>S</t>
  </si>
  <si>
    <t>B</t>
  </si>
  <si>
    <t>CC</t>
  </si>
  <si>
    <t>C</t>
  </si>
  <si>
    <t>CP</t>
  </si>
  <si>
    <t>G</t>
  </si>
  <si>
    <t>L</t>
  </si>
  <si>
    <t>NE</t>
  </si>
  <si>
    <t>Balance de energia Energy commodities, source: SIE</t>
  </si>
  <si>
    <t>THREEME-Mex Sectors</t>
  </si>
  <si>
    <t>HOUSEHOLD</t>
  </si>
  <si>
    <t>Services</t>
  </si>
  <si>
    <t>Bagazo de caña</t>
  </si>
  <si>
    <t>Nota:</t>
  </si>
  <si>
    <t>Residencial y comercial</t>
  </si>
  <si>
    <t>Industria</t>
  </si>
  <si>
    <t>Blue</t>
  </si>
  <si>
    <t>Red</t>
  </si>
  <si>
    <t>data sources</t>
  </si>
  <si>
    <t>Steps</t>
  </si>
  <si>
    <t>Otros</t>
  </si>
  <si>
    <t>Autotransporte</t>
  </si>
  <si>
    <t>Residencial</t>
  </si>
  <si>
    <t>Gas natural</t>
  </si>
  <si>
    <t>Pemex Refinación</t>
  </si>
  <si>
    <t>Pemex Gas y Petroquímica Básica</t>
  </si>
  <si>
    <t>Pemex Exploración y Producción</t>
  </si>
  <si>
    <t>Pemex Petroquímica</t>
  </si>
  <si>
    <t>Carbón mineral</t>
  </si>
  <si>
    <t>Coquizadoras y hornos</t>
  </si>
  <si>
    <t>Centro transformador</t>
  </si>
  <si>
    <t>Consumo Propio del Sector Energético</t>
  </si>
  <si>
    <t>Eléctrico</t>
  </si>
  <si>
    <t>Marítimo</t>
  </si>
  <si>
    <t>Gasolinas y naftas</t>
  </si>
  <si>
    <t>Gas licuado</t>
  </si>
  <si>
    <t>Ferroviario</t>
  </si>
  <si>
    <t>Aéreo</t>
  </si>
  <si>
    <t>Público</t>
  </si>
  <si>
    <t>Comercial</t>
  </si>
  <si>
    <t>Residencial, Comercial y Público</t>
  </si>
  <si>
    <t>Elaboración de productos de tabaco</t>
  </si>
  <si>
    <t>Autogeneración</t>
  </si>
  <si>
    <t>Turbogás/Combustión interna</t>
  </si>
  <si>
    <t>Sector Eléctrico</t>
  </si>
  <si>
    <t>Consumo de Combustibles para la Generación Eléctrica</t>
  </si>
  <si>
    <t>Turbogás (Cog. Eficiente)</t>
  </si>
  <si>
    <t>Turbogás (Bioenergía)</t>
  </si>
  <si>
    <t>Turbogás</t>
  </si>
  <si>
    <t>Fabricación de fertilizantes</t>
  </si>
  <si>
    <t>Termoeléctrica Convencional (Bioenergía)</t>
  </si>
  <si>
    <t>Termoeléctrica Convencional</t>
  </si>
  <si>
    <t>Nucleoeléctrica</t>
  </si>
  <si>
    <t>Lecho Fluidizado</t>
  </si>
  <si>
    <t>Hidroeléctrica</t>
  </si>
  <si>
    <t>Fabricación de productos de hule</t>
  </si>
  <si>
    <t>Geotérmica</t>
  </si>
  <si>
    <t>Frenos Regenerativos</t>
  </si>
  <si>
    <t>FIRCO y Generación Distribuida</t>
  </si>
  <si>
    <t>Eólica</t>
  </si>
  <si>
    <t>Combustión Interna (Cog. Eficiente)</t>
  </si>
  <si>
    <t>Combustión Interna (Bioenergía)</t>
  </si>
  <si>
    <t>Fabricación de automóviles y camiones</t>
  </si>
  <si>
    <t>Combustión Interna</t>
  </si>
  <si>
    <t>Ciclo Combinado (Cog. Eficiente)</t>
  </si>
  <si>
    <t>Ciclo Combinado</t>
  </si>
  <si>
    <t>Carboeléctrica</t>
  </si>
  <si>
    <t>Elaboración de refrescos, hielo y otras bebidas no alcohólicas, purificación y embotellado de agua</t>
  </si>
  <si>
    <t>Coque de Carbón</t>
  </si>
  <si>
    <t>Elaboración de cerveza</t>
  </si>
  <si>
    <t>Otras ramas</t>
  </si>
  <si>
    <t>Consumo final Energético</t>
  </si>
  <si>
    <t>Fabricación de vidrio y productos de vidrio</t>
  </si>
  <si>
    <t>Fabricación de pulpa, papel y cartón</t>
  </si>
  <si>
    <t>Minería de minerales metálicos y no metálicos</t>
  </si>
  <si>
    <t>Industria Química</t>
  </si>
  <si>
    <t>Construcción</t>
  </si>
  <si>
    <t>Elaboración de azúcares</t>
  </si>
  <si>
    <t>Fabricación de cemento y productos a base de cemento en plantas integradas</t>
  </si>
  <si>
    <t>Industria básica del hierro y el acero</t>
  </si>
  <si>
    <t>Las emisiones de la rama Residencial no cuentan las emisiones asocidas al consumo de leña.</t>
  </si>
  <si>
    <t>En la categoría de Generación Eléctrica todos los procesos de combustión que utilizan el biogas como combustible, que se contabiliza en Autogeneración, se debe de contabilizar en la cuenta del usuario que hizo la combustión.</t>
  </si>
  <si>
    <t>Pemex Petroquímica está en la sección de consumo final en el Balance Nacional de Energía. Se cambió a la categoría Petróleo y Gas.</t>
  </si>
  <si>
    <t>El principal combustible que se utiliza en la extracción de petróleo es el gas natural y el gas seco.</t>
  </si>
  <si>
    <t>Los aspectos más releventes que se encontraron fueron:</t>
  </si>
  <si>
    <t>Los datos del inventarios nacional de emisiones con datos del 2013 se extrajeron del documento de la SEMARNAT "Primer informe bienal de actualización ante la convención marco de las Naciones Unidas sobre el Cambio Climático"</t>
  </si>
  <si>
    <t>Los factores de emisión del documento del IPCC 2006 so extrajeron del capítulo 2.</t>
  </si>
  <si>
    <t>Los factores de emisión que no estaban en el documento INECC 2014 se calculan con los FE de extraídos de docmento INECC 2014 y de la calculadora RENE (de la semarnat) ajustada con los PCN publicados por la CONUEE.</t>
  </si>
  <si>
    <t>Notas</t>
  </si>
  <si>
    <t>N/A</t>
  </si>
  <si>
    <t>Generación eléctrica</t>
  </si>
  <si>
    <t>Pemex refinación</t>
  </si>
  <si>
    <r>
      <t>Inventario nacional de emisiones [Gg de CO</t>
    </r>
    <r>
      <rPr>
        <b/>
        <vertAlign val="subscript"/>
        <sz val="12"/>
        <color theme="1"/>
        <rFont val="Calibri"/>
        <family val="2"/>
        <scheme val="minor"/>
      </rPr>
      <t>2</t>
    </r>
    <r>
      <rPr>
        <b/>
        <sz val="12"/>
        <color theme="1"/>
        <rFont val="Calibri"/>
        <family val="2"/>
        <scheme val="minor"/>
      </rPr>
      <t>]</t>
    </r>
  </si>
  <si>
    <r>
      <t>COPAR 2015 [Gg de CO</t>
    </r>
    <r>
      <rPr>
        <b/>
        <vertAlign val="subscript"/>
        <sz val="12"/>
        <color theme="1"/>
        <rFont val="Calibri"/>
        <family val="2"/>
        <scheme val="minor"/>
      </rPr>
      <t>2</t>
    </r>
    <r>
      <rPr>
        <b/>
        <sz val="12"/>
        <color theme="1"/>
        <rFont val="Calibri"/>
        <family val="2"/>
        <scheme val="minor"/>
      </rPr>
      <t>]</t>
    </r>
  </si>
  <si>
    <r>
      <t>IPCC@2006 [Gg de CO</t>
    </r>
    <r>
      <rPr>
        <b/>
        <vertAlign val="subscript"/>
        <sz val="12"/>
        <color theme="1"/>
        <rFont val="Calibri (Cuerpo)"/>
      </rPr>
      <t>2</t>
    </r>
    <r>
      <rPr>
        <b/>
        <sz val="12"/>
        <color theme="1"/>
        <rFont val="Calibri"/>
        <family val="2"/>
        <scheme val="minor"/>
      </rPr>
      <t>]</t>
    </r>
  </si>
  <si>
    <r>
      <t>INECC@2014 [Gg de CO</t>
    </r>
    <r>
      <rPr>
        <b/>
        <vertAlign val="subscript"/>
        <sz val="12"/>
        <color theme="1"/>
        <rFont val="Calibri (Cuerpo)"/>
      </rPr>
      <t>2</t>
    </r>
    <r>
      <rPr>
        <b/>
        <sz val="12"/>
        <color theme="1"/>
        <rFont val="Calibri"/>
        <family val="2"/>
        <scheme val="minor"/>
      </rPr>
      <t>]</t>
    </r>
  </si>
  <si>
    <t>Energía [PJ]</t>
  </si>
  <si>
    <t>Categoría</t>
  </si>
  <si>
    <t>Suma de COPAR@2015 [Gg de CO2]</t>
  </si>
  <si>
    <t>Suma de IPCC@2006 [Gg de CO2]</t>
  </si>
  <si>
    <t>Suma de INECC@2014 [Gg de CO2]</t>
  </si>
  <si>
    <t>Suma de Energía [PJ]</t>
  </si>
  <si>
    <r>
      <t>COPAR@2015 [Gg de CO</t>
    </r>
    <r>
      <rPr>
        <b/>
        <vertAlign val="subscript"/>
        <sz val="12"/>
        <color theme="1"/>
        <rFont val="Calibri (Cuerpo)"/>
      </rPr>
      <t>2</t>
    </r>
    <r>
      <rPr>
        <b/>
        <sz val="12"/>
        <color theme="1"/>
        <rFont val="Calibri"/>
        <family val="2"/>
        <scheme val="minor"/>
      </rPr>
      <t>]</t>
    </r>
  </si>
  <si>
    <t>Combustible</t>
  </si>
  <si>
    <t>Rama</t>
  </si>
  <si>
    <t>BNE</t>
  </si>
  <si>
    <t>Bioenergy</t>
  </si>
  <si>
    <t>other clean energy</t>
  </si>
  <si>
    <t xml:space="preserve">TOTAL </t>
  </si>
  <si>
    <t xml:space="preserve">Total </t>
  </si>
  <si>
    <t>Residencilal, commervial y publico</t>
  </si>
  <si>
    <t>Agropecuario Transp</t>
  </si>
  <si>
    <t>Pemex Petroquímica transf</t>
  </si>
  <si>
    <t>Total general</t>
  </si>
  <si>
    <t>Consumo de energia en PJ</t>
  </si>
  <si>
    <t xml:space="preserve">Auxiliary Data/ Production of Matrix Supply-Use in million pesos Mx: agriculture 
</t>
  </si>
  <si>
    <t>Mtoe</t>
  </si>
  <si>
    <t>oil</t>
  </si>
  <si>
    <t>Passager transport by road (not include vehicule)</t>
  </si>
  <si>
    <t>Cars + 2-wheels</t>
  </si>
  <si>
    <t>electricity</t>
  </si>
  <si>
    <t xml:space="preserve">Auxiliary Data/ Enerdata-Medpro 2014: Transport
</t>
  </si>
  <si>
    <t xml:space="preserve">Auxiliary Data/ Enerdata-MedPro, MTOE 2014: Transport 
</t>
  </si>
  <si>
    <t>Maquinaria de construcción Transp</t>
  </si>
  <si>
    <t>Oil&amp;Coal</t>
  </si>
  <si>
    <t>Gas</t>
  </si>
  <si>
    <t>Autogeneration</t>
  </si>
  <si>
    <t>Biomass</t>
  </si>
  <si>
    <t>Industries</t>
  </si>
  <si>
    <t>Transformation</t>
  </si>
  <si>
    <t>Branches</t>
  </si>
  <si>
    <t>PJ</t>
  </si>
  <si>
    <t>Sectors</t>
  </si>
  <si>
    <t>Energy</t>
  </si>
  <si>
    <t>En Gwh</t>
  </si>
  <si>
    <t>Equivalencias</t>
  </si>
  <si>
    <t>1GWh</t>
  </si>
  <si>
    <t xml:space="preserve">Supply-use tables </t>
  </si>
  <si>
    <t xml:space="preserve">Auxiliary data : Avegarage prices of electricity </t>
  </si>
  <si>
    <t>Servicios</t>
  </si>
  <si>
    <t>Agrícola</t>
  </si>
  <si>
    <t>Empresa mediana</t>
  </si>
  <si>
    <t>Gran industria</t>
  </si>
  <si>
    <t>Cálculo de los Usos Propios del Sector Eléctrico por tecnología de generación para el año 2013</t>
  </si>
  <si>
    <t>Tecnología</t>
  </si>
  <si>
    <t>Generación Bruta (GWh)</t>
  </si>
  <si>
    <t>Usos propios (en fracción)</t>
  </si>
  <si>
    <t>(1-usos prop)</t>
  </si>
  <si>
    <t>Geneneración neta (GWh)</t>
  </si>
  <si>
    <t>Usos Propios (GWh)</t>
  </si>
  <si>
    <t>Usos Propios en PJ</t>
  </si>
  <si>
    <t>FIRCO y Generación Distribuida*</t>
  </si>
  <si>
    <t>Consumo intermedio de electricidad del sector electrico
(en millones de pesos)</t>
  </si>
  <si>
    <t>Precio 2013 del Kwh para el sector industria (en centavos de pesos)
sources: tarifas por sector tarifario, SIE</t>
  </si>
  <si>
    <t>Consumo propio en Kwh</t>
  </si>
  <si>
    <t>precio del  kwh por consumo propio de electricidad (en pesos)</t>
  </si>
  <si>
    <t>precio del  kwh por consumo propio de electricidad (en centavos de pesos)</t>
  </si>
  <si>
    <t>sources: SIE, SENER</t>
  </si>
  <si>
    <t>El consumo de Diesel en la rama agropecuario se contabiliza en la rama Transporte (En el SIE esta contabilizado en en sector agropecuario)</t>
  </si>
  <si>
    <t>Electricity generation, trasmission and distribution</t>
  </si>
  <si>
    <t>Oil&amp;coal</t>
  </si>
  <si>
    <t>Domestico</t>
  </si>
  <si>
    <t xml:space="preserve">Generation </t>
  </si>
  <si>
    <t>Aggregate Sectors</t>
  </si>
  <si>
    <t>Equivalencia entre unidades de energía</t>
  </si>
  <si>
    <t>Tabla de conversión</t>
  </si>
  <si>
    <t>Unidades</t>
  </si>
  <si>
    <t>joule</t>
  </si>
  <si>
    <t>kWh</t>
  </si>
  <si>
    <t>BTU</t>
  </si>
  <si>
    <t>kcal</t>
  </si>
  <si>
    <r>
      <t xml:space="preserve">MWd </t>
    </r>
    <r>
      <rPr>
        <vertAlign val="superscript"/>
        <sz val="9.5"/>
        <color rgb="FF000000"/>
        <rFont val="Arial"/>
        <family val="2"/>
      </rPr>
      <t>1/</t>
    </r>
  </si>
  <si>
    <t>Twh</t>
  </si>
  <si>
    <t>million BTU</t>
  </si>
  <si>
    <t>Multiplique</t>
  </si>
  <si>
    <t>Por</t>
  </si>
  <si>
    <t>Para convertir</t>
  </si>
  <si>
    <t xml:space="preserve">    1 joule</t>
  </si>
  <si>
    <r>
      <t>2.788 *10</t>
    </r>
    <r>
      <rPr>
        <vertAlign val="superscript"/>
        <sz val="9.5"/>
        <color rgb="FF000000"/>
        <rFont val="Arial"/>
        <family val="2"/>
      </rPr>
      <t>-7</t>
    </r>
  </si>
  <si>
    <r>
      <t>9.481 x 10</t>
    </r>
    <r>
      <rPr>
        <vertAlign val="superscript"/>
        <sz val="9.5"/>
        <color rgb="FF000000"/>
        <rFont val="Arial"/>
        <family val="2"/>
      </rPr>
      <t>-4</t>
    </r>
  </si>
  <si>
    <r>
      <t>2.389 x 10</t>
    </r>
    <r>
      <rPr>
        <vertAlign val="superscript"/>
        <sz val="9.5"/>
        <color rgb="FF000000"/>
        <rFont val="Arial"/>
        <family val="2"/>
      </rPr>
      <t>-4</t>
    </r>
  </si>
  <si>
    <r>
      <t>1.16 x 10</t>
    </r>
    <r>
      <rPr>
        <vertAlign val="superscript"/>
        <sz val="9.5"/>
        <color rgb="FF000000"/>
        <rFont val="Arial"/>
        <family val="2"/>
      </rPr>
      <t>-11</t>
    </r>
  </si>
  <si>
    <t>acres</t>
  </si>
  <si>
    <t>hectáreas</t>
  </si>
  <si>
    <t xml:space="preserve">    1 kWh</t>
  </si>
  <si>
    <r>
      <t>4.17 x 10</t>
    </r>
    <r>
      <rPr>
        <vertAlign val="superscript"/>
        <sz val="9.5"/>
        <color rgb="FF000000"/>
        <rFont val="Arial"/>
        <family val="2"/>
      </rPr>
      <t>-5</t>
    </r>
  </si>
  <si>
    <t>año</t>
  </si>
  <si>
    <t>horas</t>
  </si>
  <si>
    <t xml:space="preserve">    1 BTU</t>
  </si>
  <si>
    <r>
      <t>2.93 x 10</t>
    </r>
    <r>
      <rPr>
        <vertAlign val="superscript"/>
        <sz val="9.5"/>
        <color rgb="FF000000"/>
        <rFont val="Arial"/>
        <family val="2"/>
      </rPr>
      <t>-4</t>
    </r>
  </si>
  <si>
    <r>
      <t>1.22 x 10</t>
    </r>
    <r>
      <rPr>
        <vertAlign val="superscript"/>
        <sz val="9.5"/>
        <color rgb="FF000000"/>
        <rFont val="Arial"/>
        <family val="2"/>
      </rPr>
      <t>-8</t>
    </r>
  </si>
  <si>
    <t>atmósferas</t>
  </si>
  <si>
    <r>
      <t>kg/cm</t>
    </r>
    <r>
      <rPr>
        <vertAlign val="superscript"/>
        <sz val="10"/>
        <color rgb="FF000000"/>
        <rFont val="Arial"/>
        <family val="2"/>
      </rPr>
      <t>2</t>
    </r>
  </si>
  <si>
    <t xml:space="preserve">    1 kcal</t>
  </si>
  <si>
    <r>
      <t>1.163 x 10</t>
    </r>
    <r>
      <rPr>
        <vertAlign val="superscript"/>
        <sz val="9.5"/>
        <color rgb="FF000000"/>
        <rFont val="Arial"/>
        <family val="2"/>
      </rPr>
      <t>-3</t>
    </r>
  </si>
  <si>
    <r>
      <t>4.84 x 10</t>
    </r>
    <r>
      <rPr>
        <vertAlign val="superscript"/>
        <sz val="9.5"/>
        <color rgb="FF000000"/>
        <rFont val="Arial"/>
        <family val="2"/>
      </rPr>
      <t>-8</t>
    </r>
  </si>
  <si>
    <r>
      <t>lb/pulg</t>
    </r>
    <r>
      <rPr>
        <vertAlign val="superscript"/>
        <sz val="10"/>
        <color rgb="FF000000"/>
        <rFont val="Arial"/>
        <family val="2"/>
      </rPr>
      <t>2</t>
    </r>
  </si>
  <si>
    <t xml:space="preserve">    MWd</t>
  </si>
  <si>
    <r>
      <t xml:space="preserve">8.64 x 10 </t>
    </r>
    <r>
      <rPr>
        <vertAlign val="superscript"/>
        <sz val="9.5"/>
        <color rgb="FF000000"/>
        <rFont val="Arial"/>
        <family val="2"/>
      </rPr>
      <t>10</t>
    </r>
  </si>
  <si>
    <r>
      <t>81.89 x 10</t>
    </r>
    <r>
      <rPr>
        <vertAlign val="superscript"/>
        <sz val="9.5"/>
        <color rgb="FF000000"/>
        <rFont val="Arial"/>
        <family val="2"/>
      </rPr>
      <t>9</t>
    </r>
  </si>
  <si>
    <r>
      <t>20.64 x 10</t>
    </r>
    <r>
      <rPr>
        <vertAlign val="superscript"/>
        <sz val="9.5"/>
        <color rgb="FF000000"/>
        <rFont val="Arial"/>
        <family val="2"/>
      </rPr>
      <t>6</t>
    </r>
  </si>
  <si>
    <t>bars</t>
  </si>
  <si>
    <t>1 PJ</t>
  </si>
  <si>
    <t>Kw</t>
  </si>
  <si>
    <t>barril</t>
  </si>
  <si>
    <t>galones</t>
  </si>
  <si>
    <t>1 Mw</t>
  </si>
  <si>
    <t>litros</t>
  </si>
  <si>
    <t>1 GW</t>
  </si>
  <si>
    <r>
      <t xml:space="preserve">metros </t>
    </r>
    <r>
      <rPr>
        <vertAlign val="superscript"/>
        <sz val="10"/>
        <color rgb="FF000000"/>
        <rFont val="Arial"/>
        <family val="2"/>
      </rPr>
      <t>3</t>
    </r>
  </si>
  <si>
    <t>1 Tw</t>
  </si>
  <si>
    <t>BTU/h</t>
  </si>
  <si>
    <t>W (watts)</t>
  </si>
  <si>
    <t>BTU/hp-h</t>
  </si>
  <si>
    <t>kcal/kWh</t>
  </si>
  <si>
    <t>kJ/kWh</t>
  </si>
  <si>
    <t>MX$</t>
  </si>
  <si>
    <t>BTU/kWh</t>
  </si>
  <si>
    <t>1 US$</t>
  </si>
  <si>
    <t>BTU/lb</t>
  </si>
  <si>
    <t>kcal/kg</t>
  </si>
  <si>
    <t>kJ/kg</t>
  </si>
  <si>
    <t>ºC</t>
  </si>
  <si>
    <t>(ºC x 9/5) + 32</t>
  </si>
  <si>
    <t>ºF</t>
  </si>
  <si>
    <t>ºC + 273.18</t>
  </si>
  <si>
    <t>ºK</t>
  </si>
  <si>
    <t>galón</t>
  </si>
  <si>
    <t>hp (US)</t>
  </si>
  <si>
    <t>kW</t>
  </si>
  <si>
    <t>pulgada de mercurio</t>
  </si>
  <si>
    <r>
      <t>3.453 x 10</t>
    </r>
    <r>
      <rPr>
        <vertAlign val="superscript"/>
        <sz val="10"/>
        <color rgb="FF000000"/>
        <rFont val="Arial"/>
        <family val="2"/>
      </rPr>
      <t>-2</t>
    </r>
  </si>
  <si>
    <t>pulgada de agua ( a 4 ºC)</t>
  </si>
  <si>
    <r>
      <t>2.54 x 10</t>
    </r>
    <r>
      <rPr>
        <vertAlign val="superscript"/>
        <sz val="10"/>
        <color rgb="FF000000"/>
        <rFont val="Arial"/>
        <family val="2"/>
      </rPr>
      <t>-3</t>
    </r>
  </si>
  <si>
    <r>
      <t>3.613 x 10</t>
    </r>
    <r>
      <rPr>
        <vertAlign val="superscript"/>
        <sz val="10"/>
        <color rgb="FF000000"/>
        <rFont val="Arial"/>
        <family val="2"/>
      </rPr>
      <t>-2</t>
    </r>
  </si>
  <si>
    <t>kilogramo</t>
  </si>
  <si>
    <t>libras</t>
  </si>
  <si>
    <r>
      <t>1.102 x 10</t>
    </r>
    <r>
      <rPr>
        <vertAlign val="superscript"/>
        <sz val="10"/>
        <color rgb="FF000000"/>
        <rFont val="Arial"/>
        <family val="2"/>
      </rPr>
      <t>-3</t>
    </r>
  </si>
  <si>
    <t>toneladas cortas</t>
  </si>
  <si>
    <r>
      <t>9.842 x 10</t>
    </r>
    <r>
      <rPr>
        <vertAlign val="superscript"/>
        <sz val="10"/>
        <color rgb="FF000000"/>
        <rFont val="Arial"/>
        <family val="2"/>
      </rPr>
      <t>-4</t>
    </r>
  </si>
  <si>
    <t>toneladas largas</t>
  </si>
  <si>
    <t>libra</t>
  </si>
  <si>
    <t>kilogramos</t>
  </si>
  <si>
    <r>
      <t xml:space="preserve">pie </t>
    </r>
    <r>
      <rPr>
        <vertAlign val="superscript"/>
        <sz val="10"/>
        <color rgb="FF000000"/>
        <rFont val="Arial"/>
        <family val="2"/>
      </rPr>
      <t>3</t>
    </r>
  </si>
  <si>
    <r>
      <t>metro</t>
    </r>
    <r>
      <rPr>
        <vertAlign val="superscript"/>
        <sz val="10"/>
        <color rgb="FF000000"/>
        <rFont val="Arial"/>
        <family val="2"/>
      </rPr>
      <t xml:space="preserve"> 3</t>
    </r>
  </si>
  <si>
    <t>tonelada corta (USA)</t>
  </si>
  <si>
    <t>tonelada larga (UK)</t>
  </si>
  <si>
    <t>tonelada eq. de carbón</t>
  </si>
  <si>
    <t>GWh</t>
  </si>
  <si>
    <t>tonelad eq. de petróleo</t>
  </si>
  <si>
    <r>
      <t xml:space="preserve">2.788 x10 </t>
    </r>
    <r>
      <rPr>
        <vertAlign val="superscript"/>
        <sz val="10"/>
        <color rgb="FF000000"/>
        <rFont val="Arial"/>
        <family val="2"/>
      </rPr>
      <t>-7</t>
    </r>
  </si>
  <si>
    <r>
      <t xml:space="preserve">9.481 x 10 </t>
    </r>
    <r>
      <rPr>
        <vertAlign val="superscript"/>
        <sz val="10"/>
        <color rgb="FF000000"/>
        <rFont val="Arial"/>
        <family val="2"/>
      </rPr>
      <t>-4</t>
    </r>
  </si>
  <si>
    <r>
      <t xml:space="preserve">2.389 x 10 </t>
    </r>
    <r>
      <rPr>
        <vertAlign val="superscript"/>
        <sz val="10"/>
        <color rgb="FF000000"/>
        <rFont val="Arial"/>
        <family val="2"/>
      </rPr>
      <t>-4</t>
    </r>
  </si>
  <si>
    <t>https://www.eia.gov/energyexplained/index.php?page=about_energy_conversion_calculator</t>
  </si>
  <si>
    <t>liters</t>
  </si>
  <si>
    <t>megajoules</t>
  </si>
  <si>
    <t>Btu</t>
  </si>
  <si>
    <t>Barrels</t>
  </si>
  <si>
    <t>kilojoule : 1 kJ</t>
  </si>
  <si>
    <t> 1000 </t>
  </si>
  <si>
    <t>J</t>
  </si>
  <si>
    <t>gigajoule : 1 GJ</t>
  </si>
  <si>
    <t>pétajoule : 1 PJ</t>
  </si>
  <si>
    <t>exajoule : 1 EJ</t>
  </si>
  <si>
    <t>térajoule : 1 TJ </t>
  </si>
  <si>
    <t>mégajoule : 1 MJ</t>
  </si>
  <si>
    <t>Auxiliary Data/Cost of energy by sector (million pesos /PJ)</t>
  </si>
  <si>
    <t>Tipo</t>
  </si>
  <si>
    <t>Año</t>
  </si>
  <si>
    <t>Mes</t>
  </si>
  <si>
    <t>IPGN*</t>
  </si>
  <si>
    <t>Diciembre</t>
  </si>
  <si>
    <t xml:space="preserve">Diciembre </t>
  </si>
  <si>
    <t>Índice ( millones de MXN/PJ)</t>
  </si>
  <si>
    <t>Gasolina Premium</t>
  </si>
  <si>
    <t>Gasolina regular</t>
  </si>
  <si>
    <t>Notas : *El índice nacional hace referencia al Índice de Referencia Nacional de Precios de Gas Natural al Mayoreo (IPGN).</t>
  </si>
  <si>
    <t>Importado</t>
  </si>
  <si>
    <t>Total sector</t>
  </si>
  <si>
    <t>Auxiliary Data/Energy price: Source CRE</t>
  </si>
  <si>
    <t>3ME</t>
  </si>
  <si>
    <t>Agriculture, livestock and fishing</t>
  </si>
  <si>
    <t xml:space="preserve">Rail transport </t>
  </si>
  <si>
    <t xml:space="preserve">Public services </t>
  </si>
  <si>
    <t>Households</t>
  </si>
  <si>
    <t>Passanger transport by road (+freight)</t>
  </si>
  <si>
    <t>Otras ramas (à désagréger)</t>
  </si>
  <si>
    <t>Total General</t>
  </si>
  <si>
    <t>TODAS LAS MODALIDADES (PJ)</t>
  </si>
  <si>
    <t>Cogeneración Eficiente (Ciclo Combinado con cogeneración eficiente, Combustión interna con cogeneración eficiente)</t>
  </si>
  <si>
    <t>Bioenergía (Combustión interna, Termoeléctrica convencional, Turbogás)</t>
  </si>
  <si>
    <t>Other clean energy</t>
  </si>
  <si>
    <t>Otras energias limpias (FIRCO, Generación distribuida, frenos regenerativos )</t>
  </si>
  <si>
    <t>Carboeléctrica y Lecho fluidizado</t>
  </si>
  <si>
    <t>Ciclo combinado, turbo gas</t>
  </si>
  <si>
    <t>Termoelectrica</t>
  </si>
  <si>
    <t>CFE  (PJ)</t>
  </si>
  <si>
    <t>PIE  (PJ)</t>
  </si>
  <si>
    <t>COG  (PJ)</t>
  </si>
  <si>
    <t>BIO (PJ)</t>
  </si>
  <si>
    <t>AUT; EXP; PP; UPC  (PJ)</t>
  </si>
  <si>
    <t>TOTAL</t>
  </si>
  <si>
    <t>TODAS LAS MODALIDADES (PJ) (excluyendo AUT; EXP; PP; UPC)</t>
  </si>
  <si>
    <t>Total Sin Biomass</t>
  </si>
  <si>
    <t>Pemex Petroquímica Transf</t>
  </si>
  <si>
    <t>Generacion de electricidad</t>
  </si>
  <si>
    <t>Transformacion</t>
  </si>
  <si>
    <t>Total Cosumo Final</t>
  </si>
  <si>
    <t>Sectores</t>
  </si>
  <si>
    <t>=</t>
  </si>
  <si>
    <t>Auxiliary Data/Energy consumptionof household (source: Enerdata 2014)</t>
  </si>
  <si>
    <t>Transport (sectors and households)</t>
  </si>
  <si>
    <t xml:space="preserve">Transport </t>
  </si>
  <si>
    <t>PJ 2013</t>
  </si>
  <si>
    <t>Electricity generation</t>
  </si>
  <si>
    <t>Total </t>
  </si>
  <si>
    <t>Residencial </t>
  </si>
  <si>
    <t>Comercial </t>
  </si>
  <si>
    <t>Agricola</t>
  </si>
  <si>
    <t>Industrial </t>
  </si>
  <si>
    <t>Empresa mediana </t>
  </si>
  <si>
    <t>Gran industria </t>
  </si>
  <si>
    <t>1 centavo de pesos</t>
  </si>
  <si>
    <t>1 KWh </t>
  </si>
  <si>
    <t>Total Final consumption</t>
  </si>
  <si>
    <t>millones de pesos/PJ</t>
  </si>
  <si>
    <t>Centavos de pesos/Kwh </t>
  </si>
  <si>
    <t>Difference from SIE</t>
  </si>
  <si>
    <t>Auxiliary Data/Energy consumption in electricity sector by technologie (source:ThreeME)</t>
  </si>
  <si>
    <t>Million pesos</t>
  </si>
  <si>
    <t>Sistema de Información Energética</t>
  </si>
  <si>
    <t>Secretaría de Energía</t>
  </si>
  <si>
    <t>Dirección General de Planeación e Información Energéticas</t>
  </si>
  <si>
    <t>Balance Nacional de Energía: Consumo de energía para generación eléctrica en el sistema eléctrico nacional</t>
  </si>
  <si>
    <t>(petajoules)</t>
  </si>
  <si>
    <t>REALES</t>
  </si>
  <si>
    <t>Descripción</t>
  </si>
  <si>
    <t>Energía eólica, solar y biogás</t>
  </si>
  <si>
    <t>Centrales públicas</t>
  </si>
  <si>
    <t>Nucleoenergia</t>
  </si>
  <si>
    <t>Hidroenergia</t>
  </si>
  <si>
    <t>Geoenergia</t>
  </si>
  <si>
    <t>Centrales PIEs</t>
  </si>
  <si>
    <t>Centrales de Autogeneración</t>
  </si>
  <si>
    <t>Biogás</t>
  </si>
  <si>
    <t>Otros secundarios</t>
  </si>
  <si>
    <t>Centrales con modalidad de Generación</t>
  </si>
  <si>
    <t>Produccion total</t>
  </si>
  <si>
    <t>Producción en centrales eléctricas</t>
  </si>
  <si>
    <t>Producción en centrales eléctricas PIE</t>
  </si>
  <si>
    <t>Producción en centrales eléctricas autogeneración</t>
  </si>
  <si>
    <t>Producción en centrales eléctricas con modalidad de Generación</t>
  </si>
  <si>
    <t>La suma de los parciales puede no coincidir con los totales, debido al redondeo de las cifras.</t>
  </si>
  <si>
    <t>A partir de 2016 se incluye información de las centrales eléctricas con permiso de generación otorgado por la CRE.</t>
  </si>
  <si>
    <t>Los datos del año 2016 son preliminares y están sujetos a cambios sin previo aviso.</t>
  </si>
  <si>
    <t>Fuente: Sistema de Información Energética con información del Balance Nacional de Energía, SENER.</t>
  </si>
  <si>
    <t>Total consumo de energia sin Biomass</t>
  </si>
  <si>
    <t>SIE</t>
  </si>
  <si>
    <t>CRE</t>
  </si>
  <si>
    <t>CRE (excluyendo AUT; EXP; PP; UPC)</t>
  </si>
  <si>
    <t>Energy consumption PJ</t>
  </si>
  <si>
    <t>Prices (million MXN/PJ)</t>
  </si>
  <si>
    <t>Auxiliary Data/Energy consumption by setors in Million pesos - ThreeME-Mex (source: use-supply Matrix 2013, INEGI)</t>
  </si>
  <si>
    <t>Generacion electricidad</t>
  </si>
  <si>
    <t>CONSUMO DE COMBUSTIBLES PARA LA GENERACIÓN DE ENERGÍA ELÉCTRICA EN PEMEX  (PJ)</t>
  </si>
  <si>
    <t>OIL&amp;COAL</t>
  </si>
  <si>
    <t>GAS</t>
  </si>
  <si>
    <t>ELECTRCITY</t>
  </si>
  <si>
    <t>BIOMASS</t>
  </si>
  <si>
    <t>PEMEX EXPLORACIÓN</t>
  </si>
  <si>
    <t>PEMEX PETROQUIÍMICA</t>
  </si>
  <si>
    <t>PEMEX GAS</t>
  </si>
  <si>
    <t>PEMEX REFINACIÓN</t>
  </si>
  <si>
    <t>Precios nivelados combustibles</t>
  </si>
  <si>
    <t>USD/MWh neto</t>
  </si>
  <si>
    <t>MXN</t>
  </si>
  <si>
    <t>millon de pesos</t>
  </si>
  <si>
    <t> pétajoule</t>
  </si>
  <si>
    <t xml:space="preserve">La conversion de centavo de pesos/kwh à millones de pesos/PJ mutiplier par </t>
  </si>
  <si>
    <t>MXN/MWh</t>
  </si>
  <si>
    <t>1 MXN</t>
  </si>
  <si>
    <t>millones MXN</t>
  </si>
  <si>
    <t>1USD</t>
  </si>
  <si>
    <t>Milones MXN/PJ</t>
  </si>
  <si>
    <t>Millones de pesos Para ThreeMe-Mex</t>
  </si>
  <si>
    <t>Assumption for cost of energy in electricity sector to match with National account</t>
  </si>
  <si>
    <t>Centrales publicas</t>
  </si>
  <si>
    <t>PIEs</t>
  </si>
  <si>
    <t>Autogeneracion</t>
  </si>
  <si>
    <t>(source: SIE, Balance Nacional de Energía: Consumo de energía para generación eléctrica en el sistema eléctrico nacional)</t>
  </si>
  <si>
    <t>Clean energy</t>
  </si>
  <si>
    <t>biogas</t>
  </si>
  <si>
    <t>sous-total (clean energy)</t>
  </si>
  <si>
    <t>Ratio used to disaggregated energy comsuption in power sector in the USE-SUPPLY Matrix</t>
  </si>
  <si>
    <t>Etiquetas de fila</t>
  </si>
  <si>
    <t>Suma de GENERACION BRUTA O IMPORTACION (GWh)</t>
  </si>
  <si>
    <t>Suma de CONSUMO DE AUXILIARES (GWh)</t>
  </si>
  <si>
    <t>Suma de GAS NATURAL (m3)</t>
  </si>
  <si>
    <t>Suma de COMBUSTOLEO (m3)</t>
  </si>
  <si>
    <t>Suma de DIESEL (m3)</t>
  </si>
  <si>
    <t>Suma de BAGAZO DE CAÑA (TON)</t>
  </si>
  <si>
    <t>Suma de GAS L.P. (m3)</t>
  </si>
  <si>
    <t>Suma de BIOGAS (m3)</t>
  </si>
  <si>
    <t>Suma de GAS DE ALTO HORNO (m3)</t>
  </si>
  <si>
    <t>Suma de GAS COQUE (m3)</t>
  </si>
  <si>
    <t>Suma de LICOR NEGRO (TON)</t>
  </si>
  <si>
    <t>Suma de GASOLEO (m^3)</t>
  </si>
  <si>
    <t>Suma de ETANO (m^3)</t>
  </si>
  <si>
    <t>Suma de COQUE DE PETROLEO (Ton)</t>
  </si>
  <si>
    <t>Suma de ASERRÍN (Ton)</t>
  </si>
  <si>
    <t>Suma de ACEITE RESIDUAL   (m3)</t>
  </si>
  <si>
    <t>Suma de CARBON (Ton)</t>
  </si>
  <si>
    <t>Suma de Gas Residual (m3)</t>
  </si>
  <si>
    <t>Suma de Bagazo de Malta        (Ton)</t>
  </si>
  <si>
    <t>Suma de Combustóleo Ligereo Aditivado  (m3)</t>
  </si>
  <si>
    <t>Suma de EXCEDENTES A CFE (GWh)</t>
  </si>
  <si>
    <t>AUT.</t>
  </si>
  <si>
    <t>COMBUSTION INTERNA</t>
  </si>
  <si>
    <t>PEMEX-EXPLORACIÓN Y PRODUCCIÓN ESTACIÓN DE COMPRESIÓN Y MANEJO DE GAS EL RAUDAL</t>
  </si>
  <si>
    <t>PEMEX-EXPLORACIÓN Y PRODUCCIÓN, CENTRO OPERATIVO CAYO ARCAS</t>
  </si>
  <si>
    <t>PEMEX-EXPLORACIÓN Y PRODUCCIÓN, PLATAFORMA AKAL-C INYECCIÓN</t>
  </si>
  <si>
    <t>PEMEX-EXPLORACIÓN Y PRODUCCIÓN, PLATAFORMA ECO-1</t>
  </si>
  <si>
    <t>PEMEX-EXPLORACIÓN Y PRODUCCIÓN, PLATAFORMA HABITACIONAL LITORAL TABASCO HA-LT-01</t>
  </si>
  <si>
    <t>PEMEX-EXPLORACIÓN Y PRODUCCIÓN, PLATAFORMA MARINA COMPLEJO IXTOC-A</t>
  </si>
  <si>
    <t>TURBINA DE GAS</t>
  </si>
  <si>
    <t>PEMEX-EXPLORACIÓN Y PRODUCCIÓN, CENTRO DE PROCESO Y TRANSPORTE DE GAS ATASTA</t>
  </si>
  <si>
    <t>PEMEX-PETROQUÍMICA, TERMINAL REFRIGERADA PAJARITOS</t>
  </si>
  <si>
    <t>TURBINA DE GAS Y COMBUSTION INTERNA</t>
  </si>
  <si>
    <t>PEMEX-EXPLORACIÓN Y PRODUCCIÓN, BARCO DE PROCESO, ALMACENAMIENTO Y DESCARGA, YÙUM K’AK’NAAB</t>
  </si>
  <si>
    <t>PEMEX-EXPLORACIÓN Y PRODUCCIÓN, CENTRO DE PROCESO AKAL-B</t>
  </si>
  <si>
    <t>PEMEX-EXPLORACIÓN Y PRODUCCIÓN, CENTRO DE PROCESO AKAL-C</t>
  </si>
  <si>
    <t>PEMEX-EXPLORACIÓN Y PRODUCCIÓN, CENTRO DE PROCESO AKAL-G</t>
  </si>
  <si>
    <t>PEMEX-EXPLORACIÓN Y PRODUCCIÓN, CENTRO DE PROCESO AKAL-L</t>
  </si>
  <si>
    <t>PEMEX-EXPLORACIÓN Y PRODUCCIÓN, CENTRO DE PROCESO AKAL-N</t>
  </si>
  <si>
    <t>PEMEX-EXPLORACIÓN Y PRODUCCIÓN, CENTRO DE PROCESO KU-M</t>
  </si>
  <si>
    <t>PEMEX-EXPLORACIÓN Y PRODUCCIÓN, CENTRO DE PROCESO KU-S</t>
  </si>
  <si>
    <t>PEMEX-EXPLORACIÓN Y PRODUCCIÓN, CENTRO DE PROCESO ZAAP-C</t>
  </si>
  <si>
    <t>PEMEX-EXPLORACIÓN Y PRODUCCIÓN, COMPLEJO MARINO DE PRODUCCIÓN ABKATÚN INYECCIÓN DE AGUA</t>
  </si>
  <si>
    <t>PEMEX-EXPLORACIÓN Y PRODUCCIÓN, COMPLEJO MARINO DE PRODUCCIÓN ABKATÚN-A</t>
  </si>
  <si>
    <t>PEMEX-EXPLORACIÓN Y PRODUCCIÓN, COMPLEJO MARINO DE PRODUCCIÓN ABKATÚN-D</t>
  </si>
  <si>
    <t>PEMEX-EXPLORACIÓN Y PRODUCCIÓN, COMPLEJO MARINO DE PRODUCCIÓN AKAL-J</t>
  </si>
  <si>
    <t>PEMEX-EXPLORACIÓN Y PRODUCCIÓN, COMPLEJO MARINO DE PRODUCCIÓN KU-A</t>
  </si>
  <si>
    <t>PEMEX-EXPLORACIÓN Y PRODUCCIÓN, COMPLEJO MARINO DE PRODUCCIÓN KU-H</t>
  </si>
  <si>
    <t>PEMEX-EXPLORACIÓN Y PRODUCCIÓN, COMPLEJO MARINO DE PRODUCCIÓN NOHOCH-A</t>
  </si>
  <si>
    <t>PEMEX-EXPLORACIÓN Y PRODUCCIÓN, COMPLEJO MARINO DE PRODUCCIÓN POL-A</t>
  </si>
  <si>
    <t>PEMEX-EXPLORACIÓN Y PRODUCCIÓN, COMPLEJO MARINO DE REBOMBEO</t>
  </si>
  <si>
    <t>PEMEX-EXPLORACIÓN Y PRODUCCIÓN, PLATAFORMA AKAL-C, COMPRESIÓN CA-AC-2</t>
  </si>
  <si>
    <t>PEMEX-EXPLORACIÓN Y PRODUCCIÓN, PLATAFORMA DE GENERACIÓN ELÉCTRICA, PG-ZAAP-C</t>
  </si>
  <si>
    <t>PEMEX-EXPLORACIÓN Y PRODUCCIÓN, SISTEMA DE BOMBEO ELECTROCENTRÍFUGO PARA EL CAMPO EK-BALAM</t>
  </si>
  <si>
    <t>(en blanco)</t>
  </si>
  <si>
    <t>HARINERA LA ESPIGA, S. A. DE C. V.</t>
  </si>
  <si>
    <t>COG.</t>
  </si>
  <si>
    <t>BIO PAPPEL PRINTING, S. A. DE C. V.</t>
  </si>
  <si>
    <t>PEMEX-EXPLORACIÓN Y PRODUCCIÓN, PLANTA ELÉCTRICA CÁRDENAS</t>
  </si>
  <si>
    <t>PEMEX-EXPLORACIÓN Y PRODUCCIÓN, TERMINAL MARÍTIMA DOS BOCAS</t>
  </si>
  <si>
    <t>PEMEX-PETROQUÍMICA, COMPLEJO PETROQUÍMICO COSOLEACAQUE</t>
  </si>
  <si>
    <t>COMPAÑÍA DE NITRÓGENO DE CANTARELL, S. A. DE C. V.</t>
  </si>
  <si>
    <t>TURBINA DE GAS Y TURBINA DE VAPOR</t>
  </si>
  <si>
    <t>PEMEX-GAS Y PETROQUÍMICA BÁSICA, COMPLEJO PROCESADOR DE GAS NUEVO PEMEX</t>
  </si>
  <si>
    <t>TURBINA DE VAPOR</t>
  </si>
  <si>
    <t>PEMEX GAS Y PETROQUÍMICA BÁSICA, COMPLEJO PROCESADOR DE GAS POZA RICA</t>
  </si>
  <si>
    <t>PEMEX-PETROQUÍMICA, COMPLEJO PETROQUÍMICO INDEPENDENCIA</t>
  </si>
  <si>
    <t>PEMEX-REFINACIÓN, ING. ANTONIO M. AMOR</t>
  </si>
  <si>
    <t>PEMEX-REFINACIÓN, REFINERÍA FRANCISCO I. MADERO</t>
  </si>
  <si>
    <t>PEMEX-REFINACIÓN, REFINERÍA GENERAL LÁZARO CÁRDENAS</t>
  </si>
  <si>
    <t>PEMEX-REFINACIÓN, REFINERÍA GENERAL LÁZARO CÁRDENAS, PROYECTO RECONFIGURACIÓN</t>
  </si>
  <si>
    <t>PEMEX-REFINACIÓN, REFINERÍA ING. ANTONIO DOVALÍ JAIME</t>
  </si>
  <si>
    <t>PEMEX-REFINACIÓN, REFINERÍA MIGUEL HIDALGO</t>
  </si>
  <si>
    <t>TURBINA DE VAPOR Y TURBOEXPANSOR</t>
  </si>
  <si>
    <t>PEMEX-REFINACIÓN, REFINERÍA ING. HECTOR LARA SOSA</t>
  </si>
  <si>
    <t>BIO PAPPEL, S. A. B. DE C. V.</t>
  </si>
  <si>
    <t>PEMEX-GAS Y PETROQUÍMICA BÁSICA, COMPLEJO PROCESADOR DE GAS BURGOS</t>
  </si>
  <si>
    <t>Por modalidad (SIE)</t>
  </si>
  <si>
    <t>Clean Energy (SIE)</t>
  </si>
  <si>
    <t>Precio centavo de peso/Kwh</t>
  </si>
  <si>
    <t>Centavo de Peso/Kwh</t>
  </si>
  <si>
    <t>Total generation</t>
  </si>
  <si>
    <t>electricity consumption
(millones MXN)</t>
  </si>
  <si>
    <t>centavo de peso/Kwh</t>
  </si>
  <si>
    <t>Total Household</t>
  </si>
  <si>
    <t>Energy consumption by sector (PJ)</t>
  </si>
  <si>
    <t>Biomass and biogas</t>
  </si>
  <si>
    <t>Auxiliary Data/Energy consumption in electricity sector by technologie</t>
  </si>
  <si>
    <t>Source: CRE (all modalities included autogenration)</t>
  </si>
  <si>
    <t xml:space="preserve">Carbon </t>
  </si>
  <si>
    <t>Coal</t>
  </si>
  <si>
    <t>TABLA 3.2.1. CONSUMO BRUTO DE ENERGÍA ELÉCTRICA</t>
  </si>
  <si>
    <t>TABLA 3.1.1. CONSUMO BRUTO DE ENERGÍA ELÉCTRICA POR REGIÓN DE CONTROL</t>
  </si>
  <si>
    <t>(Gigawatt-hora)</t>
  </si>
  <si>
    <t>1
Central</t>
  </si>
  <si>
    <t>2
Oriental</t>
  </si>
  <si>
    <t>3
Occidental</t>
  </si>
  <si>
    <t>4
Noroeste</t>
  </si>
  <si>
    <t>5
Norte</t>
  </si>
  <si>
    <t>6
Noreste</t>
  </si>
  <si>
    <t>7
Peninsular</t>
  </si>
  <si>
    <t>8
Baja California</t>
  </si>
  <si>
    <r>
      <t>9
Baja California Sur</t>
    </r>
    <r>
      <rPr>
        <b/>
        <vertAlign val="superscript"/>
        <sz val="8"/>
        <color rgb="FF000000"/>
        <rFont val="Soberana Sans Light"/>
        <family val="3"/>
      </rPr>
      <t>1/</t>
    </r>
  </si>
  <si>
    <t>10
Mulegé</t>
  </si>
  <si>
    <t>SIN</t>
  </si>
  <si>
    <t>SEN</t>
  </si>
  <si>
    <t>Región de Control</t>
  </si>
  <si>
    <r>
      <t>Consumo 2015</t>
    </r>
    <r>
      <rPr>
        <b/>
        <vertAlign val="superscript"/>
        <sz val="8"/>
        <color rgb="FF000000"/>
        <rFont val="Soberana Sans Light"/>
        <family val="3"/>
      </rPr>
      <t>1/</t>
    </r>
  </si>
  <si>
    <r>
      <t>Consumo 2016</t>
    </r>
    <r>
      <rPr>
        <b/>
        <vertAlign val="superscript"/>
        <sz val="8"/>
        <color rgb="FF000000"/>
        <rFont val="Soberana Sans Light"/>
        <family val="3"/>
      </rPr>
      <t>2/</t>
    </r>
  </si>
  <si>
    <r>
      <t>TCA (%)</t>
    </r>
    <r>
      <rPr>
        <b/>
        <vertAlign val="superscript"/>
        <sz val="8"/>
        <color rgb="FF000000"/>
        <rFont val="Soberana Sans Light"/>
        <family val="3"/>
      </rPr>
      <t xml:space="preserve">3/ </t>
    </r>
  </si>
  <si>
    <t>Central</t>
  </si>
  <si>
    <t>Oriental</t>
  </si>
  <si>
    <t>Occidental</t>
  </si>
  <si>
    <t>Noroeste</t>
  </si>
  <si>
    <t>Norte</t>
  </si>
  <si>
    <t>Noreste</t>
  </si>
  <si>
    <t>Peninsular</t>
  </si>
  <si>
    <t>Baja California</t>
  </si>
  <si>
    <r>
      <t>Baja California Sur</t>
    </r>
    <r>
      <rPr>
        <vertAlign val="superscript"/>
        <sz val="8"/>
        <color rgb="FF000000"/>
        <rFont val="Soberana Sans Light"/>
        <family val="3"/>
      </rPr>
      <t>4/</t>
    </r>
  </si>
  <si>
    <t>Mulegé</t>
  </si>
  <si>
    <r>
      <t>2016</t>
    </r>
    <r>
      <rPr>
        <vertAlign val="superscript"/>
        <sz val="8"/>
        <color rgb="FF000000"/>
        <rFont val="Soberana Sans Light"/>
        <family val="3"/>
      </rPr>
      <t>2/</t>
    </r>
  </si>
  <si>
    <r>
      <rPr>
        <vertAlign val="superscript"/>
        <sz val="7"/>
        <color rgb="FF000000"/>
        <rFont val="Soberana Sans Light"/>
        <family val="3"/>
      </rPr>
      <t>1/</t>
    </r>
    <r>
      <rPr>
        <sz val="7"/>
        <color rgb="FF000000"/>
        <rFont val="Soberana Sans Light"/>
        <family val="3"/>
      </rPr>
      <t xml:space="preserve">Datos revisados. </t>
    </r>
    <r>
      <rPr>
        <vertAlign val="superscript"/>
        <sz val="7"/>
        <color rgb="FF000000"/>
        <rFont val="Soberana Sans Light"/>
        <family val="3"/>
      </rPr>
      <t>2/</t>
    </r>
    <r>
      <rPr>
        <sz val="7"/>
        <color rgb="FF000000"/>
        <rFont val="Soberana Sans Light"/>
        <family val="3"/>
      </rPr>
      <t xml:space="preserve"> Información preliminar. </t>
    </r>
    <r>
      <rPr>
        <vertAlign val="superscript"/>
        <sz val="7"/>
        <color rgb="FF000000"/>
        <rFont val="Soberana Sans Light"/>
        <family val="3"/>
      </rPr>
      <t>3/</t>
    </r>
    <r>
      <rPr>
        <sz val="7"/>
        <color rgb="FF000000"/>
        <rFont val="Soberana Sans Light"/>
        <family val="3"/>
      </rPr>
      <t xml:space="preserve"> TCA: Tasa de Crecimiento Anual. </t>
    </r>
    <r>
      <rPr>
        <vertAlign val="superscript"/>
        <sz val="7"/>
        <color rgb="FF000000"/>
        <rFont val="Soberana Sans Light"/>
        <family val="3"/>
      </rPr>
      <t>4/</t>
    </r>
    <r>
      <rPr>
        <sz val="7"/>
        <color rgb="FF000000"/>
        <rFont val="Soberana Sans Light"/>
        <family val="3"/>
      </rPr>
      <t xml:space="preserve"> Sistema La Paz. Los totales pueden no coincidir por redondeo. </t>
    </r>
  </si>
  <si>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2/</t>
    </r>
    <r>
      <rPr>
        <sz val="7"/>
        <color theme="1"/>
        <rFont val="Soberana Sans"/>
        <family val="3"/>
      </rPr>
      <t xml:space="preserve"> Información preliminar. Los totales pueden no coincidir por redondeo.</t>
    </r>
  </si>
  <si>
    <t>Fuente: Elaborado por la SENER con información del CENACE.</t>
  </si>
  <si>
    <r>
      <t>Fuente: Elaborado por la SENER con información del CENACE</t>
    </r>
    <r>
      <rPr>
        <sz val="8"/>
        <color theme="1"/>
        <rFont val="Soberana Sans"/>
        <family val="3"/>
      </rPr>
      <t>.</t>
    </r>
  </si>
  <si>
    <t>TABLA 3.2.2. USOS PROPIOS DE GENERACIÓN</t>
  </si>
  <si>
    <t>(Megawatt; Gigawatt-hora)</t>
  </si>
  <si>
    <t>1 Central</t>
  </si>
  <si>
    <t>2 Oriental</t>
  </si>
  <si>
    <t>3 Occidental</t>
  </si>
  <si>
    <t>4 Noroeste</t>
  </si>
  <si>
    <t>5 Norte</t>
  </si>
  <si>
    <t>6 Noreste</t>
  </si>
  <si>
    <t>7 Peninsular</t>
  </si>
  <si>
    <t>Demanda (MW)</t>
  </si>
  <si>
    <t>Energía (GWh)</t>
  </si>
  <si>
    <t>8   Baja California</t>
  </si>
  <si>
    <r>
      <t>9  Baja California Sur</t>
    </r>
    <r>
      <rPr>
        <b/>
        <vertAlign val="superscript"/>
        <sz val="8"/>
        <color rgb="FF000000"/>
        <rFont val="Soberana Sans Light"/>
        <family val="3"/>
      </rPr>
      <t>1/</t>
    </r>
  </si>
  <si>
    <t>10 Mulegé</t>
  </si>
  <si>
    <r>
      <rPr>
        <vertAlign val="superscript"/>
        <sz val="7"/>
        <color theme="1"/>
        <rFont val="Soberana Sans"/>
        <family val="3"/>
      </rPr>
      <t xml:space="preserve">1/ </t>
    </r>
    <r>
      <rPr>
        <sz val="7"/>
        <color theme="1"/>
        <rFont val="Soberana Sans"/>
        <family val="3"/>
      </rPr>
      <t xml:space="preserve">Sistema La Paz. </t>
    </r>
    <r>
      <rPr>
        <vertAlign val="superscript"/>
        <sz val="7"/>
        <color theme="1"/>
        <rFont val="Soberana Sans"/>
        <family val="3"/>
      </rPr>
      <t xml:space="preserve">2/ </t>
    </r>
    <r>
      <rPr>
        <sz val="7"/>
        <color theme="1"/>
        <rFont val="Soberana Sans"/>
        <family val="3"/>
      </rPr>
      <t>Información preliminar. Los totales pueden no coincidir por redondeo.</t>
    </r>
  </si>
  <si>
    <r>
      <t>TABLA 3.2.3. CONSUMO FINAL</t>
    </r>
    <r>
      <rPr>
        <b/>
        <vertAlign val="superscript"/>
        <sz val="9"/>
        <color theme="1"/>
        <rFont val="Soberana Sans"/>
        <family val="3"/>
      </rPr>
      <t>1/</t>
    </r>
  </si>
  <si>
    <r>
      <t>9
Baja California Sur</t>
    </r>
    <r>
      <rPr>
        <b/>
        <vertAlign val="superscript"/>
        <sz val="8"/>
        <color rgb="FF000000"/>
        <rFont val="Soberana Sans Light"/>
        <family val="3"/>
      </rPr>
      <t>2/</t>
    </r>
  </si>
  <si>
    <r>
      <t>2016</t>
    </r>
    <r>
      <rPr>
        <vertAlign val="superscript"/>
        <sz val="8"/>
        <color rgb="FF000000"/>
        <rFont val="Soberana Sans Light"/>
        <family val="3"/>
      </rPr>
      <t>3/</t>
    </r>
  </si>
  <si>
    <r>
      <rPr>
        <vertAlign val="superscript"/>
        <sz val="7"/>
        <color theme="1"/>
        <rFont val="Soberana Sans"/>
        <family val="3"/>
      </rPr>
      <t xml:space="preserve">1/ </t>
    </r>
    <r>
      <rPr>
        <sz val="7"/>
        <color theme="1"/>
        <rFont val="Soberana Sans"/>
        <family val="3"/>
      </rPr>
      <t xml:space="preserve">Incluye ventas por sector tarifario, autoabastecimiento remoto y ventas asociadas a la reducción de pérdidas no técnicas. </t>
    </r>
    <r>
      <rPr>
        <vertAlign val="superscript"/>
        <sz val="7"/>
        <color theme="1"/>
        <rFont val="Soberana Sans"/>
        <family val="3"/>
      </rPr>
      <t>2/</t>
    </r>
    <r>
      <rPr>
        <sz val="7"/>
        <color theme="1"/>
        <rFont val="Soberana Sans"/>
        <family val="3"/>
      </rPr>
      <t xml:space="preserve"> Sistema La Paz. </t>
    </r>
    <r>
      <rPr>
        <vertAlign val="superscript"/>
        <sz val="7"/>
        <color theme="1"/>
        <rFont val="Soberana Sans"/>
        <family val="3"/>
      </rPr>
      <t>3/</t>
    </r>
    <r>
      <rPr>
        <sz val="7"/>
        <color theme="1"/>
        <rFont val="Soberana Sans"/>
        <family val="3"/>
      </rPr>
      <t xml:space="preserve"> Información preliminar. Los totales pueden no coincidir por redondeo.</t>
    </r>
  </si>
  <si>
    <t xml:space="preserve">TABLA 3.2.5. ENERGÍA ELÉCTRICA DE AUTOABASTECIMIENTO REMOTO </t>
  </si>
  <si>
    <t>TABLA 3.2.6. PÉRDIDAS DE ELECTRICIDAD</t>
  </si>
  <si>
    <r>
      <t>2016</t>
    </r>
    <r>
      <rPr>
        <vertAlign val="superscript"/>
        <sz val="8"/>
        <rFont val="Soberana Sans Light"/>
        <family val="3"/>
      </rPr>
      <t>2/</t>
    </r>
  </si>
  <si>
    <t xml:space="preserve">TABLA 2.1.1. CAPACIDAD INSTALADA POR TIPO DE TECNOLOGÍA </t>
  </si>
  <si>
    <t>TABLA 2.2.1. GENERACIÓN DE ENERGÍA ELÉCTRICA</t>
  </si>
  <si>
    <t>(Megawatt)</t>
  </si>
  <si>
    <r>
      <t>Capacidad
2015</t>
    </r>
    <r>
      <rPr>
        <b/>
        <vertAlign val="superscript"/>
        <sz val="8"/>
        <color rgb="FF000000"/>
        <rFont val="Soberana Sans Light"/>
        <family val="3"/>
      </rPr>
      <t>1/</t>
    </r>
  </si>
  <si>
    <r>
      <t>Capacidad
2016</t>
    </r>
    <r>
      <rPr>
        <b/>
        <vertAlign val="superscript"/>
        <sz val="8"/>
        <color rgb="FF000000"/>
        <rFont val="Soberana Sans Light"/>
        <family val="3"/>
      </rPr>
      <t>2/</t>
    </r>
  </si>
  <si>
    <r>
      <t>TCA (%)</t>
    </r>
    <r>
      <rPr>
        <b/>
        <vertAlign val="superscript"/>
        <sz val="8"/>
        <color theme="1"/>
        <rFont val="Soberana Sans Light"/>
        <family val="3"/>
      </rPr>
      <t>3/</t>
    </r>
  </si>
  <si>
    <r>
      <t>Generación
2015</t>
    </r>
    <r>
      <rPr>
        <b/>
        <vertAlign val="superscript"/>
        <sz val="8"/>
        <color rgb="FF000000"/>
        <rFont val="Soberana Sans Light"/>
        <family val="3"/>
      </rPr>
      <t>1/</t>
    </r>
  </si>
  <si>
    <r>
      <t>Generación
2016</t>
    </r>
    <r>
      <rPr>
        <b/>
        <vertAlign val="superscript"/>
        <sz val="8"/>
        <color rgb="FF000000"/>
        <rFont val="Soberana Sans Light"/>
        <family val="3"/>
      </rPr>
      <t>2/</t>
    </r>
  </si>
  <si>
    <r>
      <t xml:space="preserve">TCA (%) </t>
    </r>
    <r>
      <rPr>
        <b/>
        <vertAlign val="superscript"/>
        <sz val="8"/>
        <color rgb="FF000000"/>
        <rFont val="Soberana Sans Light"/>
        <family val="3"/>
      </rPr>
      <t>3/</t>
    </r>
  </si>
  <si>
    <t>Convencional</t>
  </si>
  <si>
    <t>Ciclo combinado</t>
  </si>
  <si>
    <t>Termoeléctrica convencional</t>
  </si>
  <si>
    <r>
      <t>Turbogás</t>
    </r>
    <r>
      <rPr>
        <vertAlign val="superscript"/>
        <sz val="8"/>
        <color theme="1"/>
        <rFont val="Soberana Sans Light"/>
        <family val="3"/>
      </rPr>
      <t>4/</t>
    </r>
  </si>
  <si>
    <t>Lecho fluidizado</t>
  </si>
  <si>
    <t>Limpia</t>
  </si>
  <si>
    <t>Renovable</t>
  </si>
  <si>
    <r>
      <t>Bioenergía</t>
    </r>
    <r>
      <rPr>
        <vertAlign val="superscript"/>
        <sz val="8"/>
        <color rgb="FF000000"/>
        <rFont val="Soberana Sans Light"/>
        <family val="3"/>
      </rPr>
      <t>5/</t>
    </r>
  </si>
  <si>
    <t>Generación Distribuida (GD)</t>
  </si>
  <si>
    <t>GD Eólica</t>
  </si>
  <si>
    <t>GD Solar</t>
  </si>
  <si>
    <r>
      <t>GD Bioenergía</t>
    </r>
    <r>
      <rPr>
        <vertAlign val="superscript"/>
        <sz val="8"/>
        <color rgb="FF000000"/>
        <rFont val="Soberana Sans Light"/>
        <family val="3"/>
      </rPr>
      <t>5/</t>
    </r>
  </si>
  <si>
    <r>
      <t>GD Híbrida</t>
    </r>
    <r>
      <rPr>
        <vertAlign val="superscript"/>
        <sz val="8"/>
        <color rgb="FF000000"/>
        <rFont val="Soberana Sans Light"/>
        <family val="3"/>
      </rPr>
      <t>6/</t>
    </r>
  </si>
  <si>
    <r>
      <t>FIRCO</t>
    </r>
    <r>
      <rPr>
        <vertAlign val="superscript"/>
        <sz val="8"/>
        <color rgb="FF000000"/>
        <rFont val="Soberana Sans Light"/>
        <family val="3"/>
      </rPr>
      <t>7/</t>
    </r>
  </si>
  <si>
    <t>Otras</t>
  </si>
  <si>
    <t>Cogeneración eficiente</t>
  </si>
  <si>
    <t>Frenos regenerativos</t>
  </si>
  <si>
    <r>
      <t>Total</t>
    </r>
    <r>
      <rPr>
        <b/>
        <vertAlign val="superscript"/>
        <sz val="8"/>
        <color rgb="FF000000"/>
        <rFont val="Soberana Sans Light"/>
        <family val="3"/>
      </rPr>
      <t>8/</t>
    </r>
  </si>
  <si>
    <r>
      <rPr>
        <vertAlign val="superscript"/>
        <sz val="7"/>
        <color theme="1"/>
        <rFont val="Soberana Sans"/>
        <family val="3"/>
      </rPr>
      <t>1/</t>
    </r>
    <r>
      <rPr>
        <sz val="7"/>
        <color theme="1"/>
        <rFont val="Soberana Sans"/>
        <family val="3"/>
      </rPr>
      <t xml:space="preserve"> Datos revisados. </t>
    </r>
    <r>
      <rPr>
        <vertAlign val="superscript"/>
        <sz val="7"/>
        <color theme="1"/>
        <rFont val="Soberana Sans"/>
        <family val="3"/>
      </rPr>
      <t xml:space="preserve">2/ </t>
    </r>
    <r>
      <rPr>
        <sz val="7"/>
        <color theme="1"/>
        <rFont val="Soberana Sans"/>
        <family val="3"/>
      </rPr>
      <t xml:space="preserve">Información preliminar. </t>
    </r>
    <r>
      <rPr>
        <vertAlign val="superscript"/>
        <sz val="7"/>
        <color theme="1"/>
        <rFont val="Soberana Sans"/>
        <family val="3"/>
      </rPr>
      <t>3/</t>
    </r>
    <r>
      <rPr>
        <sz val="7"/>
        <color theme="1"/>
        <rFont val="Soberana Sans"/>
        <family val="3"/>
      </rPr>
      <t xml:space="preserve"> TCA: Tasa de Crecimiento Anual. </t>
    </r>
    <r>
      <rPr>
        <vertAlign val="superscript"/>
        <sz val="7"/>
        <color theme="1"/>
        <rFont val="Soberana Sans"/>
        <family val="3"/>
      </rPr>
      <t>4/</t>
    </r>
    <r>
      <rPr>
        <sz val="7"/>
        <color theme="1"/>
        <rFont val="Soberana Sans"/>
        <family val="3"/>
      </rPr>
      <t xml:space="preserve"> Incluye plantas móviles. </t>
    </r>
    <r>
      <rPr>
        <vertAlign val="superscript"/>
        <sz val="7"/>
        <color theme="1"/>
        <rFont val="Soberana Sans"/>
        <family val="3"/>
      </rPr>
      <t xml:space="preserve">5/ </t>
    </r>
    <r>
      <rPr>
        <sz val="7"/>
        <color theme="1"/>
        <rFont val="Soberana Sans"/>
        <family val="3"/>
      </rPr>
      <t>Incluye uso de biomasa, bagazo de caña, biogás y licor negro como combustibles de acuerdo con la Ley de Promoción y Desarrollo de los Bioenergéticos.</t>
    </r>
    <r>
      <rPr>
        <vertAlign val="superscript"/>
        <sz val="7"/>
        <color theme="1"/>
        <rFont val="Soberana Sans"/>
        <family val="3"/>
      </rPr>
      <t xml:space="preserve"> 6/ </t>
    </r>
    <r>
      <rPr>
        <sz val="7"/>
        <color theme="1"/>
        <rFont val="Soberana Sans"/>
        <family val="3"/>
      </rPr>
      <t xml:space="preserve">Sistemas híbridos eólico-fotovoltaico. </t>
    </r>
    <r>
      <rPr>
        <vertAlign val="superscript"/>
        <sz val="7"/>
        <color theme="1"/>
        <rFont val="Soberana Sans"/>
        <family val="3"/>
      </rPr>
      <t xml:space="preserve">7/ </t>
    </r>
    <r>
      <rPr>
        <sz val="7"/>
        <color theme="1"/>
        <rFont val="Soberana Sans"/>
        <family val="3"/>
      </rPr>
      <t xml:space="preserve">Fideicomiso de Riesgo Compartido (FIRCO). </t>
    </r>
    <r>
      <rPr>
        <vertAlign val="superscript"/>
        <sz val="7"/>
        <color theme="1"/>
        <rFont val="Soberana Sans"/>
        <family val="3"/>
      </rPr>
      <t>8/</t>
    </r>
    <r>
      <rPr>
        <sz val="7"/>
        <color theme="1"/>
        <rFont val="Soberana Sans"/>
        <family val="3"/>
      </rPr>
      <t xml:space="preserve"> Los totales pueden no coincidir por redondeo.</t>
    </r>
  </si>
  <si>
    <t>Fuente: Elaborado por la SENER con datos de la CFE, la CRE, el CENACE y la Subsecretaría de Planeación y Transición Energética.</t>
  </si>
  <si>
    <t>TABLA 2.1.2. CAPACIDAD INSTALADA POR MODALIDAD 2016</t>
  </si>
  <si>
    <t>TABLA 2.2.2. GENERACIÓN DE ENERGÍA ELÉCTRICA POR MODALIDAD 2016</t>
  </si>
  <si>
    <t>Modalidad</t>
  </si>
  <si>
    <t>Capacidad Total</t>
  </si>
  <si>
    <r>
      <t>Participación</t>
    </r>
    <r>
      <rPr>
        <b/>
        <vertAlign val="superscript"/>
        <sz val="8"/>
        <color rgb="FF000000"/>
        <rFont val="Soberana Sans Light"/>
        <family val="3"/>
      </rPr>
      <t xml:space="preserve"> 
</t>
    </r>
    <r>
      <rPr>
        <b/>
        <sz val="8"/>
        <color rgb="FF000000"/>
        <rFont val="Soberana Sans Light"/>
        <family val="3"/>
      </rPr>
      <t>(%)</t>
    </r>
  </si>
  <si>
    <t>Generación Total</t>
  </si>
  <si>
    <t>Participación
 (%)</t>
  </si>
  <si>
    <r>
      <t>Modalidades conforme a la LSPEE</t>
    </r>
    <r>
      <rPr>
        <b/>
        <vertAlign val="superscript"/>
        <sz val="8"/>
        <color rgb="FF000000"/>
        <rFont val="Soberana Sans Light"/>
        <family val="3"/>
      </rPr>
      <t>1/</t>
    </r>
  </si>
  <si>
    <t>CFE</t>
  </si>
  <si>
    <t>Producción independiente</t>
  </si>
  <si>
    <t>Autoabastecimiento</t>
  </si>
  <si>
    <t>Pequeña Producción</t>
  </si>
  <si>
    <t>Cogeneración</t>
  </si>
  <si>
    <t>Exportación</t>
  </si>
  <si>
    <t>Usos Propios Continuos</t>
  </si>
  <si>
    <r>
      <t>Modalidades conforme a la LIE</t>
    </r>
    <r>
      <rPr>
        <b/>
        <vertAlign val="superscript"/>
        <sz val="8"/>
        <color rgb="FF000000"/>
        <rFont val="Soberana Sans Light"/>
        <family val="3"/>
      </rPr>
      <t>2/</t>
    </r>
  </si>
  <si>
    <t>CFE - Generador</t>
  </si>
  <si>
    <t>Generador</t>
  </si>
  <si>
    <r>
      <t>FIRCO y GD</t>
    </r>
    <r>
      <rPr>
        <vertAlign val="superscript"/>
        <sz val="8"/>
        <color rgb="FF000000"/>
        <rFont val="Soberana Sans Light"/>
        <family val="3"/>
      </rPr>
      <t>3/</t>
    </r>
  </si>
  <si>
    <r>
      <t>Total</t>
    </r>
    <r>
      <rPr>
        <b/>
        <vertAlign val="superscript"/>
        <sz val="8"/>
        <color rgb="FF000000"/>
        <rFont val="Soberana Sans Light"/>
        <family val="3"/>
      </rPr>
      <t>4/</t>
    </r>
  </si>
  <si>
    <r>
      <t xml:space="preserve">Total </t>
    </r>
    <r>
      <rPr>
        <b/>
        <vertAlign val="superscript"/>
        <sz val="8"/>
        <color rgb="FF000000"/>
        <rFont val="Soberana Sans Light"/>
        <family val="3"/>
      </rPr>
      <t>4/</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</si>
  <si>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preliminar2016.</t>
    </r>
  </si>
  <si>
    <r>
      <rPr>
        <vertAlign val="superscript"/>
        <sz val="7"/>
        <color rgb="FF000000"/>
        <rFont val="Soberana Sans"/>
        <family val="3"/>
      </rPr>
      <t xml:space="preserve">1/ </t>
    </r>
    <r>
      <rPr>
        <sz val="7"/>
        <color rgb="FF000000"/>
        <rFont val="Soberana Sans"/>
        <family val="3"/>
      </rPr>
      <t xml:space="preserve">Ley del Servicio Público Eléctrico de Energía Eléctrica. </t>
    </r>
    <r>
      <rPr>
        <vertAlign val="superscript"/>
        <sz val="7"/>
        <color rgb="FF000000"/>
        <rFont val="Soberana Sans"/>
        <family val="3"/>
      </rPr>
      <t xml:space="preserve">2/ </t>
    </r>
    <r>
      <rPr>
        <sz val="7"/>
        <color rgb="FF000000"/>
        <rFont val="Soberana Sans"/>
        <family val="3"/>
      </rPr>
      <t xml:space="preserve">Ley de la Industria Eléctrica. </t>
    </r>
    <r>
      <rPr>
        <vertAlign val="superscript"/>
        <sz val="7"/>
        <color rgb="FF000000"/>
        <rFont val="Soberana Sans"/>
        <family val="3"/>
      </rPr>
      <t xml:space="preserve">3/ </t>
    </r>
    <r>
      <rPr>
        <sz val="7"/>
        <color rgb="FF000000"/>
        <rFont val="Soberana Sans"/>
        <family val="3"/>
      </rPr>
      <t>Fideicomiso de Riesgo Compartido (FIRCO) y Generación Distribuida (GD).</t>
    </r>
    <r>
      <rPr>
        <vertAlign val="superscript"/>
        <sz val="7"/>
        <color rgb="FF000000"/>
        <rFont val="Soberana Sans"/>
        <family val="3"/>
      </rPr>
      <t xml:space="preserve"> 4/ </t>
    </r>
    <r>
      <rPr>
        <sz val="7"/>
        <color rgb="FF000000"/>
        <rFont val="Soberana Sans"/>
        <family val="3"/>
      </rPr>
      <t>Los totales pueden no coincidir por redondeo. Información preliminar 2016.</t>
    </r>
  </si>
  <si>
    <t>Balance Nacional de Energía: Electricidad</t>
  </si>
  <si>
    <t>(terawatts-hora)</t>
  </si>
  <si>
    <t/>
  </si>
  <si>
    <t>2008</t>
  </si>
  <si>
    <t>2009</t>
  </si>
  <si>
    <t>2010</t>
  </si>
  <si>
    <t>2011</t>
  </si>
  <si>
    <t>2012</t>
  </si>
  <si>
    <t>2013</t>
  </si>
  <si>
    <t>2014</t>
  </si>
  <si>
    <t>2015</t>
  </si>
  <si>
    <t>2016</t>
  </si>
  <si>
    <t>Producción bruta 1/</t>
  </si>
  <si>
    <t>production + exportation</t>
  </si>
  <si>
    <t xml:space="preserve">    Centrales eléctricas públicas</t>
  </si>
  <si>
    <t xml:space="preserve">    Centrales eléctricas PIE</t>
  </si>
  <si>
    <t xml:space="preserve">    Centrales eléctricas autogeneración</t>
  </si>
  <si>
    <t xml:space="preserve">    Centrales eléctricas con modalidad de Generación</t>
  </si>
  <si>
    <t>Importación</t>
  </si>
  <si>
    <t>Oferta</t>
  </si>
  <si>
    <t>Production -exportation +importation</t>
  </si>
  <si>
    <t>Diferencia estadística</t>
  </si>
  <si>
    <t>Demanda</t>
  </si>
  <si>
    <t>Perdidas por transmisión y distribución</t>
  </si>
  <si>
    <t>Consumo propio del sector 2/</t>
  </si>
  <si>
    <t>Consumo final total</t>
  </si>
  <si>
    <t>Consumo final energético</t>
  </si>
  <si>
    <t xml:space="preserve">    Eléctrico</t>
  </si>
  <si>
    <t xml:space="preserve">    Ferroviario</t>
  </si>
  <si>
    <t xml:space="preserve">    Siderurgia</t>
  </si>
  <si>
    <t xml:space="preserve">    Química</t>
  </si>
  <si>
    <t xml:space="preserve">    Azúcar</t>
  </si>
  <si>
    <t xml:space="preserve">    Petroquímica de PEMEX</t>
  </si>
  <si>
    <t xml:space="preserve">    Cemento</t>
  </si>
  <si>
    <t xml:space="preserve">    Minería</t>
  </si>
  <si>
    <t xml:space="preserve">    Celulosa y papel</t>
  </si>
  <si>
    <t xml:space="preserve">    Vidrio</t>
  </si>
  <si>
    <t xml:space="preserve">    Cerveza y malta</t>
  </si>
  <si>
    <t xml:space="preserve">    Fertilizantes</t>
  </si>
  <si>
    <t xml:space="preserve">    Automotriz</t>
  </si>
  <si>
    <t xml:space="preserve">    Aguas envasadas</t>
  </si>
  <si>
    <t xml:space="preserve">    Construcción</t>
  </si>
  <si>
    <t xml:space="preserve">    Hule</t>
  </si>
  <si>
    <t xml:space="preserve">    Aluminio</t>
  </si>
  <si>
    <t xml:space="preserve">    Tabaco</t>
  </si>
  <si>
    <t xml:space="preserve">    Otras ramas</t>
  </si>
  <si>
    <t>Notas:</t>
  </si>
  <si>
    <t xml:space="preserve">    1/ La producción no incluye autogeneración de energía eléctrica</t>
  </si>
  <si>
    <t xml:space="preserve">    2/ Incluye autoconsumo por generación y transmisión.</t>
  </si>
  <si>
    <t xml:space="preserve">    La diferencia estadística equivale a los excedentes de autogeneradores de energía eléctrica.</t>
  </si>
  <si>
    <t xml:space="preserve">    La suma de los parciales puede no coincidir con los totales debido al redondeo de las cifras.</t>
  </si>
  <si>
    <t xml:space="preserve">    Los datos del a&amp;ntilde;o 2016 son preliminares y están sujetos a cambios sin previo aviso.</t>
  </si>
  <si>
    <t>Fuente: Sistema de Informacion Energetica con informacion de SENER.</t>
  </si>
  <si>
    <t>Electricity (usos propios PRODESEN)</t>
  </si>
  <si>
    <t xml:space="preserve">Electricity </t>
  </si>
  <si>
    <t>1 MWh </t>
  </si>
  <si>
    <t>1 GWh</t>
  </si>
  <si>
    <t>1Gwh</t>
  </si>
  <si>
    <t>Grand Total</t>
  </si>
  <si>
    <t>Tecnologias</t>
  </si>
  <si>
    <t>Generación (Gwh)</t>
  </si>
  <si>
    <t>Generación %</t>
  </si>
  <si>
    <t>Cogeneración Eficiente</t>
  </si>
  <si>
    <t>Bioenergía</t>
  </si>
  <si>
    <t>otras energias limpias (FIRCO, Generacion distribuida, frenos regenerativos )</t>
  </si>
  <si>
    <t>Carboeléctrica, Lecho fluidizado</t>
  </si>
  <si>
    <t>Correction factor PJ</t>
  </si>
  <si>
    <t>Generationof non clean technologies</t>
  </si>
  <si>
    <t>Generatio of non clean technologies (%)</t>
  </si>
  <si>
    <t>Consumption of power sector</t>
  </si>
  <si>
    <t xml:space="preserve">Consumption of power sector without coal </t>
  </si>
  <si>
    <t xml:space="preserve"> Coal&amp;Oil</t>
  </si>
  <si>
    <t>Generation by Power technology to ventilate nergy consumption</t>
  </si>
  <si>
    <t>EN_Gwh_CONFIN</t>
  </si>
  <si>
    <t>Generation of power sector</t>
  </si>
  <si>
    <t>losses and own consumption (%)</t>
  </si>
  <si>
    <t>Agricultura</t>
  </si>
  <si>
    <t xml:space="preserve">Transporte 
</t>
  </si>
  <si>
    <t xml:space="preserve">Generación de electricidad </t>
  </si>
  <si>
    <t xml:space="preserve">Hogares </t>
  </si>
  <si>
    <t>Petróleo y gas</t>
  </si>
  <si>
    <t>Somme de Energía [PJ]</t>
  </si>
  <si>
    <t>Construcción maquinaria</t>
  </si>
  <si>
    <t>Pemex Petroquímica trans</t>
  </si>
  <si>
    <t>construcción maquinaria</t>
  </si>
  <si>
    <t>Maquinaria de construcción</t>
  </si>
  <si>
    <t>Pemex Petroquímica Trans</t>
  </si>
  <si>
    <t>Generation</t>
  </si>
  <si>
    <t>manufacture of chemical</t>
  </si>
  <si>
    <t>households</t>
  </si>
  <si>
    <t>Electricity&amp;solar</t>
  </si>
  <si>
    <t>Passager transport by road (not include vehicle)</t>
  </si>
  <si>
    <t>household</t>
  </si>
  <si>
    <t>Transport + household</t>
  </si>
  <si>
    <t xml:space="preserve">Transformation </t>
  </si>
  <si>
    <t xml:space="preserve">Genration </t>
  </si>
  <si>
    <t>Transport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</si>
</sst>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43" formatCode="_-* #,##0.00\ _€_-;\-* #,##0.00\ _€_-;_-* &quot;-&quot;??\ _€_-;_-@_-"/>
    <numFmt numFmtId="164" formatCode="_-* #,##0.00_-;\-* #,##0.00_-;_-* &quot;-&quot;??_-;_-@_-"/>
    <numFmt numFmtId="165" formatCode="#,##0.0"/>
    <numFmt numFmtId="166" formatCode="0.0"/>
    <numFmt numFmtId="167" formatCode="0.0%"/>
    <numFmt numFmtId="168" formatCode="#,##0.0000"/>
    <numFmt numFmtId="169" formatCode="General_)"/>
    <numFmt numFmtId="170" formatCode="_-* #,##0.0000_-;\-* #,##0.0000_-;_-* &quot;-&quot;??_-;_-@_-"/>
    <numFmt numFmtId="171" formatCode="#,##0.0000000"/>
    <numFmt numFmtId="172" formatCode="_-* #,##0.0_-;\-* #,##0.0_-;_-* &quot;-&quot;??_-;_-@_-"/>
    <numFmt numFmtId="173" formatCode="_-* #,##0.000_-;\-* #,##0.000_-;_-* &quot;-&quot;??_-;_-@_-"/>
    <numFmt numFmtId="174" formatCode="_-* #,##0_-;\-* #,##0_-;_-* &quot;-&quot;??_-;_-@_-"/>
    <numFmt numFmtId="175" formatCode="0.0000000"/>
    <numFmt numFmtId="176" formatCode="0.0000000000"/>
    <numFmt numFmtId="177" formatCode="0.000"/>
    <numFmt numFmtId="178" formatCode="0.000000"/>
    <numFmt numFmtId="179" formatCode="#,##0.000"/>
    <numFmt numFmtId="180" formatCode="0.0000%"/>
  </numFmts>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10"/>
      <name val="Arial"/>
      <family val="2"/>
    </font>
    <font>
      <b/>
      <sz val="10"/>
      <name val="Arial"/>
      <family val="2"/>
    </font>
    <font>
      <u/>
      <sz val="12"/>
      <color theme="10"/>
      <name val="Calibri"/>
      <family val="2"/>
      <scheme val="minor"/>
    </font>
    <font>
      <sz val="10"/>
      <color theme="1"/>
      <name val="TimesNewRomanPSMT"/>
    </font>
    <font>
      <b/>
      <sz val="6"/>
      <color theme="1"/>
      <name val="Calibri"/>
      <family val="2"/>
      <scheme val="minor"/>
    </font>
    <font>
      <b/>
      <sz val="9"/>
      <color theme="1"/>
      <name val="Calibri"/>
      <family val="2"/>
      <scheme val="minor"/>
    </font>
    <font>
      <sz val="11"/>
      <color rgb="FFFF0000"/>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1"/>
      <name val="Calibri"/>
      <family val="2"/>
      <scheme val="minor"/>
    </font>
    <font>
      <b/>
      <sz val="9"/>
      <color indexed="81"/>
      <name val="Tahoma"/>
      <family val="2"/>
    </font>
    <font>
      <sz val="9"/>
      <color indexed="81"/>
      <name val="Tahoma"/>
      <family val="2"/>
    </font>
    <font>
      <sz val="12"/>
      <name val="Calibri"/>
      <family val="2"/>
      <scheme val="minor"/>
    </font>
    <font>
      <b/>
      <sz val="9"/>
      <color rgb="FF000000"/>
      <name val="Tahoma"/>
      <family val="2"/>
    </font>
    <font>
      <sz val="9"/>
      <color rgb="FF000000"/>
      <name val="Tahoma"/>
      <family val="2"/>
    </font>
    <font>
      <b/>
      <vertAlign val="subscript"/>
      <sz val="12"/>
      <color theme="1"/>
      <name val="Calibri"/>
      <family val="2"/>
      <scheme val="minor"/>
    </font>
    <font>
      <b/>
      <vertAlign val="subscript"/>
      <sz val="12"/>
      <color theme="1"/>
      <name val="Calibri (Cuerpo)"/>
    </font>
    <font>
      <sz val="11"/>
      <name val="Calibri"/>
      <family val="2"/>
      <scheme val="minor"/>
    </font>
    <font>
      <b/>
      <sz val="11"/>
      <color rgb="FFFF0000"/>
      <name val="Calibri"/>
      <family val="2"/>
      <scheme val="minor"/>
    </font>
    <font>
      <b/>
      <sz val="11"/>
      <color rgb="FF333333"/>
      <name val="Arial"/>
      <family val="2"/>
    </font>
    <font>
      <sz val="11"/>
      <color rgb="FF00B0F0"/>
      <name val="Calibri"/>
      <family val="2"/>
      <scheme val="minor"/>
    </font>
    <font>
      <b/>
      <sz val="9.6"/>
      <color rgb="FF000000"/>
      <name val="Arial"/>
      <family val="2"/>
    </font>
    <font>
      <sz val="9.6"/>
      <color rgb="FF000000"/>
      <name val="Arial"/>
      <family val="2"/>
    </font>
    <font>
      <sz val="10"/>
      <color theme="1"/>
      <name val="Calibri"/>
      <family val="2"/>
      <scheme val="minor"/>
    </font>
    <font>
      <b/>
      <sz val="12"/>
      <color rgb="FF000000"/>
      <name val="Arial"/>
      <family val="2"/>
    </font>
    <font>
      <sz val="9.5"/>
      <color rgb="FF000000"/>
      <name val="Arial"/>
      <family val="2"/>
    </font>
    <font>
      <vertAlign val="superscript"/>
      <sz val="9.5"/>
      <color rgb="FF000000"/>
      <name val="Arial"/>
      <family val="2"/>
    </font>
    <font>
      <sz val="10"/>
      <color rgb="FF000000"/>
      <name val="Arial"/>
      <family val="2"/>
    </font>
    <font>
      <vertAlign val="superscript"/>
      <sz val="10"/>
      <color rgb="FF000000"/>
      <name val="Arial"/>
      <family val="2"/>
    </font>
    <font>
      <sz val="6"/>
      <color theme="1"/>
      <name val="Calibri"/>
      <family val="2"/>
      <scheme val="minor"/>
    </font>
    <font>
      <b/>
      <sz val="10"/>
      <color theme="1"/>
      <name val="Calibri"/>
      <family val="2"/>
      <scheme val="minor"/>
    </font>
    <font>
      <sz val="11"/>
      <name val="Calibri"/>
      <family val="2"/>
    </font>
    <font>
      <b/>
      <sz val="10"/>
      <color theme="1"/>
      <name val="Arial"/>
      <family val="2"/>
    </font>
    <font>
      <sz val="10"/>
      <color theme="1"/>
      <name val="Arial"/>
      <family val="2"/>
    </font>
    <font>
      <b/>
      <sz val="9"/>
      <color rgb="FF000000"/>
      <name val="Calibri"/>
      <family val="2"/>
    </font>
    <font>
      <sz val="9"/>
      <color rgb="FF000000"/>
      <name val="Calibri"/>
      <family val="2"/>
    </font>
    <font>
      <i/>
      <sz val="9"/>
      <color rgb="FF000000"/>
      <name val="Calibri"/>
      <family val="2"/>
    </font>
    <font>
      <b/>
      <sz val="14"/>
      <name val="Calibri"/>
      <family val="2"/>
      <scheme val="minor"/>
    </font>
    <font>
      <b/>
      <sz val="12"/>
      <name val="Calibri"/>
      <family val="2"/>
      <scheme val="minor"/>
    </font>
    <font>
      <sz val="10"/>
      <color rgb="FF000000"/>
      <name val="Tahoma"/>
      <family val="2"/>
    </font>
    <font>
      <b/>
      <sz val="10"/>
      <color rgb="FF000000"/>
      <name val="Tahoma"/>
      <family val="2"/>
    </font>
    <font>
      <sz val="10"/>
      <color rgb="FF000000"/>
      <name val="Calibri"/>
      <family val="2"/>
      <scheme val="minor"/>
    </font>
    <font>
      <b/>
      <sz val="14"/>
      <color theme="9"/>
      <name val="Calibri"/>
      <family val="2"/>
      <scheme val="minor"/>
    </font>
    <font>
      <sz val="12"/>
      <color theme="9"/>
      <name val="Calibri"/>
      <family val="2"/>
      <scheme val="minor"/>
    </font>
    <font>
      <sz val="10"/>
      <name val="Arial"/>
      <family val="2"/>
    </font>
    <font>
      <b/>
      <sz val="9"/>
      <color theme="1"/>
      <name val="Soberana Sans"/>
      <family val="3"/>
    </font>
    <font>
      <sz val="9"/>
      <color theme="1"/>
      <name val="Soberana Sans"/>
      <family val="3"/>
    </font>
    <font>
      <b/>
      <sz val="8"/>
      <color theme="1"/>
      <name val="Soberana Sans"/>
      <family val="3"/>
    </font>
    <font>
      <b/>
      <sz val="8"/>
      <color rgb="FF000000"/>
      <name val="Soberana Sans Light"/>
      <family val="3"/>
    </font>
    <font>
      <b/>
      <vertAlign val="superscript"/>
      <sz val="8"/>
      <color rgb="FF000000"/>
      <name val="Soberana Sans Light"/>
      <family val="3"/>
    </font>
    <font>
      <sz val="8"/>
      <color rgb="FF000000"/>
      <name val="Soberana Sans Light"/>
      <family val="3"/>
    </font>
    <font>
      <vertAlign val="superscript"/>
      <sz val="8"/>
      <color rgb="FF000000"/>
      <name val="Soberana Sans Light"/>
      <family val="3"/>
    </font>
    <font>
      <sz val="8"/>
      <name val="Soberana Sans Light"/>
      <family val="3"/>
    </font>
    <font>
      <sz val="7"/>
      <color rgb="FF000000"/>
      <name val="Soberana Sans Light"/>
      <family val="3"/>
    </font>
    <font>
      <vertAlign val="superscript"/>
      <sz val="7"/>
      <color rgb="FF000000"/>
      <name val="Soberana Sans Light"/>
      <family val="3"/>
    </font>
    <font>
      <sz val="7"/>
      <color theme="1"/>
      <name val="Soberana Sans"/>
      <family val="3"/>
    </font>
    <font>
      <vertAlign val="superscript"/>
      <sz val="7"/>
      <color theme="1"/>
      <name val="Soberana Sans"/>
      <family val="3"/>
    </font>
    <font>
      <sz val="8"/>
      <color theme="1"/>
      <name val="Soberana Sans"/>
      <family val="3"/>
    </font>
    <font>
      <sz val="11"/>
      <color theme="1"/>
      <name val="Soberana Sans Light"/>
      <family val="3"/>
    </font>
    <font>
      <b/>
      <vertAlign val="superscript"/>
      <sz val="9"/>
      <color theme="1"/>
      <name val="Soberana Sans"/>
      <family val="3"/>
    </font>
    <font>
      <vertAlign val="superscript"/>
      <sz val="8"/>
      <name val="Soberana Sans Light"/>
      <family val="3"/>
    </font>
    <font>
      <b/>
      <vertAlign val="superscript"/>
      <sz val="8"/>
      <color theme="1"/>
      <name val="Soberana Sans Light"/>
      <family val="3"/>
    </font>
    <font>
      <vertAlign val="superscript"/>
      <sz val="8"/>
      <color theme="1"/>
      <name val="Soberana Sans Light"/>
      <family val="3"/>
    </font>
    <font>
      <i/>
      <sz val="8"/>
      <color rgb="FF000000"/>
      <name val="Soberana Sans Light"/>
      <family val="3"/>
    </font>
    <font>
      <sz val="11"/>
      <color theme="1"/>
      <name val="Soberana Sans"/>
      <family val="3"/>
    </font>
    <font>
      <sz val="7"/>
      <color rgb="FF000000"/>
      <name val="Soberana Sans"/>
      <family val="3"/>
    </font>
    <font>
      <vertAlign val="superscript"/>
      <sz val="7"/>
      <color rgb="FF000000"/>
      <name val="Soberana Sans"/>
      <family val="3"/>
    </font>
    <font>
      <b/>
      <sz val="10"/>
      <color rgb="FF000000"/>
      <name val="Arial"/>
      <family val="2"/>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C00000"/>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DBE5F1"/>
        <bgColor indexed="64"/>
      </patternFill>
    </fill>
    <fill>
      <patternFill patternType="solid">
        <fgColor theme="8" tint="0.59999389629810485"/>
        <bgColor indexed="64"/>
      </patternFill>
    </fill>
    <fill>
      <patternFill patternType="solid">
        <fgColor rgb="FFD9D9D9"/>
        <bgColor indexed="64"/>
      </patternFill>
    </fill>
    <fill>
      <patternFill patternType="solid">
        <fgColor rgb="FFF2F2F2"/>
        <bgColor indexed="64"/>
      </patternFill>
    </fill>
  </fills>
  <borders count="67">
    <border>
      <left/>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medium">
        <color auto="1"/>
      </left>
      <right/>
      <top/>
      <bottom/>
      <diagonal/>
    </border>
    <border>
      <left style="medium">
        <color auto="1"/>
      </left>
      <right/>
      <top style="medium">
        <color auto="1"/>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theme="4" tint="0.3999755851924192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double">
        <color rgb="FFFF0000"/>
      </left>
      <right style="double">
        <color rgb="FFFF0000"/>
      </right>
      <top style="double">
        <color rgb="FFFF0000"/>
      </top>
      <bottom style="medium">
        <color indexed="64"/>
      </bottom>
      <diagonal/>
    </border>
    <border>
      <left style="double">
        <color rgb="FFFF0000"/>
      </left>
      <right style="double">
        <color rgb="FFFF0000"/>
      </right>
      <top/>
      <bottom/>
      <diagonal/>
    </border>
    <border>
      <left style="double">
        <color rgb="FFFF0000"/>
      </left>
      <right style="double">
        <color rgb="FFFF0000"/>
      </right>
      <top/>
      <bottom style="thin">
        <color indexed="64"/>
      </bottom>
      <diagonal/>
    </border>
    <border>
      <left style="double">
        <color rgb="FFFF0000"/>
      </left>
      <right style="double">
        <color rgb="FFFF0000"/>
      </right>
      <top/>
      <bottom style="double">
        <color rgb="FFFF0000"/>
      </bottom>
      <diagonal/>
    </border>
    <border>
      <left style="mediumDashDotDot">
        <color rgb="FFFF0000"/>
      </left>
      <right style="mediumDashDotDot">
        <color rgb="FFFF0000"/>
      </right>
      <top style="mediumDashDotDot">
        <color rgb="FFFF0000"/>
      </top>
      <bottom/>
      <diagonal/>
    </border>
    <border>
      <left style="mediumDashDotDot">
        <color rgb="FFFF0000"/>
      </left>
      <right style="mediumDashDotDot">
        <color rgb="FFFF0000"/>
      </right>
      <top/>
      <bottom/>
      <diagonal/>
    </border>
    <border>
      <left style="mediumDashDotDot">
        <color rgb="FFFF0000"/>
      </left>
      <right style="mediumDashDotDot">
        <color rgb="FFFF0000"/>
      </right>
      <top/>
      <bottom style="mediumDashDotDot">
        <color rgb="FFFF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top style="medium">
        <color theme="0"/>
      </top>
      <bottom style="medium">
        <color theme="0"/>
      </bottom>
      <diagonal/>
    </border>
    <border>
      <left/>
      <right/>
      <top style="medium">
        <color theme="0"/>
      </top>
      <bottom/>
      <diagonal/>
    </border>
    <border>
      <left/>
      <right style="medium">
        <color theme="0"/>
      </right>
      <top/>
      <bottom/>
      <diagonal/>
    </border>
    <border>
      <left/>
      <right style="medium">
        <color theme="0"/>
      </right>
      <top/>
      <bottom style="medium">
        <color rgb="FFFFFFFF"/>
      </bottom>
      <diagonal/>
    </border>
    <border>
      <left style="medium">
        <color rgb="FFFFFFFF"/>
      </left>
      <right style="medium">
        <color rgb="FFFFFFFF"/>
      </right>
      <top/>
      <bottom style="medium">
        <color rgb="FFFFFFFF"/>
      </bottom>
      <diagonal/>
    </border>
    <border>
      <left/>
      <right style="medium">
        <color theme="0"/>
      </right>
      <top style="medium">
        <color theme="0"/>
      </top>
      <bottom style="medium">
        <color theme="0"/>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style="medium">
        <color rgb="FFFFFFFF"/>
      </left>
      <right/>
      <top/>
      <bottom style="medium">
        <color rgb="FFFFFFFF"/>
      </bottom>
      <diagonal/>
    </border>
    <border>
      <left/>
      <right/>
      <top style="medium">
        <color rgb="FFFFFFFF"/>
      </top>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diagonal/>
    </border>
    <border>
      <left/>
      <right style="mediumDashDotDot">
        <color auto="1"/>
      </right>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s>
  <cellStyleXfs count="18">
    <xf numFmtId="0" fontId="0" fillId="0" borderId="0"/>
    <xf numFmtId="0" fontId="22" fillId="0" borderId="0"/>
    <xf numFmtId="0" fontId="27" fillId="0" borderId="0"/>
    <xf numFmtId="0" fontId="27" fillId="0" borderId="0"/>
    <xf numFmtId="0" fontId="29" fillId="0" borderId="0" applyNumberFormat="0" applyFill="0" applyBorder="0" applyAlignment="0" applyProtection="0"/>
    <xf numFmtId="0" fontId="27" fillId="0" borderId="0" applyNumberFormat="0" applyFont="0" applyFill="0" applyBorder="0" applyAlignment="0" applyProtection="0"/>
    <xf numFmtId="0" fontId="21" fillId="0" borderId="0"/>
    <xf numFmtId="9" fontId="21" fillId="0" borderId="0" applyFont="0" applyFill="0" applyBorder="0" applyAlignment="0" applyProtection="0"/>
    <xf numFmtId="164" fontId="21" fillId="0" borderId="0" applyFont="0" applyFill="0" applyBorder="0" applyAlignment="0" applyProtection="0"/>
    <xf numFmtId="0" fontId="27" fillId="0" borderId="0"/>
    <xf numFmtId="169" fontId="27" fillId="0" borderId="0"/>
    <xf numFmtId="9" fontId="24" fillId="0" borderId="0" applyFont="0" applyFill="0" applyBorder="0" applyAlignment="0" applyProtection="0"/>
    <xf numFmtId="164" fontId="24" fillId="0" borderId="0" applyFont="0" applyFill="0" applyBorder="0" applyAlignment="0" applyProtection="0"/>
    <xf numFmtId="0" fontId="15" fillId="0" borderId="0"/>
    <xf numFmtId="0" fontId="59" fillId="0" borderId="0"/>
    <xf numFmtId="0" fontId="72" fillId="0" borderId="0" applyNumberFormat="0" applyFont="0" applyFill="0" applyBorder="0" applyAlignment="0" applyProtection="0"/>
    <xf numFmtId="0" fontId="27" fillId="0" borderId="0" applyNumberFormat="0" applyFont="0" applyFill="0" applyBorder="0" applyAlignment="0" applyProtection="0"/>
    <xf numFmtId="9" fontId="27" fillId="0" borderId="0" applyNumberFormat="0" applyFont="0" applyFill="0" applyBorder="0" applyAlignment="0" applyProtection="0"/>
  </cellStyleXfs>
  <cellXfs count="711">
    <xf numFmtId="0" fontId="0" fillId="0" borderId="0" xfId="0"/>
    <xf numFmtId="0" fontId="22" fillId="2" borderId="0" xfId="1" applyFill="1" applyBorder="1"/>
    <xf numFmtId="0" fontId="27" fillId="0" borderId="0" xfId="3" applyFont="1" applyFill="1" applyBorder="1" applyAlignment="1">
      <alignment horizontal="left"/>
    </xf>
    <xf numFmtId="0" fontId="26" fillId="0" borderId="0" xfId="0" applyFont="1"/>
    <xf numFmtId="0" fontId="34" fillId="0" borderId="0" xfId="0" applyFont="1" applyAlignment="1"/>
    <xf numFmtId="0" fontId="0" fillId="0" borderId="0" xfId="0" applyFill="1"/>
    <xf numFmtId="0" fontId="0" fillId="2" borderId="0" xfId="0" applyFill="1" applyBorder="1"/>
    <xf numFmtId="0" fontId="0" fillId="0" borderId="0" xfId="0" applyBorder="1"/>
    <xf numFmtId="3" fontId="27" fillId="0" borderId="0" xfId="2" applyNumberFormat="1" applyBorder="1"/>
    <xf numFmtId="0" fontId="0" fillId="0" borderId="0" xfId="0" pivotButton="1"/>
    <xf numFmtId="0" fontId="31" fillId="2" borderId="0" xfId="0" applyFont="1" applyFill="1" applyBorder="1" applyAlignment="1">
      <alignment vertical="center" wrapText="1"/>
    </xf>
    <xf numFmtId="0" fontId="40" fillId="6" borderId="0" xfId="0" applyFont="1" applyFill="1"/>
    <xf numFmtId="0" fontId="0" fillId="7" borderId="0" xfId="0" applyFill="1"/>
    <xf numFmtId="164" fontId="0" fillId="0" borderId="0" xfId="0" applyNumberFormat="1"/>
    <xf numFmtId="0" fontId="0" fillId="0" borderId="0" xfId="0" applyAlignment="1">
      <alignment horizontal="left" indent="3"/>
    </xf>
    <xf numFmtId="0" fontId="0" fillId="0" borderId="0" xfId="0" applyAlignment="1">
      <alignment horizontal="left" indent="2"/>
    </xf>
    <xf numFmtId="0" fontId="0" fillId="0" borderId="0" xfId="0" applyAlignment="1">
      <alignment horizontal="left" indent="1"/>
    </xf>
    <xf numFmtId="164" fontId="0" fillId="0" borderId="4" xfId="12" applyFont="1" applyBorder="1"/>
    <xf numFmtId="0" fontId="0" fillId="0" borderId="4" xfId="0" applyBorder="1"/>
    <xf numFmtId="164" fontId="0" fillId="0" borderId="0" xfId="12" applyFont="1"/>
    <xf numFmtId="164" fontId="0" fillId="0" borderId="0" xfId="12" applyFont="1" applyBorder="1"/>
    <xf numFmtId="0" fontId="0" fillId="0" borderId="0" xfId="0" applyNumberFormat="1" applyFont="1" applyFill="1" applyBorder="1" applyAlignment="1"/>
    <xf numFmtId="0" fontId="0" fillId="0" borderId="0" xfId="0" applyFill="1" applyBorder="1"/>
    <xf numFmtId="164" fontId="0" fillId="0" borderId="4" xfId="12" applyFont="1" applyBorder="1" applyAlignment="1">
      <alignment horizontal="center"/>
    </xf>
    <xf numFmtId="164" fontId="0" fillId="0" borderId="4" xfId="0" applyNumberFormat="1" applyBorder="1" applyAlignment="1">
      <alignment horizontal="center"/>
    </xf>
    <xf numFmtId="164" fontId="0" fillId="0" borderId="0" xfId="12" applyFont="1" applyBorder="1" applyAlignment="1">
      <alignment horizontal="center"/>
    </xf>
    <xf numFmtId="164" fontId="0" fillId="0" borderId="0" xfId="0" applyNumberFormat="1" applyBorder="1" applyAlignment="1">
      <alignment horizontal="center"/>
    </xf>
    <xf numFmtId="0" fontId="0" fillId="0" borderId="0" xfId="0" applyNumberFormat="1" applyFont="1" applyFill="1" applyBorder="1" applyAlignment="1">
      <alignment horizontal="left" vertical="center"/>
    </xf>
    <xf numFmtId="0" fontId="0" fillId="0" borderId="0" xfId="0" applyBorder="1" applyAlignment="1">
      <alignment horizontal="center"/>
    </xf>
    <xf numFmtId="164" fontId="0" fillId="0" borderId="5" xfId="0" applyNumberFormat="1" applyBorder="1" applyAlignment="1">
      <alignment horizontal="center"/>
    </xf>
    <xf numFmtId="0" fontId="0" fillId="0" borderId="5" xfId="0" applyBorder="1"/>
    <xf numFmtId="0" fontId="26" fillId="0" borderId="2" xfId="0" applyFont="1" applyBorder="1"/>
    <xf numFmtId="0" fontId="26" fillId="0" borderId="2" xfId="4" quotePrefix="1" applyFont="1" applyBorder="1"/>
    <xf numFmtId="0" fontId="26" fillId="0" borderId="1" xfId="0" applyFont="1" applyBorder="1"/>
    <xf numFmtId="164" fontId="0" fillId="0" borderId="0" xfId="0" applyNumberFormat="1" applyBorder="1"/>
    <xf numFmtId="0" fontId="36" fillId="2" borderId="0" xfId="0" applyFont="1" applyFill="1" applyBorder="1"/>
    <xf numFmtId="0" fontId="35" fillId="2" borderId="0" xfId="0" applyFont="1" applyFill="1" applyBorder="1"/>
    <xf numFmtId="0" fontId="34" fillId="2" borderId="0" xfId="0" applyFont="1" applyFill="1" applyBorder="1"/>
    <xf numFmtId="0" fontId="26" fillId="2" borderId="0" xfId="0" applyFont="1" applyFill="1" applyBorder="1"/>
    <xf numFmtId="0" fontId="28" fillId="2" borderId="0" xfId="2" applyFont="1" applyFill="1" applyBorder="1"/>
    <xf numFmtId="0" fontId="28" fillId="2" borderId="0" xfId="2" applyFont="1" applyFill="1" applyBorder="1" applyAlignment="1">
      <alignment wrapText="1"/>
    </xf>
    <xf numFmtId="0" fontId="0" fillId="2" borderId="0" xfId="0" applyFill="1" applyBorder="1" applyAlignment="1">
      <alignment wrapText="1"/>
    </xf>
    <xf numFmtId="0" fontId="27" fillId="2" borderId="0" xfId="3" applyFont="1" applyFill="1" applyBorder="1" applyAlignment="1">
      <alignment horizontal="left"/>
    </xf>
    <xf numFmtId="0" fontId="30" fillId="2" borderId="0" xfId="0" applyFont="1" applyFill="1" applyBorder="1" applyAlignment="1">
      <alignment horizontal="left"/>
    </xf>
    <xf numFmtId="0" fontId="27" fillId="2" borderId="0" xfId="2" applyFill="1" applyBorder="1" applyAlignment="1">
      <alignment horizontal="left"/>
    </xf>
    <xf numFmtId="0" fontId="30" fillId="2" borderId="0" xfId="0" applyFont="1" applyFill="1" applyBorder="1"/>
    <xf numFmtId="3" fontId="27" fillId="2" borderId="0" xfId="2" applyNumberFormat="1" applyFill="1" applyBorder="1"/>
    <xf numFmtId="0" fontId="27" fillId="0" borderId="0" xfId="2" applyBorder="1"/>
    <xf numFmtId="0" fontId="26" fillId="0" borderId="0" xfId="0" applyFont="1" applyBorder="1"/>
    <xf numFmtId="0" fontId="22" fillId="0" borderId="0" xfId="1" applyFill="1" applyBorder="1"/>
    <xf numFmtId="0" fontId="32" fillId="0" borderId="0" xfId="0" applyFont="1" applyFill="1" applyBorder="1" applyAlignment="1">
      <alignment horizontal="left" vertical="center" wrapText="1"/>
    </xf>
    <xf numFmtId="0" fontId="23" fillId="0" borderId="0" xfId="1" applyFont="1" applyFill="1" applyBorder="1"/>
    <xf numFmtId="165" fontId="23" fillId="0" borderId="0" xfId="1" applyNumberFormat="1" applyFont="1" applyFill="1" applyBorder="1"/>
    <xf numFmtId="0" fontId="23" fillId="0" borderId="0" xfId="1" applyFont="1" applyFill="1" applyBorder="1" applyAlignment="1">
      <alignment wrapText="1"/>
    </xf>
    <xf numFmtId="4" fontId="23" fillId="0" borderId="0" xfId="1" applyNumberFormat="1" applyFont="1" applyFill="1" applyBorder="1"/>
    <xf numFmtId="0" fontId="23" fillId="0" borderId="0" xfId="1" applyFont="1" applyFill="1" applyBorder="1" applyAlignment="1">
      <alignment horizontal="center" wrapText="1"/>
    </xf>
    <xf numFmtId="165" fontId="26" fillId="0" borderId="0" xfId="0" applyNumberFormat="1" applyFont="1" applyFill="1" applyBorder="1"/>
    <xf numFmtId="0" fontId="20" fillId="0" borderId="0" xfId="1" applyFont="1" applyFill="1" applyBorder="1"/>
    <xf numFmtId="4" fontId="20" fillId="0" borderId="0" xfId="1" applyNumberFormat="1" applyFont="1" applyFill="1" applyBorder="1"/>
    <xf numFmtId="0" fontId="34" fillId="0" borderId="0" xfId="0" applyFont="1" applyAlignment="1">
      <alignment wrapText="1"/>
    </xf>
    <xf numFmtId="0" fontId="24" fillId="0" borderId="0" xfId="1" applyFont="1" applyFill="1" applyBorder="1" applyAlignment="1"/>
    <xf numFmtId="0" fontId="26" fillId="0" borderId="0" xfId="0" applyFont="1" applyFill="1" applyBorder="1"/>
    <xf numFmtId="9" fontId="26" fillId="0" borderId="0" xfId="11" applyFont="1" applyFill="1" applyBorder="1"/>
    <xf numFmtId="0" fontId="26" fillId="0" borderId="0" xfId="0" applyFont="1" applyFill="1" applyBorder="1" applyAlignment="1">
      <alignment wrapText="1"/>
    </xf>
    <xf numFmtId="4" fontId="26" fillId="0" borderId="0" xfId="0" applyNumberFormat="1" applyFont="1" applyFill="1" applyBorder="1"/>
    <xf numFmtId="0" fontId="24" fillId="0" borderId="12" xfId="0" applyFont="1" applyFill="1" applyBorder="1" applyAlignment="1">
      <alignment wrapText="1"/>
    </xf>
    <xf numFmtId="165" fontId="24" fillId="0" borderId="0" xfId="0" applyNumberFormat="1" applyFont="1" applyFill="1" applyBorder="1"/>
    <xf numFmtId="0" fontId="24" fillId="0" borderId="0" xfId="0" applyFont="1"/>
    <xf numFmtId="49" fontId="24" fillId="0" borderId="0" xfId="0" applyNumberFormat="1" applyFont="1" applyFill="1" applyBorder="1" applyAlignment="1">
      <alignment horizontal="center"/>
    </xf>
    <xf numFmtId="0" fontId="24" fillId="0" borderId="0" xfId="0" applyFont="1" applyFill="1" applyBorder="1" applyAlignment="1">
      <alignment horizontal="center"/>
    </xf>
    <xf numFmtId="0" fontId="24" fillId="0" borderId="0" xfId="0" applyFont="1" applyFill="1" applyBorder="1" applyAlignment="1">
      <alignment wrapText="1"/>
    </xf>
    <xf numFmtId="9" fontId="24" fillId="0" borderId="0" xfId="11" applyFont="1" applyFill="1" applyBorder="1"/>
    <xf numFmtId="165" fontId="20" fillId="0" borderId="0" xfId="1" applyNumberFormat="1" applyFont="1" applyFill="1" applyBorder="1"/>
    <xf numFmtId="9" fontId="20" fillId="0" borderId="0" xfId="11" applyFont="1" applyFill="1" applyBorder="1"/>
    <xf numFmtId="0" fontId="20" fillId="8" borderId="0" xfId="1" applyFont="1" applyFill="1" applyBorder="1"/>
    <xf numFmtId="4" fontId="20" fillId="8" borderId="0" xfId="1" applyNumberFormat="1" applyFont="1" applyFill="1" applyBorder="1"/>
    <xf numFmtId="4" fontId="23" fillId="8" borderId="0" xfId="1" applyNumberFormat="1" applyFont="1" applyFill="1" applyBorder="1"/>
    <xf numFmtId="0" fontId="0" fillId="0" borderId="0" xfId="0" applyFont="1"/>
    <xf numFmtId="3" fontId="20" fillId="0" borderId="0" xfId="1" applyNumberFormat="1" applyFont="1" applyFill="1" applyBorder="1"/>
    <xf numFmtId="165" fontId="19" fillId="0" borderId="0" xfId="1" applyNumberFormat="1" applyFont="1" applyFill="1" applyBorder="1"/>
    <xf numFmtId="166" fontId="19" fillId="0" borderId="0" xfId="1" applyNumberFormat="1" applyFont="1" applyFill="1" applyBorder="1"/>
    <xf numFmtId="166" fontId="19" fillId="0" borderId="0" xfId="1" applyNumberFormat="1" applyFont="1" applyFill="1" applyBorder="1" applyAlignment="1">
      <alignment wrapText="1"/>
    </xf>
    <xf numFmtId="4" fontId="19" fillId="0" borderId="0" xfId="1" applyNumberFormat="1" applyFont="1" applyFill="1" applyBorder="1"/>
    <xf numFmtId="0" fontId="19" fillId="0" borderId="0" xfId="1" applyFont="1" applyFill="1" applyBorder="1"/>
    <xf numFmtId="0" fontId="37" fillId="8" borderId="0" xfId="1" applyFont="1" applyFill="1" applyBorder="1"/>
    <xf numFmtId="166" fontId="23" fillId="0" borderId="0" xfId="1" applyNumberFormat="1" applyFont="1" applyFill="1" applyBorder="1"/>
    <xf numFmtId="166" fontId="19" fillId="0" borderId="0" xfId="0" applyNumberFormat="1" applyFont="1"/>
    <xf numFmtId="166" fontId="46" fillId="0" borderId="0" xfId="0" applyNumberFormat="1" applyFont="1"/>
    <xf numFmtId="166" fontId="33" fillId="0" borderId="0" xfId="0" applyNumberFormat="1" applyFont="1"/>
    <xf numFmtId="0" fontId="19" fillId="0" borderId="0" xfId="0" applyFont="1" applyFill="1" applyBorder="1"/>
    <xf numFmtId="0" fontId="23" fillId="0" borderId="0" xfId="0" applyFont="1" applyFill="1" applyBorder="1"/>
    <xf numFmtId="0" fontId="23" fillId="0" borderId="0" xfId="0" applyFont="1" applyFill="1" applyBorder="1" applyAlignment="1">
      <alignment wrapText="1"/>
    </xf>
    <xf numFmtId="0" fontId="19" fillId="0" borderId="0" xfId="0" applyFont="1"/>
    <xf numFmtId="2" fontId="47" fillId="0" borderId="0" xfId="0" applyNumberFormat="1" applyFont="1"/>
    <xf numFmtId="166" fontId="19" fillId="0" borderId="0" xfId="0" applyNumberFormat="1" applyFont="1" applyFill="1" applyBorder="1"/>
    <xf numFmtId="166" fontId="23" fillId="0" borderId="0" xfId="0" applyNumberFormat="1" applyFont="1" applyFill="1" applyBorder="1"/>
    <xf numFmtId="0" fontId="19" fillId="0" borderId="0" xfId="0" applyFont="1" applyAlignment="1">
      <alignment horizontal="left"/>
    </xf>
    <xf numFmtId="165" fontId="19" fillId="0" borderId="0" xfId="0" applyNumberFormat="1" applyFont="1"/>
    <xf numFmtId="0" fontId="23" fillId="0" borderId="0" xfId="0" applyFont="1"/>
    <xf numFmtId="2" fontId="23" fillId="0" borderId="0" xfId="0" applyNumberFormat="1" applyFont="1"/>
    <xf numFmtId="0" fontId="19" fillId="0" borderId="0" xfId="0" applyFont="1" applyAlignment="1">
      <alignment horizontal="left" indent="1"/>
    </xf>
    <xf numFmtId="165" fontId="19" fillId="0" borderId="0" xfId="0" applyNumberFormat="1" applyFont="1" applyFill="1" applyBorder="1"/>
    <xf numFmtId="165" fontId="23" fillId="0" borderId="0" xfId="0" applyNumberFormat="1" applyFont="1" applyFill="1" applyBorder="1"/>
    <xf numFmtId="2" fontId="23" fillId="0" borderId="0" xfId="0" applyNumberFormat="1" applyFont="1" applyFill="1" applyBorder="1"/>
    <xf numFmtId="165" fontId="45" fillId="8" borderId="0" xfId="0" applyNumberFormat="1" applyFont="1" applyFill="1" applyBorder="1"/>
    <xf numFmtId="0" fontId="48" fillId="0" borderId="0" xfId="0" applyFont="1"/>
    <xf numFmtId="0" fontId="19" fillId="0" borderId="0" xfId="1" applyFont="1" applyFill="1" applyBorder="1" applyAlignment="1">
      <alignment wrapText="1"/>
    </xf>
    <xf numFmtId="0" fontId="19" fillId="0" borderId="0" xfId="0" applyFont="1" applyFill="1" applyBorder="1" applyAlignment="1">
      <alignment vertical="center" wrapText="1"/>
    </xf>
    <xf numFmtId="0" fontId="19" fillId="0" borderId="0" xfId="0" applyFont="1" applyFill="1" applyBorder="1" applyAlignment="1">
      <alignment horizontal="left" vertical="center" wrapText="1"/>
    </xf>
    <xf numFmtId="0" fontId="23" fillId="0" borderId="0" xfId="0" applyFont="1" applyFill="1" applyBorder="1" applyAlignment="1">
      <alignment horizontal="left" vertical="center" wrapText="1"/>
    </xf>
    <xf numFmtId="166" fontId="46" fillId="0" borderId="0" xfId="1" applyNumberFormat="1" applyFont="1" applyFill="1" applyBorder="1"/>
    <xf numFmtId="0" fontId="19" fillId="2" borderId="0" xfId="0" applyFont="1" applyFill="1"/>
    <xf numFmtId="0" fontId="0" fillId="2" borderId="0" xfId="0" applyFill="1"/>
    <xf numFmtId="3" fontId="0" fillId="2" borderId="0" xfId="0" applyNumberFormat="1" applyFill="1"/>
    <xf numFmtId="3" fontId="26" fillId="2" borderId="0" xfId="0" applyNumberFormat="1" applyFont="1" applyFill="1"/>
    <xf numFmtId="3" fontId="23" fillId="0" borderId="0" xfId="0" applyNumberFormat="1" applyFont="1" applyFill="1" applyBorder="1"/>
    <xf numFmtId="0" fontId="49" fillId="2" borderId="0" xfId="0" applyFont="1" applyFill="1" applyBorder="1" applyAlignment="1">
      <alignment horizontal="left" vertical="center" wrapText="1"/>
    </xf>
    <xf numFmtId="0" fontId="50" fillId="2" borderId="0" xfId="0" applyFont="1" applyFill="1" applyBorder="1" applyAlignment="1">
      <alignment horizontal="center" vertical="center" wrapText="1"/>
    </xf>
    <xf numFmtId="166" fontId="50" fillId="2" borderId="0" xfId="0" applyNumberFormat="1" applyFont="1" applyFill="1" applyBorder="1" applyAlignment="1">
      <alignment horizontal="right" vertical="center" wrapText="1"/>
    </xf>
    <xf numFmtId="0" fontId="50" fillId="2" borderId="0" xfId="0" applyFont="1" applyFill="1" applyBorder="1" applyAlignment="1">
      <alignment horizontal="left" vertical="center" wrapText="1"/>
    </xf>
    <xf numFmtId="0" fontId="26" fillId="2" borderId="0" xfId="0" applyFont="1" applyFill="1"/>
    <xf numFmtId="0" fontId="51" fillId="2" borderId="0" xfId="0" applyFont="1" applyFill="1" applyBorder="1" applyAlignment="1">
      <alignment horizontal="left" vertical="center" wrapText="1"/>
    </xf>
    <xf numFmtId="0" fontId="0" fillId="2" borderId="0" xfId="0" applyFont="1" applyFill="1" applyAlignment="1">
      <alignment wrapText="1"/>
    </xf>
    <xf numFmtId="0" fontId="0" fillId="2" borderId="0" xfId="0" applyFont="1" applyFill="1" applyBorder="1"/>
    <xf numFmtId="0" fontId="18" fillId="0" borderId="0" xfId="1" applyFont="1" applyFill="1" applyBorder="1"/>
    <xf numFmtId="3" fontId="18" fillId="0" borderId="0" xfId="0" applyNumberFormat="1" applyFont="1" applyFill="1" applyBorder="1"/>
    <xf numFmtId="3" fontId="18" fillId="0" borderId="0" xfId="12" applyNumberFormat="1" applyFont="1" applyFill="1" applyBorder="1"/>
    <xf numFmtId="0" fontId="23" fillId="0" borderId="0" xfId="0" applyFont="1" applyFill="1" applyBorder="1" applyAlignment="1">
      <alignment horizontal="center" vertical="center"/>
    </xf>
    <xf numFmtId="0" fontId="23" fillId="0" borderId="0" xfId="0" applyFont="1" applyFill="1" applyBorder="1" applyAlignment="1">
      <alignment horizontal="center" vertical="center" wrapText="1"/>
    </xf>
    <xf numFmtId="0" fontId="23" fillId="0" borderId="0" xfId="0" quotePrefix="1" applyFont="1" applyFill="1" applyBorder="1" applyAlignment="1">
      <alignment horizontal="center" vertical="center" wrapText="1"/>
    </xf>
    <xf numFmtId="3" fontId="18" fillId="0" borderId="0" xfId="11" applyNumberFormat="1" applyFont="1" applyFill="1" applyBorder="1"/>
    <xf numFmtId="3" fontId="23" fillId="0" borderId="0" xfId="12" applyNumberFormat="1" applyFont="1" applyFill="1" applyBorder="1"/>
    <xf numFmtId="3" fontId="23" fillId="0" borderId="0" xfId="11" applyNumberFormat="1" applyFont="1" applyFill="1" applyBorder="1"/>
    <xf numFmtId="0" fontId="26" fillId="2" borderId="20" xfId="0" applyFont="1" applyFill="1" applyBorder="1" applyAlignment="1">
      <alignment wrapText="1"/>
    </xf>
    <xf numFmtId="166" fontId="26" fillId="2" borderId="21" xfId="0" applyNumberFormat="1" applyFont="1" applyFill="1" applyBorder="1"/>
    <xf numFmtId="166" fontId="26" fillId="2" borderId="22" xfId="0" applyNumberFormat="1" applyFont="1" applyFill="1" applyBorder="1"/>
    <xf numFmtId="165" fontId="0" fillId="2" borderId="0" xfId="0" applyNumberFormat="1" applyFill="1"/>
    <xf numFmtId="165" fontId="26" fillId="2" borderId="0" xfId="0" applyNumberFormat="1" applyFont="1" applyFill="1"/>
    <xf numFmtId="0" fontId="17" fillId="0" borderId="0" xfId="1" applyFont="1" applyFill="1" applyBorder="1"/>
    <xf numFmtId="3" fontId="17" fillId="0" borderId="0" xfId="1" applyNumberFormat="1" applyFont="1" applyFill="1" applyBorder="1"/>
    <xf numFmtId="3" fontId="23" fillId="0" borderId="0" xfId="1" applyNumberFormat="1" applyFont="1" applyFill="1" applyBorder="1"/>
    <xf numFmtId="0" fontId="26" fillId="0" borderId="0" xfId="0" applyFont="1" applyFill="1"/>
    <xf numFmtId="4" fontId="19" fillId="0" borderId="0" xfId="0" applyNumberFormat="1" applyFont="1"/>
    <xf numFmtId="3" fontId="17" fillId="10" borderId="0" xfId="1" applyNumberFormat="1" applyFont="1" applyFill="1" applyBorder="1"/>
    <xf numFmtId="3" fontId="23" fillId="0" borderId="0" xfId="0" applyNumberFormat="1" applyFont="1"/>
    <xf numFmtId="10" fontId="17" fillId="0" borderId="0" xfId="11" applyNumberFormat="1" applyFont="1" applyFill="1" applyBorder="1"/>
    <xf numFmtId="0" fontId="15" fillId="0" borderId="0" xfId="1" applyFont="1" applyFill="1" applyBorder="1"/>
    <xf numFmtId="0" fontId="15" fillId="0" borderId="0" xfId="0" applyFont="1"/>
    <xf numFmtId="3" fontId="19" fillId="0" borderId="0" xfId="0" applyNumberFormat="1" applyFont="1"/>
    <xf numFmtId="0" fontId="23" fillId="5" borderId="0" xfId="0" applyFont="1" applyFill="1" applyBorder="1" applyAlignment="1">
      <alignment wrapText="1"/>
    </xf>
    <xf numFmtId="0" fontId="52" fillId="0" borderId="0" xfId="13" applyFont="1" applyAlignment="1">
      <alignment horizontal="left" vertical="center"/>
    </xf>
    <xf numFmtId="0" fontId="15" fillId="0" borderId="0" xfId="13"/>
    <xf numFmtId="0" fontId="53" fillId="11" borderId="23" xfId="13" applyFont="1" applyFill="1" applyBorder="1" applyAlignment="1">
      <alignment horizontal="left" vertical="center" wrapText="1" indent="1"/>
    </xf>
    <xf numFmtId="0" fontId="53" fillId="11" borderId="24" xfId="13" applyFont="1" applyFill="1" applyBorder="1" applyAlignment="1">
      <alignment horizontal="center" vertical="center" wrapText="1"/>
    </xf>
    <xf numFmtId="0" fontId="53" fillId="11" borderId="25" xfId="13" applyFont="1" applyFill="1" applyBorder="1" applyAlignment="1">
      <alignment horizontal="center" vertical="center" wrapText="1"/>
    </xf>
    <xf numFmtId="0" fontId="53" fillId="11" borderId="0" xfId="13" applyFont="1" applyFill="1" applyBorder="1" applyAlignment="1">
      <alignment horizontal="center" vertical="center" wrapText="1"/>
    </xf>
    <xf numFmtId="0" fontId="55" fillId="11" borderId="23" xfId="13" applyFont="1" applyFill="1" applyBorder="1" applyAlignment="1">
      <alignment horizontal="center" vertical="center" wrapText="1"/>
    </xf>
    <xf numFmtId="0" fontId="55" fillId="11" borderId="25" xfId="13" applyFont="1" applyFill="1" applyBorder="1" applyAlignment="1">
      <alignment horizontal="center" vertical="center" wrapText="1"/>
    </xf>
    <xf numFmtId="0" fontId="53" fillId="2" borderId="26" xfId="13" applyFont="1" applyFill="1" applyBorder="1" applyAlignment="1">
      <alignment horizontal="left" vertical="center" wrapText="1"/>
    </xf>
    <xf numFmtId="0" fontId="53" fillId="2" borderId="0" xfId="13" applyFont="1" applyFill="1" applyAlignment="1">
      <alignment horizontal="center" vertical="center" wrapText="1"/>
    </xf>
    <xf numFmtId="2" fontId="53" fillId="2" borderId="0" xfId="13" applyNumberFormat="1" applyFont="1" applyFill="1" applyAlignment="1">
      <alignment horizontal="center" vertical="center" wrapText="1"/>
    </xf>
    <xf numFmtId="0" fontId="53" fillId="2" borderId="27" xfId="13" applyFont="1" applyFill="1" applyBorder="1" applyAlignment="1">
      <alignment horizontal="center" vertical="center" wrapText="1"/>
    </xf>
    <xf numFmtId="0" fontId="53" fillId="2" borderId="0" xfId="13" applyFont="1" applyFill="1" applyBorder="1" applyAlignment="1">
      <alignment horizontal="center" vertical="center" wrapText="1"/>
    </xf>
    <xf numFmtId="0" fontId="55" fillId="4" borderId="26" xfId="13" applyFont="1" applyFill="1" applyBorder="1" applyAlignment="1">
      <alignment horizontal="left" vertical="center" wrapText="1" indent="1"/>
    </xf>
    <xf numFmtId="0" fontId="55" fillId="4" borderId="27" xfId="13" applyFont="1" applyFill="1" applyBorder="1" applyAlignment="1">
      <alignment horizontal="right" vertical="center" wrapText="1"/>
    </xf>
    <xf numFmtId="0" fontId="55" fillId="4" borderId="27" xfId="13" applyFont="1" applyFill="1" applyBorder="1" applyAlignment="1">
      <alignment horizontal="left" vertical="center" wrapText="1" indent="1"/>
    </xf>
    <xf numFmtId="3" fontId="53" fillId="2" borderId="0" xfId="13" applyNumberFormat="1" applyFont="1" applyFill="1" applyAlignment="1">
      <alignment horizontal="center" vertical="center" wrapText="1"/>
    </xf>
    <xf numFmtId="3" fontId="55" fillId="4" borderId="27" xfId="13" applyNumberFormat="1" applyFont="1" applyFill="1" applyBorder="1" applyAlignment="1">
      <alignment horizontal="right" vertical="center" wrapText="1"/>
    </xf>
    <xf numFmtId="4" fontId="53" fillId="2" borderId="0" xfId="13" applyNumberFormat="1" applyFont="1" applyFill="1" applyAlignment="1">
      <alignment horizontal="center" vertical="center" wrapText="1"/>
    </xf>
    <xf numFmtId="0" fontId="53" fillId="2" borderId="28" xfId="13" applyFont="1" applyFill="1" applyBorder="1" applyAlignment="1">
      <alignment horizontal="left" vertical="center" wrapText="1"/>
    </xf>
    <xf numFmtId="0" fontId="53" fillId="2" borderId="29" xfId="13" applyFont="1" applyFill="1" applyBorder="1" applyAlignment="1">
      <alignment horizontal="center" vertical="center" wrapText="1"/>
    </xf>
    <xf numFmtId="3" fontId="53" fillId="2" borderId="29" xfId="13" applyNumberFormat="1" applyFont="1" applyFill="1" applyBorder="1" applyAlignment="1">
      <alignment horizontal="center" vertical="center" wrapText="1"/>
    </xf>
    <xf numFmtId="0" fontId="53" fillId="2" borderId="30" xfId="13" applyFont="1" applyFill="1" applyBorder="1" applyAlignment="1">
      <alignment horizontal="center" vertical="center" wrapText="1"/>
    </xf>
    <xf numFmtId="0" fontId="15" fillId="2" borderId="0" xfId="13" applyFill="1"/>
    <xf numFmtId="0" fontId="53" fillId="2" borderId="0" xfId="13" applyFont="1" applyFill="1" applyBorder="1" applyAlignment="1">
      <alignment horizontal="left" vertical="center" wrapText="1"/>
    </xf>
    <xf numFmtId="0" fontId="55" fillId="4" borderId="26" xfId="13" applyFont="1" applyFill="1" applyBorder="1" applyAlignment="1">
      <alignment horizontal="center" vertical="center" wrapText="1"/>
    </xf>
    <xf numFmtId="4" fontId="55" fillId="4" borderId="27" xfId="13" applyNumberFormat="1" applyFont="1" applyFill="1" applyBorder="1" applyAlignment="1">
      <alignment horizontal="right" vertical="center" wrapText="1"/>
    </xf>
    <xf numFmtId="0" fontId="55" fillId="4" borderId="28" xfId="13" applyFont="1" applyFill="1" applyBorder="1" applyAlignment="1">
      <alignment horizontal="left" vertical="center" wrapText="1" indent="1"/>
    </xf>
    <xf numFmtId="0" fontId="55" fillId="4" borderId="30" xfId="13" applyFont="1" applyFill="1" applyBorder="1" applyAlignment="1">
      <alignment horizontal="right" vertical="center" wrapText="1"/>
    </xf>
    <xf numFmtId="0" fontId="55" fillId="4" borderId="30" xfId="13" applyFont="1" applyFill="1" applyBorder="1" applyAlignment="1">
      <alignment horizontal="left" vertical="center" wrapText="1" indent="1"/>
    </xf>
    <xf numFmtId="3" fontId="15" fillId="0" borderId="0" xfId="13" applyNumberFormat="1" applyAlignment="1">
      <alignment horizontal="right"/>
    </xf>
    <xf numFmtId="0" fontId="0" fillId="0" borderId="0" xfId="0" applyAlignment="1"/>
    <xf numFmtId="0" fontId="51" fillId="0" borderId="0" xfId="0" applyFont="1" applyAlignment="1">
      <alignment wrapText="1"/>
    </xf>
    <xf numFmtId="0" fontId="51" fillId="0" borderId="0" xfId="0" applyFont="1"/>
    <xf numFmtId="1" fontId="51" fillId="0" borderId="0" xfId="0" applyNumberFormat="1" applyFont="1"/>
    <xf numFmtId="3" fontId="57" fillId="0" borderId="0" xfId="0" applyNumberFormat="1" applyFont="1" applyBorder="1" applyAlignment="1">
      <alignment horizontal="center" vertical="center"/>
    </xf>
    <xf numFmtId="165" fontId="0" fillId="0" borderId="0" xfId="0" applyNumberFormat="1" applyFont="1" applyFill="1" applyBorder="1"/>
    <xf numFmtId="0" fontId="20" fillId="0" borderId="0" xfId="1" applyFont="1" applyFill="1" applyBorder="1" applyAlignment="1">
      <alignment horizontal="center"/>
    </xf>
    <xf numFmtId="0" fontId="14" fillId="0" borderId="0" xfId="1" applyFont="1" applyFill="1" applyBorder="1"/>
    <xf numFmtId="0" fontId="13" fillId="0" borderId="0" xfId="1" applyFont="1" applyFill="1" applyBorder="1"/>
    <xf numFmtId="0" fontId="13" fillId="0" borderId="0" xfId="1" applyFont="1" applyFill="1" applyBorder="1" applyAlignment="1">
      <alignment horizontal="center" vertical="center"/>
    </xf>
    <xf numFmtId="165" fontId="13" fillId="0" borderId="0" xfId="0" applyNumberFormat="1" applyFont="1" applyFill="1" applyBorder="1" applyAlignment="1">
      <alignment vertical="center"/>
    </xf>
    <xf numFmtId="0" fontId="0" fillId="0" borderId="0" xfId="0" applyAlignment="1">
      <alignment horizontal="left"/>
    </xf>
    <xf numFmtId="0" fontId="0" fillId="0" borderId="7" xfId="0" applyBorder="1"/>
    <xf numFmtId="0" fontId="0" fillId="0" borderId="9" xfId="0" applyBorder="1"/>
    <xf numFmtId="0" fontId="0" fillId="0" borderId="7" xfId="0" applyBorder="1" applyAlignment="1">
      <alignment wrapText="1"/>
    </xf>
    <xf numFmtId="0" fontId="0" fillId="0" borderId="0" xfId="0" applyBorder="1" applyAlignment="1">
      <alignment wrapText="1"/>
    </xf>
    <xf numFmtId="164" fontId="0" fillId="0" borderId="0" xfId="12" applyFont="1" applyBorder="1" applyAlignment="1">
      <alignment wrapText="1"/>
    </xf>
    <xf numFmtId="164" fontId="0" fillId="0" borderId="9" xfId="12" applyFont="1" applyBorder="1" applyAlignment="1">
      <alignment wrapText="1"/>
    </xf>
    <xf numFmtId="0" fontId="0" fillId="0" borderId="10" xfId="0" applyBorder="1" applyAlignment="1">
      <alignment wrapText="1"/>
    </xf>
    <xf numFmtId="0" fontId="0" fillId="0" borderId="3" xfId="0" applyBorder="1" applyAlignment="1">
      <alignment wrapText="1"/>
    </xf>
    <xf numFmtId="164" fontId="0" fillId="0" borderId="3" xfId="12" applyFont="1" applyBorder="1" applyAlignment="1">
      <alignment wrapText="1"/>
    </xf>
    <xf numFmtId="164" fontId="0" fillId="0" borderId="11" xfId="12" applyFont="1" applyBorder="1" applyAlignment="1">
      <alignment wrapText="1"/>
    </xf>
    <xf numFmtId="0" fontId="0" fillId="0" borderId="33" xfId="0" applyBorder="1"/>
    <xf numFmtId="0" fontId="0" fillId="0" borderId="34" xfId="0" applyBorder="1"/>
    <xf numFmtId="0" fontId="0" fillId="0" borderId="33" xfId="0" applyBorder="1" applyAlignment="1">
      <alignment wrapText="1"/>
    </xf>
    <xf numFmtId="164" fontId="0" fillId="0" borderId="34" xfId="12" applyFont="1" applyBorder="1" applyAlignment="1">
      <alignment wrapText="1"/>
    </xf>
    <xf numFmtId="0" fontId="0" fillId="0" borderId="6" xfId="0" applyBorder="1" applyAlignment="1">
      <alignment wrapText="1"/>
    </xf>
    <xf numFmtId="0" fontId="0" fillId="0" borderId="4" xfId="0" applyBorder="1" applyAlignment="1">
      <alignment wrapText="1"/>
    </xf>
    <xf numFmtId="164" fontId="0" fillId="0" borderId="4" xfId="12" applyFont="1" applyBorder="1" applyAlignment="1">
      <alignment wrapText="1"/>
    </xf>
    <xf numFmtId="164" fontId="0" fillId="0" borderId="15" xfId="12" applyFont="1" applyBorder="1" applyAlignment="1">
      <alignment wrapText="1"/>
    </xf>
    <xf numFmtId="0" fontId="12" fillId="0" borderId="0" xfId="0" applyFont="1" applyFill="1" applyBorder="1"/>
    <xf numFmtId="0" fontId="26" fillId="5" borderId="0" xfId="0" applyFont="1" applyFill="1" applyAlignment="1">
      <alignment horizontal="center" vertical="center"/>
    </xf>
    <xf numFmtId="0" fontId="23" fillId="5" borderId="0" xfId="0" applyFont="1" applyFill="1" applyBorder="1" applyAlignment="1">
      <alignment horizontal="center" vertical="center" wrapText="1"/>
    </xf>
    <xf numFmtId="166" fontId="19" fillId="0" borderId="0" xfId="0" applyNumberFormat="1" applyFont="1" applyFill="1" applyBorder="1" applyAlignment="1">
      <alignment horizontal="center"/>
    </xf>
    <xf numFmtId="165" fontId="45" fillId="0" borderId="0" xfId="0" applyNumberFormat="1" applyFont="1" applyFill="1" applyBorder="1"/>
    <xf numFmtId="0" fontId="23" fillId="5" borderId="0" xfId="0" applyFont="1" applyFill="1" applyBorder="1"/>
    <xf numFmtId="164" fontId="26" fillId="0" borderId="0" xfId="0" applyNumberFormat="1" applyFont="1"/>
    <xf numFmtId="164" fontId="51" fillId="0" borderId="0" xfId="12" applyFont="1" applyFill="1"/>
    <xf numFmtId="0" fontId="51" fillId="0" borderId="0" xfId="0" applyFont="1" applyFill="1"/>
    <xf numFmtId="0" fontId="60" fillId="0" borderId="2" xfId="0" applyFont="1" applyBorder="1" applyAlignment="1">
      <alignment horizontal="center" vertical="center"/>
    </xf>
    <xf numFmtId="0" fontId="60" fillId="0" borderId="2" xfId="0" applyFont="1" applyBorder="1" applyAlignment="1">
      <alignment horizontal="center" vertical="center" wrapText="1"/>
    </xf>
    <xf numFmtId="0" fontId="58" fillId="0" borderId="2" xfId="0" applyFont="1" applyBorder="1" applyAlignment="1">
      <alignment horizontal="center" vertical="center" wrapText="1"/>
    </xf>
    <xf numFmtId="0" fontId="58" fillId="0" borderId="2" xfId="0" quotePrefix="1" applyFont="1" applyBorder="1" applyAlignment="1">
      <alignment horizontal="center" vertical="center" wrapText="1"/>
    </xf>
    <xf numFmtId="0" fontId="58" fillId="0" borderId="16" xfId="0" applyFont="1" applyBorder="1" applyAlignment="1">
      <alignment horizontal="center" vertical="center" wrapText="1"/>
    </xf>
    <xf numFmtId="0" fontId="61" fillId="0" borderId="0" xfId="0" applyFont="1" applyFill="1" applyBorder="1"/>
    <xf numFmtId="3" fontId="61" fillId="0" borderId="0" xfId="0" applyNumberFormat="1" applyFont="1" applyFill="1" applyBorder="1"/>
    <xf numFmtId="170" fontId="51" fillId="3" borderId="0" xfId="12" applyNumberFormat="1" applyFont="1" applyFill="1" applyBorder="1"/>
    <xf numFmtId="164" fontId="51" fillId="3" borderId="0" xfId="12" applyFont="1" applyFill="1" applyBorder="1"/>
    <xf numFmtId="164" fontId="51" fillId="3" borderId="17" xfId="12" applyFont="1" applyFill="1" applyBorder="1"/>
    <xf numFmtId="9" fontId="51" fillId="3" borderId="17" xfId="11" applyFont="1" applyFill="1" applyBorder="1"/>
    <xf numFmtId="170" fontId="51" fillId="3" borderId="17" xfId="12" applyNumberFormat="1" applyFont="1" applyFill="1" applyBorder="1"/>
    <xf numFmtId="0" fontId="51" fillId="3" borderId="0" xfId="0" applyFont="1" applyFill="1" applyBorder="1"/>
    <xf numFmtId="0" fontId="61" fillId="0" borderId="4" xfId="0" applyFont="1" applyBorder="1"/>
    <xf numFmtId="3" fontId="61" fillId="0" borderId="4" xfId="0" applyNumberFormat="1" applyFont="1" applyBorder="1"/>
    <xf numFmtId="0" fontId="51" fillId="3" borderId="4" xfId="0" applyFont="1" applyFill="1" applyBorder="1"/>
    <xf numFmtId="164" fontId="51" fillId="3" borderId="4" xfId="12" applyFont="1" applyFill="1" applyBorder="1"/>
    <xf numFmtId="164" fontId="51" fillId="3" borderId="18" xfId="12" applyFont="1" applyFill="1" applyBorder="1"/>
    <xf numFmtId="0" fontId="60" fillId="0" borderId="4" xfId="0" applyFont="1" applyBorder="1"/>
    <xf numFmtId="3" fontId="60" fillId="0" borderId="4" xfId="0" applyNumberFormat="1" applyFont="1" applyBorder="1"/>
    <xf numFmtId="164" fontId="58" fillId="3" borderId="4" xfId="12" applyFont="1" applyFill="1" applyBorder="1"/>
    <xf numFmtId="164" fontId="58" fillId="3" borderId="19" xfId="12" applyFont="1" applyFill="1" applyBorder="1"/>
    <xf numFmtId="9" fontId="58" fillId="3" borderId="19" xfId="11" applyFont="1" applyFill="1" applyBorder="1"/>
    <xf numFmtId="43" fontId="51" fillId="0" borderId="0" xfId="0" applyNumberFormat="1" applyFont="1" applyFill="1"/>
    <xf numFmtId="0" fontId="61" fillId="0" borderId="0" xfId="0" applyFont="1" applyFill="1" applyBorder="1" applyAlignment="1">
      <alignment wrapText="1"/>
    </xf>
    <xf numFmtId="3" fontId="51" fillId="0" borderId="0" xfId="0" applyNumberFormat="1" applyFont="1" applyBorder="1" applyAlignment="1"/>
    <xf numFmtId="43" fontId="51" fillId="0" borderId="0" xfId="0" applyNumberFormat="1" applyFont="1"/>
    <xf numFmtId="0" fontId="51" fillId="0" borderId="0" xfId="0" applyFont="1" applyFill="1" applyAlignment="1"/>
    <xf numFmtId="168" fontId="51" fillId="0" borderId="0" xfId="0" applyNumberFormat="1" applyFont="1" applyBorder="1" applyAlignment="1"/>
    <xf numFmtId="2" fontId="51" fillId="0" borderId="0" xfId="0" applyNumberFormat="1" applyFont="1" applyFill="1" applyAlignment="1"/>
    <xf numFmtId="0" fontId="51" fillId="0" borderId="13" xfId="0" applyFont="1" applyBorder="1"/>
    <xf numFmtId="0" fontId="51" fillId="0" borderId="5" xfId="0" applyFont="1" applyBorder="1"/>
    <xf numFmtId="0" fontId="51" fillId="0" borderId="14" xfId="0" applyFont="1" applyBorder="1"/>
    <xf numFmtId="0" fontId="51" fillId="0" borderId="6" xfId="0" applyFont="1" applyBorder="1"/>
    <xf numFmtId="0" fontId="51" fillId="0" borderId="4" xfId="0" applyFont="1" applyBorder="1"/>
    <xf numFmtId="0" fontId="51" fillId="0" borderId="15" xfId="0" applyFont="1" applyBorder="1"/>
    <xf numFmtId="43" fontId="26" fillId="0" borderId="0" xfId="0" applyNumberFormat="1" applyFont="1"/>
    <xf numFmtId="0" fontId="24" fillId="0" borderId="0" xfId="0" applyFont="1" applyAlignment="1">
      <alignment horizontal="left"/>
    </xf>
    <xf numFmtId="0" fontId="11" fillId="0" borderId="0" xfId="1" applyFont="1" applyFill="1" applyBorder="1"/>
    <xf numFmtId="2" fontId="0" fillId="0" borderId="0" xfId="0" applyNumberFormat="1" applyAlignment="1">
      <alignment horizontal="center" vertical="center"/>
    </xf>
    <xf numFmtId="166" fontId="0" fillId="0" borderId="0" xfId="0" applyNumberFormat="1" applyAlignment="1">
      <alignment horizontal="center" vertical="center"/>
    </xf>
    <xf numFmtId="0" fontId="51" fillId="0" borderId="13" xfId="0" applyFont="1" applyBorder="1" applyAlignment="1">
      <alignment horizontal="left" indent="2"/>
    </xf>
    <xf numFmtId="3" fontId="51" fillId="0" borderId="5" xfId="1" applyNumberFormat="1" applyFont="1" applyFill="1" applyBorder="1"/>
    <xf numFmtId="3" fontId="58" fillId="0" borderId="14" xfId="0" applyNumberFormat="1" applyFont="1" applyBorder="1"/>
    <xf numFmtId="0" fontId="51" fillId="0" borderId="6" xfId="0" applyFont="1" applyBorder="1" applyAlignment="1">
      <alignment horizontal="left" indent="2"/>
    </xf>
    <xf numFmtId="3" fontId="51" fillId="0" borderId="4" xfId="1" applyNumberFormat="1" applyFont="1" applyFill="1" applyBorder="1"/>
    <xf numFmtId="3" fontId="58" fillId="0" borderId="15" xfId="0" applyNumberFormat="1" applyFont="1" applyBorder="1"/>
    <xf numFmtId="0" fontId="11" fillId="0" borderId="0" xfId="0" applyFont="1" applyFill="1" applyBorder="1"/>
    <xf numFmtId="166" fontId="19" fillId="5" borderId="0" xfId="0" applyNumberFormat="1" applyFont="1" applyFill="1" applyBorder="1"/>
    <xf numFmtId="166" fontId="23" fillId="5" borderId="0" xfId="0" applyNumberFormat="1" applyFont="1" applyFill="1" applyBorder="1"/>
    <xf numFmtId="165" fontId="19" fillId="0" borderId="0" xfId="0" applyNumberFormat="1" applyFont="1" applyFill="1" applyBorder="1" applyAlignment="1">
      <alignment horizontal="center"/>
    </xf>
    <xf numFmtId="165" fontId="23" fillId="0" borderId="0" xfId="0" applyNumberFormat="1" applyFont="1" applyFill="1" applyBorder="1" applyAlignment="1">
      <alignment horizontal="center"/>
    </xf>
    <xf numFmtId="165" fontId="19" fillId="0" borderId="0" xfId="0" applyNumberFormat="1" applyFont="1" applyFill="1" applyBorder="1" applyAlignment="1">
      <alignment horizontal="center" vertical="center"/>
    </xf>
    <xf numFmtId="0" fontId="51" fillId="0" borderId="0" xfId="0" applyFont="1" applyBorder="1" applyAlignment="1">
      <alignment horizontal="left" indent="2"/>
    </xf>
    <xf numFmtId="0" fontId="19" fillId="5" borderId="0" xfId="0" applyFont="1" applyFill="1" applyBorder="1"/>
    <xf numFmtId="0" fontId="23" fillId="5" borderId="0" xfId="1" applyFont="1" applyFill="1" applyBorder="1"/>
    <xf numFmtId="0" fontId="19" fillId="0" borderId="0" xfId="0" applyFont="1" applyFill="1"/>
    <xf numFmtId="0" fontId="62" fillId="0" borderId="0" xfId="0" applyFont="1" applyFill="1"/>
    <xf numFmtId="0" fontId="64" fillId="0" borderId="0" xfId="0" applyFont="1" applyFill="1"/>
    <xf numFmtId="0" fontId="63" fillId="0" borderId="0" xfId="0" applyFont="1" applyFill="1"/>
    <xf numFmtId="0" fontId="63" fillId="0" borderId="13" xfId="0" applyFont="1" applyFill="1" applyBorder="1"/>
    <xf numFmtId="0" fontId="63" fillId="0" borderId="5" xfId="0" applyFont="1" applyFill="1" applyBorder="1" applyAlignment="1">
      <alignment horizontal="center"/>
    </xf>
    <xf numFmtId="0" fontId="63" fillId="0" borderId="4" xfId="0" applyFont="1" applyFill="1" applyBorder="1" applyAlignment="1">
      <alignment horizontal="center"/>
    </xf>
    <xf numFmtId="0" fontId="63" fillId="0" borderId="0" xfId="0" applyFont="1" applyFill="1" applyAlignment="1">
      <alignment horizontal="center" vertical="center" wrapText="1"/>
    </xf>
    <xf numFmtId="0" fontId="40" fillId="0" borderId="0" xfId="0" applyFont="1"/>
    <xf numFmtId="0" fontId="19" fillId="0" borderId="14" xfId="0" applyFont="1" applyFill="1" applyBorder="1"/>
    <xf numFmtId="0" fontId="19" fillId="0" borderId="15" xfId="0" applyFont="1" applyFill="1" applyBorder="1"/>
    <xf numFmtId="43" fontId="19" fillId="0" borderId="0" xfId="0" applyNumberFormat="1" applyFont="1" applyFill="1" applyBorder="1"/>
    <xf numFmtId="11" fontId="19" fillId="0" borderId="0" xfId="0" applyNumberFormat="1" applyFont="1" applyFill="1" applyBorder="1"/>
    <xf numFmtId="0" fontId="29" fillId="0" borderId="0" xfId="4"/>
    <xf numFmtId="0" fontId="19" fillId="0" borderId="0" xfId="0" applyFont="1" applyFill="1" applyBorder="1" applyAlignment="1">
      <alignment horizontal="left"/>
    </xf>
    <xf numFmtId="1" fontId="63" fillId="0" borderId="0" xfId="0" applyNumberFormat="1" applyFont="1" applyFill="1" applyAlignment="1">
      <alignment horizontal="center"/>
    </xf>
    <xf numFmtId="1" fontId="19" fillId="0" borderId="0" xfId="0" applyNumberFormat="1" applyFont="1" applyFill="1"/>
    <xf numFmtId="166" fontId="33" fillId="0" borderId="0" xfId="0" applyNumberFormat="1" applyFont="1" applyFill="1" applyBorder="1"/>
    <xf numFmtId="165" fontId="46" fillId="0" borderId="0" xfId="0" applyNumberFormat="1" applyFont="1" applyFill="1" applyBorder="1" applyAlignment="1">
      <alignment horizontal="center"/>
    </xf>
    <xf numFmtId="166" fontId="46" fillId="0" borderId="0" xfId="0" applyNumberFormat="1" applyFont="1" applyFill="1" applyBorder="1"/>
    <xf numFmtId="0" fontId="46" fillId="5" borderId="0" xfId="1" applyFont="1" applyFill="1" applyBorder="1"/>
    <xf numFmtId="0" fontId="33" fillId="0" borderId="0" xfId="1" applyFont="1" applyFill="1" applyBorder="1"/>
    <xf numFmtId="0" fontId="33" fillId="0" borderId="0" xfId="0" applyFont="1"/>
    <xf numFmtId="165" fontId="25" fillId="0" borderId="0" xfId="0" applyNumberFormat="1" applyFont="1" applyFill="1" applyBorder="1"/>
    <xf numFmtId="0" fontId="46" fillId="0" borderId="0" xfId="1" applyFont="1" applyFill="1" applyBorder="1"/>
    <xf numFmtId="165" fontId="19" fillId="5" borderId="0" xfId="0" applyNumberFormat="1" applyFont="1" applyFill="1" applyBorder="1"/>
    <xf numFmtId="0" fontId="37" fillId="0" borderId="0" xfId="1" applyFont="1" applyFill="1" applyBorder="1"/>
    <xf numFmtId="2" fontId="19" fillId="0" borderId="0" xfId="0" applyNumberFormat="1" applyFont="1" applyFill="1" applyBorder="1"/>
    <xf numFmtId="0" fontId="23" fillId="0" borderId="0" xfId="0" applyFont="1" applyFill="1"/>
    <xf numFmtId="166" fontId="23" fillId="0" borderId="0" xfId="0" applyNumberFormat="1" applyFont="1" applyFill="1" applyAlignment="1">
      <alignment horizontal="center" vertical="center"/>
    </xf>
    <xf numFmtId="1" fontId="0" fillId="0" borderId="0" xfId="0" applyNumberFormat="1"/>
    <xf numFmtId="0" fontId="0" fillId="0" borderId="0" xfId="0" applyAlignment="1">
      <alignment wrapText="1"/>
    </xf>
    <xf numFmtId="3" fontId="0" fillId="0" borderId="0" xfId="0" applyNumberFormat="1"/>
    <xf numFmtId="166" fontId="0" fillId="0" borderId="0" xfId="0" quotePrefix="1" applyNumberFormat="1"/>
    <xf numFmtId="164" fontId="0" fillId="0" borderId="34" xfId="12" applyFont="1" applyBorder="1"/>
    <xf numFmtId="0" fontId="0" fillId="0" borderId="6" xfId="0" applyBorder="1"/>
    <xf numFmtId="164" fontId="0" fillId="0" borderId="15" xfId="12" applyFont="1" applyBorder="1"/>
    <xf numFmtId="3" fontId="9" fillId="0" borderId="0" xfId="1" applyNumberFormat="1" applyFont="1" applyFill="1" applyBorder="1"/>
    <xf numFmtId="165" fontId="24" fillId="3" borderId="0" xfId="0" applyNumberFormat="1" applyFont="1" applyFill="1" applyBorder="1"/>
    <xf numFmtId="3" fontId="19" fillId="3" borderId="0" xfId="0" applyNumberFormat="1" applyFont="1" applyFill="1"/>
    <xf numFmtId="0" fontId="45" fillId="0" borderId="0" xfId="0" applyFont="1" applyFill="1"/>
    <xf numFmtId="0" fontId="48" fillId="0" borderId="0" xfId="0" applyFont="1" applyFill="1"/>
    <xf numFmtId="0" fontId="19" fillId="0" borderId="5" xfId="0" applyFont="1" applyFill="1" applyBorder="1"/>
    <xf numFmtId="171" fontId="45" fillId="0" borderId="4" xfId="0" applyNumberFormat="1" applyFont="1" applyFill="1" applyBorder="1"/>
    <xf numFmtId="165" fontId="19" fillId="12" borderId="0" xfId="0" applyNumberFormat="1" applyFont="1" applyFill="1" applyBorder="1" applyAlignment="1">
      <alignment horizontal="center" vertical="center"/>
    </xf>
    <xf numFmtId="10" fontId="23" fillId="0" borderId="0" xfId="11" applyNumberFormat="1" applyFont="1" applyFill="1" applyBorder="1" applyAlignment="1">
      <alignment horizontal="center"/>
    </xf>
    <xf numFmtId="2" fontId="17" fillId="0" borderId="0" xfId="11" applyNumberFormat="1" applyFont="1" applyFill="1" applyBorder="1"/>
    <xf numFmtId="0" fontId="0" fillId="0" borderId="14" xfId="0" applyBorder="1"/>
    <xf numFmtId="0" fontId="26" fillId="0" borderId="13" xfId="0" applyFont="1" applyBorder="1"/>
    <xf numFmtId="0" fontId="26" fillId="0" borderId="5" xfId="0" applyFont="1" applyBorder="1"/>
    <xf numFmtId="0" fontId="26" fillId="0" borderId="14" xfId="0" applyFont="1" applyBorder="1"/>
    <xf numFmtId="166" fontId="0" fillId="0" borderId="0" xfId="0" applyNumberFormat="1" applyBorder="1"/>
    <xf numFmtId="166" fontId="0" fillId="0" borderId="4" xfId="0" applyNumberFormat="1" applyBorder="1"/>
    <xf numFmtId="0" fontId="26" fillId="0" borderId="6" xfId="0" applyFont="1" applyBorder="1"/>
    <xf numFmtId="0" fontId="26" fillId="0" borderId="4" xfId="0" applyFont="1" applyBorder="1"/>
    <xf numFmtId="0" fontId="26" fillId="0" borderId="15" xfId="0" applyFont="1" applyBorder="1"/>
    <xf numFmtId="166" fontId="0" fillId="0" borderId="34" xfId="0" applyNumberFormat="1" applyBorder="1"/>
    <xf numFmtId="166" fontId="26" fillId="0" borderId="4" xfId="0" applyNumberFormat="1" applyFont="1" applyBorder="1"/>
    <xf numFmtId="166" fontId="26" fillId="0" borderId="15" xfId="0" applyNumberFormat="1" applyFont="1" applyBorder="1"/>
    <xf numFmtId="166" fontId="0" fillId="0" borderId="15" xfId="0" applyNumberFormat="1" applyBorder="1"/>
    <xf numFmtId="172" fontId="26" fillId="0" borderId="0" xfId="0" applyNumberFormat="1" applyFont="1"/>
    <xf numFmtId="0" fontId="26" fillId="0" borderId="34" xfId="0" applyFont="1" applyBorder="1"/>
    <xf numFmtId="0" fontId="26" fillId="0" borderId="6" xfId="0" applyFont="1" applyFill="1" applyBorder="1"/>
    <xf numFmtId="4" fontId="23" fillId="3" borderId="0" xfId="1" applyNumberFormat="1" applyFont="1" applyFill="1" applyBorder="1"/>
    <xf numFmtId="0" fontId="34" fillId="0" borderId="0" xfId="0" applyFont="1"/>
    <xf numFmtId="0" fontId="70" fillId="0" borderId="0" xfId="0" applyFont="1"/>
    <xf numFmtId="173" fontId="70" fillId="0" borderId="0" xfId="12" applyNumberFormat="1" applyFont="1"/>
    <xf numFmtId="0" fontId="71" fillId="0" borderId="0" xfId="0" applyFont="1"/>
    <xf numFmtId="173" fontId="71" fillId="0" borderId="0" xfId="12" applyNumberFormat="1" applyFont="1"/>
    <xf numFmtId="173" fontId="0" fillId="0" borderId="0" xfId="12" applyNumberFormat="1" applyFont="1"/>
    <xf numFmtId="0" fontId="15" fillId="2" borderId="0" xfId="1" applyFont="1" applyFill="1" applyBorder="1"/>
    <xf numFmtId="0" fontId="15" fillId="2" borderId="0" xfId="0" applyFont="1" applyFill="1"/>
    <xf numFmtId="165" fontId="24" fillId="2" borderId="0" xfId="0" applyNumberFormat="1" applyFont="1" applyFill="1" applyBorder="1"/>
    <xf numFmtId="0" fontId="62" fillId="0" borderId="0" xfId="0" applyFont="1" applyFill="1" applyAlignment="1">
      <alignment horizontal="left" wrapText="1"/>
    </xf>
    <xf numFmtId="0" fontId="62" fillId="0" borderId="0" xfId="0" applyFont="1" applyFill="1" applyAlignment="1">
      <alignment horizontal="left" vertical="center" wrapText="1"/>
    </xf>
    <xf numFmtId="0" fontId="26" fillId="2" borderId="0" xfId="0" applyFont="1" applyFill="1" applyAlignment="1">
      <alignment wrapText="1"/>
    </xf>
    <xf numFmtId="0" fontId="0" fillId="2" borderId="0" xfId="0" applyFill="1" applyAlignment="1">
      <alignment vertical="center"/>
    </xf>
    <xf numFmtId="166" fontId="0" fillId="2" borderId="0" xfId="0" applyNumberFormat="1" applyFill="1"/>
    <xf numFmtId="2" fontId="0" fillId="2" borderId="0" xfId="0" applyNumberFormat="1" applyFill="1"/>
    <xf numFmtId="1" fontId="0" fillId="2" borderId="0" xfId="0" applyNumberFormat="1" applyFill="1"/>
    <xf numFmtId="0" fontId="23" fillId="2" borderId="0" xfId="0" applyFont="1" applyFill="1"/>
    <xf numFmtId="0" fontId="0" fillId="2" borderId="21" xfId="0" applyFill="1" applyBorder="1"/>
    <xf numFmtId="166" fontId="0" fillId="2" borderId="21" xfId="0" applyNumberFormat="1" applyFill="1" applyBorder="1"/>
    <xf numFmtId="166" fontId="26" fillId="2" borderId="0" xfId="0" applyNumberFormat="1" applyFont="1" applyFill="1" applyBorder="1"/>
    <xf numFmtId="0" fontId="0" fillId="2" borderId="13" xfId="0" applyFill="1" applyBorder="1"/>
    <xf numFmtId="0" fontId="0" fillId="2" borderId="5" xfId="0" applyFill="1" applyBorder="1"/>
    <xf numFmtId="3" fontId="0" fillId="2" borderId="14" xfId="0" applyNumberFormat="1" applyFill="1" applyBorder="1"/>
    <xf numFmtId="0" fontId="0" fillId="2" borderId="6" xfId="0" applyFill="1" applyBorder="1"/>
    <xf numFmtId="0" fontId="0" fillId="2" borderId="4" xfId="0" applyFill="1" applyBorder="1"/>
    <xf numFmtId="3" fontId="0" fillId="2" borderId="15" xfId="0" applyNumberFormat="1" applyFill="1" applyBorder="1"/>
    <xf numFmtId="0" fontId="26" fillId="2" borderId="0" xfId="0" applyFont="1" applyFill="1" applyAlignment="1"/>
    <xf numFmtId="166" fontId="0" fillId="2" borderId="22" xfId="0" applyNumberFormat="1" applyFill="1" applyBorder="1"/>
    <xf numFmtId="166" fontId="26" fillId="2" borderId="20" xfId="0" applyNumberFormat="1" applyFont="1" applyFill="1" applyBorder="1"/>
    <xf numFmtId="3" fontId="0" fillId="2" borderId="0" xfId="0" applyNumberFormat="1" applyFill="1" applyBorder="1"/>
    <xf numFmtId="165" fontId="0" fillId="2" borderId="0" xfId="0" applyNumberFormat="1" applyFill="1" applyBorder="1"/>
    <xf numFmtId="3" fontId="26" fillId="2" borderId="0" xfId="0" applyNumberFormat="1" applyFont="1" applyFill="1" applyBorder="1"/>
    <xf numFmtId="3" fontId="0" fillId="2" borderId="0" xfId="0" applyNumberFormat="1" applyFill="1" applyBorder="1" applyAlignment="1">
      <alignment horizontal="center"/>
    </xf>
    <xf numFmtId="3" fontId="26" fillId="2" borderId="0" xfId="0" applyNumberFormat="1" applyFont="1" applyFill="1" applyBorder="1" applyAlignment="1">
      <alignment horizontal="center"/>
    </xf>
    <xf numFmtId="165" fontId="23" fillId="0" borderId="0" xfId="0" applyNumberFormat="1" applyFont="1" applyFill="1" applyBorder="1" applyAlignment="1">
      <alignment horizontal="right"/>
    </xf>
    <xf numFmtId="3" fontId="26" fillId="2" borderId="0" xfId="0" applyNumberFormat="1" applyFont="1" applyFill="1" applyBorder="1" applyAlignment="1">
      <alignment horizontal="right"/>
    </xf>
    <xf numFmtId="0" fontId="26" fillId="2" borderId="0" xfId="0" applyFont="1" applyFill="1" applyAlignment="1">
      <alignment horizontal="right"/>
    </xf>
    <xf numFmtId="0" fontId="0" fillId="2" borderId="0" xfId="0" applyFont="1" applyFill="1" applyBorder="1" applyAlignment="1">
      <alignment horizontal="right" wrapText="1"/>
    </xf>
    <xf numFmtId="0" fontId="0" fillId="2" borderId="0" xfId="0" applyFont="1" applyFill="1" applyBorder="1" applyAlignment="1">
      <alignment horizontal="right"/>
    </xf>
    <xf numFmtId="0" fontId="26" fillId="2" borderId="0" xfId="0" applyFont="1" applyFill="1" applyBorder="1" applyAlignment="1">
      <alignment horizontal="right" wrapText="1"/>
    </xf>
    <xf numFmtId="0" fontId="0" fillId="2" borderId="0" xfId="0" applyFill="1" applyBorder="1" applyAlignment="1">
      <alignment horizontal="right"/>
    </xf>
    <xf numFmtId="3" fontId="0" fillId="2" borderId="0" xfId="0" applyNumberFormat="1" applyFill="1" applyBorder="1" applyAlignment="1">
      <alignment horizontal="right"/>
    </xf>
    <xf numFmtId="0" fontId="0" fillId="2" borderId="0" xfId="0" applyFill="1" applyAlignment="1">
      <alignment horizontal="right"/>
    </xf>
    <xf numFmtId="0" fontId="26" fillId="2" borderId="0" xfId="0" applyFont="1" applyFill="1" applyAlignment="1">
      <alignment horizontal="center" wrapText="1"/>
    </xf>
    <xf numFmtId="0" fontId="26" fillId="2" borderId="0" xfId="0" applyFont="1" applyFill="1" applyAlignment="1">
      <alignment horizontal="right" wrapText="1"/>
    </xf>
    <xf numFmtId="0" fontId="8" fillId="2" borderId="0" xfId="0" applyFont="1" applyFill="1"/>
    <xf numFmtId="1" fontId="0" fillId="3" borderId="0" xfId="0" applyNumberFormat="1" applyFill="1"/>
    <xf numFmtId="0" fontId="19" fillId="0" borderId="34" xfId="0" applyFont="1" applyFill="1" applyBorder="1"/>
    <xf numFmtId="0" fontId="73" fillId="2" borderId="0" xfId="15" applyFont="1" applyFill="1"/>
    <xf numFmtId="0" fontId="72" fillId="2" borderId="0" xfId="15" applyFill="1"/>
    <xf numFmtId="0" fontId="72" fillId="0" borderId="0" xfId="15" applyNumberFormat="1" applyFont="1" applyFill="1" applyBorder="1" applyAlignment="1"/>
    <xf numFmtId="0" fontId="74" fillId="2" borderId="0" xfId="15" applyFont="1" applyFill="1"/>
    <xf numFmtId="0" fontId="75" fillId="2" borderId="0" xfId="15" applyFont="1" applyFill="1" applyAlignment="1">
      <alignment horizontal="center" vertical="center"/>
    </xf>
    <xf numFmtId="0" fontId="74" fillId="0" borderId="0" xfId="15" applyFont="1" applyFill="1" applyBorder="1" applyAlignment="1">
      <alignment horizontal="left" vertical="center" wrapText="1"/>
    </xf>
    <xf numFmtId="0" fontId="73" fillId="2" borderId="0" xfId="15" applyFont="1" applyFill="1" applyBorder="1" applyAlignment="1">
      <alignment horizontal="left" vertical="center"/>
    </xf>
    <xf numFmtId="0" fontId="76" fillId="13" borderId="35" xfId="15" applyFont="1" applyFill="1" applyBorder="1" applyAlignment="1">
      <alignment horizontal="center" vertical="center" wrapText="1"/>
    </xf>
    <xf numFmtId="0" fontId="76" fillId="13" borderId="36" xfId="15" applyFont="1" applyFill="1" applyBorder="1" applyAlignment="1">
      <alignment horizontal="center" vertical="center" wrapText="1"/>
    </xf>
    <xf numFmtId="0" fontId="76" fillId="13" borderId="37" xfId="15" applyFont="1" applyFill="1" applyBorder="1" applyAlignment="1">
      <alignment horizontal="center" vertical="center" wrapText="1"/>
    </xf>
    <xf numFmtId="0" fontId="78" fillId="14" borderId="35" xfId="15" applyFont="1" applyFill="1" applyBorder="1" applyAlignment="1">
      <alignment horizontal="center" vertical="center" wrapText="1"/>
    </xf>
    <xf numFmtId="3" fontId="78" fillId="14" borderId="35" xfId="15" applyNumberFormat="1" applyFont="1" applyFill="1" applyBorder="1" applyAlignment="1">
      <alignment horizontal="right" vertical="center" wrapText="1"/>
    </xf>
    <xf numFmtId="0" fontId="78" fillId="14" borderId="35" xfId="15" applyFont="1" applyFill="1" applyBorder="1" applyAlignment="1">
      <alignment horizontal="left" vertical="center"/>
    </xf>
    <xf numFmtId="3" fontId="78" fillId="14" borderId="35" xfId="15" applyNumberFormat="1" applyFont="1" applyFill="1" applyBorder="1" applyAlignment="1">
      <alignment horizontal="right" vertical="center"/>
    </xf>
    <xf numFmtId="166" fontId="78" fillId="14" borderId="35" xfId="15" applyNumberFormat="1" applyFont="1" applyFill="1" applyBorder="1" applyAlignment="1">
      <alignment horizontal="right" vertical="center"/>
    </xf>
    <xf numFmtId="0" fontId="76" fillId="5" borderId="35" xfId="15" applyFont="1" applyFill="1" applyBorder="1" applyAlignment="1">
      <alignment horizontal="left" vertical="center"/>
    </xf>
    <xf numFmtId="3" fontId="76" fillId="5" borderId="35" xfId="15" applyNumberFormat="1" applyFont="1" applyFill="1" applyBorder="1" applyAlignment="1">
      <alignment horizontal="right" vertical="center"/>
    </xf>
    <xf numFmtId="166" fontId="76" fillId="5" borderId="35" xfId="15" applyNumberFormat="1" applyFont="1" applyFill="1" applyBorder="1" applyAlignment="1">
      <alignment horizontal="right" vertical="center"/>
    </xf>
    <xf numFmtId="0" fontId="78" fillId="3" borderId="35" xfId="15" applyFont="1" applyFill="1" applyBorder="1" applyAlignment="1">
      <alignment horizontal="center" vertical="center" wrapText="1"/>
    </xf>
    <xf numFmtId="3" fontId="78" fillId="3" borderId="35" xfId="15" applyNumberFormat="1" applyFont="1" applyFill="1" applyBorder="1" applyAlignment="1">
      <alignment horizontal="right" vertical="center" wrapText="1"/>
    </xf>
    <xf numFmtId="0" fontId="78" fillId="14" borderId="0" xfId="15" applyFont="1" applyFill="1" applyBorder="1" applyAlignment="1">
      <alignment horizontal="center" vertical="center" wrapText="1"/>
    </xf>
    <xf numFmtId="3" fontId="78" fillId="14" borderId="0" xfId="15" applyNumberFormat="1" applyFont="1" applyFill="1" applyBorder="1" applyAlignment="1">
      <alignment horizontal="right" vertical="center" wrapText="1"/>
    </xf>
    <xf numFmtId="3" fontId="80" fillId="14" borderId="0" xfId="15" applyNumberFormat="1" applyFont="1" applyFill="1" applyBorder="1" applyAlignment="1">
      <alignment horizontal="right" vertical="center" wrapText="1"/>
    </xf>
    <xf numFmtId="0" fontId="83" fillId="2" borderId="0" xfId="15" applyFont="1" applyFill="1" applyAlignment="1">
      <alignment horizontal="left" vertical="center" indent="1"/>
    </xf>
    <xf numFmtId="0" fontId="78" fillId="14" borderId="41" xfId="15" applyFont="1" applyFill="1" applyBorder="1" applyAlignment="1">
      <alignment horizontal="center" vertical="center" wrapText="1"/>
    </xf>
    <xf numFmtId="3" fontId="78" fillId="14" borderId="41" xfId="15" applyNumberFormat="1" applyFont="1" applyFill="1" applyBorder="1" applyAlignment="1">
      <alignment horizontal="right" vertical="center" wrapText="1"/>
    </xf>
    <xf numFmtId="0" fontId="86" fillId="2" borderId="0" xfId="15" applyFont="1" applyFill="1"/>
    <xf numFmtId="0" fontId="78" fillId="3" borderId="41" xfId="15" applyFont="1" applyFill="1" applyBorder="1" applyAlignment="1">
      <alignment horizontal="center" vertical="center" wrapText="1"/>
    </xf>
    <xf numFmtId="3" fontId="78" fillId="3" borderId="41" xfId="15" applyNumberFormat="1" applyFont="1" applyFill="1" applyBorder="1" applyAlignment="1">
      <alignment horizontal="right" vertical="center" wrapText="1"/>
    </xf>
    <xf numFmtId="0" fontId="76" fillId="13" borderId="43" xfId="15" applyFont="1" applyFill="1" applyBorder="1" applyAlignment="1">
      <alignment horizontal="center" vertical="center" wrapText="1"/>
    </xf>
    <xf numFmtId="0" fontId="80" fillId="14" borderId="0" xfId="15" applyFont="1" applyFill="1" applyBorder="1" applyAlignment="1">
      <alignment horizontal="center" vertical="center" wrapText="1"/>
    </xf>
    <xf numFmtId="0" fontId="74" fillId="2" borderId="44" xfId="15" applyFont="1" applyFill="1" applyBorder="1" applyAlignment="1">
      <alignment vertical="center"/>
    </xf>
    <xf numFmtId="0" fontId="73" fillId="2" borderId="44" xfId="15" applyFont="1" applyFill="1" applyBorder="1" applyAlignment="1">
      <alignment vertical="center"/>
    </xf>
    <xf numFmtId="0" fontId="76" fillId="13" borderId="45" xfId="15" applyFont="1" applyFill="1" applyBorder="1" applyAlignment="1">
      <alignment horizontal="center" vertical="center" wrapText="1"/>
    </xf>
    <xf numFmtId="0" fontId="76" fillId="5" borderId="46" xfId="15" applyFont="1" applyFill="1" applyBorder="1" applyAlignment="1">
      <alignment horizontal="left" vertical="center" wrapText="1"/>
    </xf>
    <xf numFmtId="3" fontId="76" fillId="5" borderId="46" xfId="15" applyNumberFormat="1" applyFont="1" applyFill="1" applyBorder="1" applyAlignment="1">
      <alignment horizontal="right" vertical="center" wrapText="1"/>
    </xf>
    <xf numFmtId="165" fontId="76" fillId="5" borderId="46" xfId="15" applyNumberFormat="1" applyFont="1" applyFill="1" applyBorder="1" applyAlignment="1">
      <alignment horizontal="right" vertical="center" wrapText="1"/>
    </xf>
    <xf numFmtId="3" fontId="78" fillId="4" borderId="41" xfId="15" applyNumberFormat="1" applyFont="1" applyFill="1" applyBorder="1" applyAlignment="1">
      <alignment horizontal="left" vertical="center" wrapText="1"/>
    </xf>
    <xf numFmtId="3" fontId="78" fillId="4" borderId="41" xfId="15" applyNumberFormat="1" applyFont="1" applyFill="1" applyBorder="1" applyAlignment="1">
      <alignment horizontal="right" vertical="center" wrapText="1"/>
    </xf>
    <xf numFmtId="165" fontId="78" fillId="4" borderId="41" xfId="15" applyNumberFormat="1" applyFont="1" applyFill="1" applyBorder="1" applyAlignment="1">
      <alignment horizontal="right" vertical="center" wrapText="1"/>
    </xf>
    <xf numFmtId="3" fontId="91" fillId="4" borderId="41" xfId="15" applyNumberFormat="1" applyFont="1" applyFill="1" applyBorder="1" applyAlignment="1">
      <alignment horizontal="left" vertical="center" wrapText="1"/>
    </xf>
    <xf numFmtId="3" fontId="78" fillId="4" borderId="41" xfId="15" applyNumberFormat="1" applyFont="1" applyFill="1" applyBorder="1" applyAlignment="1">
      <alignment horizontal="left" vertical="center" wrapText="1" indent="2"/>
    </xf>
    <xf numFmtId="174" fontId="78" fillId="4" borderId="41" xfId="15" applyNumberFormat="1" applyFont="1" applyFill="1" applyBorder="1" applyAlignment="1">
      <alignment horizontal="right" vertical="center" wrapText="1"/>
    </xf>
    <xf numFmtId="3" fontId="78" fillId="4" borderId="41" xfId="15" applyNumberFormat="1" applyFont="1" applyFill="1" applyBorder="1" applyAlignment="1">
      <alignment horizontal="left" vertical="center" wrapText="1" indent="3"/>
    </xf>
    <xf numFmtId="174" fontId="78" fillId="4" borderId="47" xfId="15" applyNumberFormat="1" applyFont="1" applyFill="1" applyBorder="1" applyAlignment="1">
      <alignment horizontal="right" vertical="center" wrapText="1"/>
    </xf>
    <xf numFmtId="165" fontId="78" fillId="4" borderId="47" xfId="15" applyNumberFormat="1" applyFont="1" applyFill="1" applyBorder="1" applyAlignment="1">
      <alignment horizontal="right" vertical="center" wrapText="1"/>
    </xf>
    <xf numFmtId="1" fontId="78" fillId="4" borderId="47" xfId="15" applyNumberFormat="1" applyFont="1" applyFill="1" applyBorder="1" applyAlignment="1">
      <alignment horizontal="right" vertical="center" wrapText="1"/>
    </xf>
    <xf numFmtId="3" fontId="78" fillId="4" borderId="47" xfId="15" applyNumberFormat="1" applyFont="1" applyFill="1" applyBorder="1" applyAlignment="1">
      <alignment horizontal="right" vertical="center" wrapText="1"/>
    </xf>
    <xf numFmtId="4" fontId="78" fillId="4" borderId="47" xfId="15" applyNumberFormat="1" applyFont="1" applyFill="1" applyBorder="1" applyAlignment="1">
      <alignment horizontal="right" vertical="center" wrapText="1"/>
    </xf>
    <xf numFmtId="164" fontId="78" fillId="4" borderId="41" xfId="15" applyNumberFormat="1" applyFont="1" applyFill="1" applyBorder="1" applyAlignment="1">
      <alignment horizontal="right" vertical="center" wrapText="1"/>
    </xf>
    <xf numFmtId="0" fontId="73" fillId="2" borderId="44" xfId="15" applyFont="1" applyFill="1" applyBorder="1" applyAlignment="1">
      <alignment horizontal="left" vertical="center"/>
    </xf>
    <xf numFmtId="0" fontId="73" fillId="2" borderId="0" xfId="15" applyFont="1" applyFill="1" applyAlignment="1">
      <alignment horizontal="left" vertical="center"/>
    </xf>
    <xf numFmtId="0" fontId="73" fillId="2" borderId="0" xfId="15" applyFont="1" applyFill="1" applyBorder="1" applyAlignment="1">
      <alignment horizontal="center"/>
    </xf>
    <xf numFmtId="0" fontId="74" fillId="2" borderId="0" xfId="15" applyFont="1" applyFill="1" applyAlignment="1">
      <alignment vertical="center"/>
    </xf>
    <xf numFmtId="0" fontId="92" fillId="2" borderId="0" xfId="15" applyFont="1" applyFill="1"/>
    <xf numFmtId="0" fontId="76" fillId="5" borderId="46" xfId="15" applyFont="1" applyFill="1" applyBorder="1" applyAlignment="1">
      <alignment horizontal="center" vertical="center" wrapText="1"/>
    </xf>
    <xf numFmtId="3" fontId="78" fillId="4" borderId="47" xfId="15" applyNumberFormat="1" applyFont="1" applyFill="1" applyBorder="1" applyAlignment="1">
      <alignment horizontal="left" vertical="center" wrapText="1"/>
    </xf>
    <xf numFmtId="1" fontId="78" fillId="4" borderId="41" xfId="15" applyNumberFormat="1" applyFont="1" applyFill="1" applyBorder="1" applyAlignment="1">
      <alignment horizontal="right" vertical="center" wrapText="1"/>
    </xf>
    <xf numFmtId="3" fontId="76" fillId="5" borderId="41" xfId="15" applyNumberFormat="1" applyFont="1" applyFill="1" applyBorder="1" applyAlignment="1">
      <alignment horizontal="right" vertical="center" wrapText="1"/>
    </xf>
    <xf numFmtId="165" fontId="76" fillId="5" borderId="41" xfId="15" applyNumberFormat="1" applyFont="1" applyFill="1" applyBorder="1" applyAlignment="1">
      <alignment horizontal="right" vertical="center" wrapText="1"/>
    </xf>
    <xf numFmtId="0" fontId="28" fillId="0" borderId="0" xfId="16" applyNumberFormat="1" applyFont="1" applyFill="1" applyBorder="1" applyAlignment="1"/>
    <xf numFmtId="0" fontId="27" fillId="0" borderId="0" xfId="16" applyNumberFormat="1" applyFont="1" applyFill="1" applyBorder="1" applyAlignment="1"/>
    <xf numFmtId="4" fontId="28" fillId="0" borderId="0" xfId="16" applyNumberFormat="1" applyFont="1" applyFill="1" applyBorder="1" applyAlignment="1"/>
    <xf numFmtId="4" fontId="27" fillId="0" borderId="0" xfId="16" applyNumberFormat="1" applyFont="1" applyFill="1" applyBorder="1" applyAlignment="1"/>
    <xf numFmtId="4" fontId="27" fillId="3" borderId="0" xfId="16" applyNumberFormat="1" applyFont="1" applyFill="1" applyBorder="1" applyAlignment="1"/>
    <xf numFmtId="167" fontId="27" fillId="0" borderId="0" xfId="17" applyNumberFormat="1" applyFont="1" applyFill="1" applyBorder="1" applyAlignment="1"/>
    <xf numFmtId="167" fontId="27" fillId="0" borderId="0" xfId="16" applyNumberFormat="1" applyFont="1" applyFill="1" applyBorder="1" applyAlignment="1"/>
    <xf numFmtId="176" fontId="63" fillId="0" borderId="5" xfId="0" applyNumberFormat="1" applyFont="1" applyFill="1" applyBorder="1"/>
    <xf numFmtId="0" fontId="7" fillId="0" borderId="6" xfId="0" applyFont="1" applyFill="1" applyBorder="1"/>
    <xf numFmtId="0" fontId="63" fillId="0" borderId="0" xfId="0" applyFont="1" applyFill="1" applyBorder="1" applyAlignment="1">
      <alignment horizontal="center"/>
    </xf>
    <xf numFmtId="176" fontId="0" fillId="0" borderId="0" xfId="0" applyNumberFormat="1" applyBorder="1"/>
    <xf numFmtId="0" fontId="63" fillId="0" borderId="33" xfId="0" applyFont="1" applyFill="1" applyBorder="1"/>
    <xf numFmtId="0" fontId="7" fillId="0" borderId="4" xfId="0" applyFont="1" applyFill="1" applyBorder="1"/>
    <xf numFmtId="0" fontId="19" fillId="2" borderId="0" xfId="0" applyFont="1" applyFill="1" applyBorder="1"/>
    <xf numFmtId="166" fontId="19" fillId="2" borderId="0" xfId="0" applyNumberFormat="1" applyFont="1" applyFill="1" applyBorder="1"/>
    <xf numFmtId="0" fontId="65" fillId="2" borderId="0" xfId="0" applyFont="1" applyFill="1" applyAlignment="1">
      <alignment horizontal="left" vertical="top" wrapText="1"/>
    </xf>
    <xf numFmtId="0" fontId="23" fillId="2" borderId="0" xfId="0" applyFont="1" applyFill="1" applyBorder="1"/>
    <xf numFmtId="0" fontId="37" fillId="2" borderId="0" xfId="1" applyFont="1" applyFill="1" applyBorder="1" applyAlignment="1">
      <alignment wrapText="1"/>
    </xf>
    <xf numFmtId="0" fontId="37" fillId="2" borderId="5" xfId="1" applyFont="1" applyFill="1" applyBorder="1" applyAlignment="1">
      <alignment wrapText="1"/>
    </xf>
    <xf numFmtId="0" fontId="19" fillId="2" borderId="5" xfId="0" applyFont="1" applyFill="1" applyBorder="1"/>
    <xf numFmtId="0" fontId="37" fillId="2" borderId="14" xfId="1" applyFont="1" applyFill="1" applyBorder="1" applyAlignment="1">
      <alignment wrapText="1"/>
    </xf>
    <xf numFmtId="166" fontId="45" fillId="2" borderId="0" xfId="0" applyNumberFormat="1" applyFont="1" applyFill="1" applyBorder="1"/>
    <xf numFmtId="166" fontId="23" fillId="2" borderId="0" xfId="0" applyNumberFormat="1" applyFont="1" applyFill="1" applyBorder="1"/>
    <xf numFmtId="0" fontId="23" fillId="2" borderId="33" xfId="0" applyFont="1" applyFill="1" applyBorder="1"/>
    <xf numFmtId="1" fontId="10" fillId="2" borderId="0" xfId="0" applyNumberFormat="1" applyFont="1" applyFill="1" applyBorder="1"/>
    <xf numFmtId="166" fontId="10" fillId="2" borderId="0" xfId="0" applyNumberFormat="1" applyFont="1" applyFill="1" applyBorder="1"/>
    <xf numFmtId="1" fontId="10" fillId="2" borderId="0" xfId="0" applyNumberFormat="1" applyFont="1" applyFill="1" applyBorder="1" applyAlignment="1">
      <alignment wrapText="1"/>
    </xf>
    <xf numFmtId="1" fontId="10" fillId="2" borderId="34" xfId="0" applyNumberFormat="1" applyFont="1" applyFill="1" applyBorder="1" applyAlignment="1">
      <alignment wrapText="1"/>
    </xf>
    <xf numFmtId="1" fontId="19" fillId="2" borderId="0" xfId="0" applyNumberFormat="1" applyFont="1" applyFill="1" applyBorder="1"/>
    <xf numFmtId="0" fontId="19" fillId="2" borderId="34" xfId="0" applyFont="1" applyFill="1" applyBorder="1"/>
    <xf numFmtId="0" fontId="23" fillId="2" borderId="6" xfId="0" applyFont="1" applyFill="1" applyBorder="1"/>
    <xf numFmtId="2" fontId="23" fillId="2" borderId="4" xfId="0" applyNumberFormat="1" applyFont="1" applyFill="1" applyBorder="1"/>
    <xf numFmtId="0" fontId="23" fillId="2" borderId="4" xfId="0" applyFont="1" applyFill="1" applyBorder="1" applyAlignment="1">
      <alignment wrapText="1"/>
    </xf>
    <xf numFmtId="0" fontId="23" fillId="2" borderId="15" xfId="0" applyFont="1" applyFill="1" applyBorder="1" applyAlignment="1">
      <alignment wrapText="1"/>
    </xf>
    <xf numFmtId="165" fontId="45" fillId="2" borderId="0" xfId="0" applyNumberFormat="1" applyFont="1" applyFill="1" applyBorder="1"/>
    <xf numFmtId="0" fontId="23" fillId="2" borderId="0" xfId="0" applyFont="1" applyFill="1" applyBorder="1" applyAlignment="1">
      <alignment wrapText="1"/>
    </xf>
    <xf numFmtId="0" fontId="45" fillId="2" borderId="0" xfId="0" applyFont="1" applyFill="1" applyBorder="1" applyAlignment="1">
      <alignment wrapText="1"/>
    </xf>
    <xf numFmtId="0" fontId="45" fillId="2" borderId="0" xfId="0" applyFont="1" applyFill="1" applyBorder="1"/>
    <xf numFmtId="0" fontId="45" fillId="2" borderId="0" xfId="0" applyFont="1" applyFill="1"/>
    <xf numFmtId="0" fontId="40" fillId="2" borderId="0" xfId="0" applyFont="1" applyFill="1"/>
    <xf numFmtId="166" fontId="37" fillId="2" borderId="13" xfId="0" applyNumberFormat="1" applyFont="1" applyFill="1" applyBorder="1"/>
    <xf numFmtId="0" fontId="37" fillId="2" borderId="5" xfId="0" applyFont="1" applyFill="1" applyBorder="1"/>
    <xf numFmtId="165" fontId="66" fillId="2" borderId="14" xfId="0" applyNumberFormat="1" applyFont="1" applyFill="1" applyBorder="1" applyAlignment="1"/>
    <xf numFmtId="166" fontId="45" fillId="2" borderId="33" xfId="0" applyNumberFormat="1" applyFont="1" applyFill="1" applyBorder="1"/>
    <xf numFmtId="0" fontId="37" fillId="2" borderId="34" xfId="1" applyFont="1" applyFill="1" applyBorder="1" applyAlignment="1">
      <alignment wrapText="1"/>
    </xf>
    <xf numFmtId="0" fontId="37" fillId="2" borderId="0" xfId="0" applyFont="1" applyFill="1" applyBorder="1"/>
    <xf numFmtId="3" fontId="37" fillId="2" borderId="4" xfId="0" applyNumberFormat="1" applyFont="1" applyFill="1" applyBorder="1"/>
    <xf numFmtId="3" fontId="45" fillId="2" borderId="4" xfId="0" applyNumberFormat="1" applyFont="1" applyFill="1" applyBorder="1"/>
    <xf numFmtId="3" fontId="45" fillId="2" borderId="15" xfId="0" applyNumberFormat="1" applyFont="1" applyFill="1" applyBorder="1"/>
    <xf numFmtId="165" fontId="66" fillId="2" borderId="0" xfId="0" applyNumberFormat="1" applyFont="1" applyFill="1" applyBorder="1" applyAlignment="1"/>
    <xf numFmtId="2" fontId="45" fillId="2" borderId="0" xfId="0" applyNumberFormat="1" applyFont="1" applyFill="1"/>
    <xf numFmtId="165" fontId="26" fillId="2" borderId="0" xfId="0" applyNumberFormat="1" applyFont="1" applyFill="1" applyBorder="1" applyAlignment="1">
      <alignment wrapText="1"/>
    </xf>
    <xf numFmtId="3" fontId="37" fillId="2" borderId="0" xfId="0" applyNumberFormat="1" applyFont="1" applyFill="1" applyBorder="1"/>
    <xf numFmtId="3" fontId="45" fillId="2" borderId="0" xfId="0" applyNumberFormat="1" applyFont="1" applyFill="1" applyBorder="1"/>
    <xf numFmtId="3" fontId="37" fillId="2" borderId="0" xfId="0" applyNumberFormat="1" applyFont="1" applyFill="1"/>
    <xf numFmtId="166" fontId="37" fillId="2" borderId="0" xfId="0" applyNumberFormat="1" applyFont="1" applyFill="1" applyBorder="1"/>
    <xf numFmtId="165" fontId="37" fillId="2" borderId="0" xfId="0" applyNumberFormat="1" applyFont="1" applyFill="1" applyBorder="1"/>
    <xf numFmtId="3" fontId="19" fillId="2" borderId="0" xfId="0" applyNumberFormat="1" applyFont="1" applyFill="1" applyBorder="1"/>
    <xf numFmtId="3" fontId="23" fillId="2" borderId="0" xfId="0" applyNumberFormat="1" applyFont="1" applyFill="1" applyBorder="1"/>
    <xf numFmtId="0" fontId="45" fillId="2" borderId="0" xfId="1" applyFont="1" applyFill="1" applyBorder="1"/>
    <xf numFmtId="167" fontId="19" fillId="2" borderId="0" xfId="11" applyNumberFormat="1" applyFont="1" applyFill="1" applyBorder="1"/>
    <xf numFmtId="2" fontId="19" fillId="2" borderId="0" xfId="0" applyNumberFormat="1" applyFont="1" applyFill="1" applyBorder="1"/>
    <xf numFmtId="9" fontId="19" fillId="2" borderId="0" xfId="11" applyFont="1" applyFill="1" applyBorder="1"/>
    <xf numFmtId="0" fontId="9" fillId="2" borderId="0" xfId="0" applyFont="1" applyFill="1" applyBorder="1" applyAlignment="1">
      <alignment wrapText="1"/>
    </xf>
    <xf numFmtId="0" fontId="9" fillId="2" borderId="0" xfId="0" applyFont="1" applyFill="1" applyBorder="1"/>
    <xf numFmtId="0" fontId="9" fillId="2" borderId="13" xfId="0" applyFont="1" applyFill="1" applyBorder="1"/>
    <xf numFmtId="0" fontId="9" fillId="2" borderId="5" xfId="0" applyFont="1" applyFill="1" applyBorder="1"/>
    <xf numFmtId="0" fontId="9" fillId="2" borderId="14" xfId="0" applyFont="1" applyFill="1" applyBorder="1"/>
    <xf numFmtId="0" fontId="23" fillId="2" borderId="0" xfId="1" applyFont="1" applyFill="1" applyBorder="1"/>
    <xf numFmtId="175" fontId="45" fillId="2" borderId="0" xfId="0" applyNumberFormat="1" applyFont="1" applyFill="1" applyBorder="1"/>
    <xf numFmtId="166" fontId="45" fillId="2" borderId="34" xfId="0" applyNumberFormat="1" applyFont="1" applyFill="1" applyBorder="1"/>
    <xf numFmtId="0" fontId="23" fillId="2" borderId="0" xfId="0" applyFont="1" applyFill="1" applyAlignment="1">
      <alignment wrapText="1"/>
    </xf>
    <xf numFmtId="0" fontId="46" fillId="2" borderId="0" xfId="0" applyFont="1" applyFill="1"/>
    <xf numFmtId="165" fontId="19" fillId="2" borderId="0" xfId="0" applyNumberFormat="1" applyFont="1" applyFill="1" applyBorder="1"/>
    <xf numFmtId="165" fontId="45" fillId="2" borderId="33" xfId="0" applyNumberFormat="1" applyFont="1" applyFill="1" applyBorder="1"/>
    <xf numFmtId="171" fontId="45" fillId="2" borderId="0" xfId="0" applyNumberFormat="1" applyFont="1" applyFill="1" applyBorder="1"/>
    <xf numFmtId="165" fontId="45" fillId="2" borderId="34" xfId="0" applyNumberFormat="1" applyFont="1" applyFill="1" applyBorder="1"/>
    <xf numFmtId="0" fontId="19" fillId="2" borderId="0" xfId="0" applyFont="1" applyFill="1" applyAlignment="1">
      <alignment horizontal="left"/>
    </xf>
    <xf numFmtId="165" fontId="19" fillId="2" borderId="0" xfId="0" applyNumberFormat="1" applyFont="1" applyFill="1"/>
    <xf numFmtId="166" fontId="23" fillId="2" borderId="0" xfId="1" applyNumberFormat="1" applyFont="1" applyFill="1" applyBorder="1"/>
    <xf numFmtId="166" fontId="46" fillId="2" borderId="0" xfId="0" applyNumberFormat="1" applyFont="1" applyFill="1"/>
    <xf numFmtId="0" fontId="37" fillId="2" borderId="0" xfId="1" applyFont="1" applyFill="1" applyBorder="1"/>
    <xf numFmtId="0" fontId="7" fillId="2" borderId="6" xfId="0" applyFont="1" applyFill="1" applyBorder="1"/>
    <xf numFmtId="165" fontId="45" fillId="2" borderId="4" xfId="0" applyNumberFormat="1" applyFont="1" applyFill="1" applyBorder="1"/>
    <xf numFmtId="171" fontId="45" fillId="2" borderId="4" xfId="0" applyNumberFormat="1" applyFont="1" applyFill="1" applyBorder="1"/>
    <xf numFmtId="0" fontId="7" fillId="2" borderId="15" xfId="0" applyFont="1" applyFill="1" applyBorder="1"/>
    <xf numFmtId="0" fontId="19" fillId="2" borderId="0" xfId="0" applyFont="1" applyFill="1" applyAlignment="1">
      <alignment horizontal="left" indent="1"/>
    </xf>
    <xf numFmtId="2" fontId="23" fillId="2" borderId="0" xfId="0" applyNumberFormat="1" applyFont="1" applyFill="1"/>
    <xf numFmtId="166" fontId="33" fillId="2" borderId="0" xfId="0" applyNumberFormat="1" applyFont="1" applyFill="1"/>
    <xf numFmtId="0" fontId="19" fillId="2" borderId="0" xfId="1" applyFont="1" applyFill="1" applyBorder="1" applyAlignment="1">
      <alignment wrapText="1"/>
    </xf>
    <xf numFmtId="165" fontId="23" fillId="2" borderId="0" xfId="0" applyNumberFormat="1" applyFont="1" applyFill="1" applyBorder="1"/>
    <xf numFmtId="166" fontId="19" fillId="2" borderId="0" xfId="0" applyNumberFormat="1" applyFont="1" applyFill="1"/>
    <xf numFmtId="165" fontId="19" fillId="2" borderId="0" xfId="1" applyNumberFormat="1" applyFont="1" applyFill="1" applyBorder="1"/>
    <xf numFmtId="165" fontId="23" fillId="2" borderId="0" xfId="1" applyNumberFormat="1" applyFont="1" applyFill="1" applyBorder="1"/>
    <xf numFmtId="166" fontId="19" fillId="2" borderId="0" xfId="1" applyNumberFormat="1" applyFont="1" applyFill="1" applyBorder="1"/>
    <xf numFmtId="0" fontId="19" fillId="2" borderId="0" xfId="1" applyFont="1" applyFill="1" applyBorder="1"/>
    <xf numFmtId="166" fontId="19" fillId="2" borderId="0" xfId="1" applyNumberFormat="1" applyFont="1" applyFill="1" applyBorder="1" applyAlignment="1">
      <alignment wrapText="1"/>
    </xf>
    <xf numFmtId="0" fontId="23" fillId="2" borderId="51" xfId="0" applyFont="1" applyFill="1" applyBorder="1" applyAlignment="1">
      <alignment wrapText="1"/>
    </xf>
    <xf numFmtId="0" fontId="37" fillId="2" borderId="52" xfId="1" applyFont="1" applyFill="1" applyBorder="1" applyAlignment="1">
      <alignment wrapText="1"/>
    </xf>
    <xf numFmtId="0" fontId="37" fillId="2" borderId="53" xfId="1" applyFont="1" applyFill="1" applyBorder="1" applyAlignment="1">
      <alignment wrapText="1"/>
    </xf>
    <xf numFmtId="166" fontId="45" fillId="2" borderId="54" xfId="0" applyNumberFormat="1" applyFont="1" applyFill="1" applyBorder="1"/>
    <xf numFmtId="3" fontId="37" fillId="2" borderId="55" xfId="0" applyNumberFormat="1" applyFont="1" applyFill="1" applyBorder="1"/>
    <xf numFmtId="165" fontId="45" fillId="2" borderId="54" xfId="0" applyNumberFormat="1" applyFont="1" applyFill="1" applyBorder="1"/>
    <xf numFmtId="0" fontId="40" fillId="2" borderId="54" xfId="0" applyFont="1" applyFill="1" applyBorder="1"/>
    <xf numFmtId="0" fontId="45" fillId="2" borderId="54" xfId="0" applyFont="1" applyFill="1" applyBorder="1"/>
    <xf numFmtId="2" fontId="45" fillId="2" borderId="54" xfId="0" applyNumberFormat="1" applyFont="1" applyFill="1" applyBorder="1"/>
    <xf numFmtId="0" fontId="23" fillId="2" borderId="54" xfId="0" applyFont="1" applyFill="1" applyBorder="1"/>
    <xf numFmtId="0" fontId="19" fillId="2" borderId="56" xfId="0" applyFont="1" applyFill="1" applyBorder="1"/>
    <xf numFmtId="0" fontId="19" fillId="2" borderId="57" xfId="0" applyFont="1" applyFill="1" applyBorder="1"/>
    <xf numFmtId="166" fontId="19" fillId="2" borderId="57" xfId="0" applyNumberFormat="1" applyFont="1" applyFill="1" applyBorder="1"/>
    <xf numFmtId="166" fontId="19" fillId="2" borderId="58" xfId="0" applyNumberFormat="1" applyFont="1" applyFill="1" applyBorder="1"/>
    <xf numFmtId="177" fontId="0" fillId="2" borderId="0" xfId="0" applyNumberFormat="1" applyFill="1"/>
    <xf numFmtId="4" fontId="0" fillId="2" borderId="0" xfId="0" applyNumberFormat="1" applyFill="1"/>
    <xf numFmtId="4" fontId="26" fillId="2" borderId="0" xfId="0" applyNumberFormat="1" applyFont="1" applyFill="1"/>
    <xf numFmtId="3" fontId="19" fillId="0" borderId="0" xfId="0" applyNumberFormat="1" applyFont="1" applyFill="1" applyBorder="1"/>
    <xf numFmtId="0" fontId="34" fillId="2" borderId="13" xfId="0" applyFont="1" applyFill="1" applyBorder="1"/>
    <xf numFmtId="0" fontId="65" fillId="2" borderId="0" xfId="0" applyFont="1" applyFill="1" applyAlignment="1">
      <alignment vertical="top" wrapText="1"/>
    </xf>
    <xf numFmtId="167" fontId="0" fillId="2" borderId="0" xfId="11" applyNumberFormat="1" applyFont="1" applyFill="1" applyBorder="1"/>
    <xf numFmtId="0" fontId="95" fillId="11" borderId="0" xfId="0" applyFont="1" applyFill="1" applyBorder="1" applyAlignment="1">
      <alignment horizontal="center" vertical="center" wrapText="1"/>
    </xf>
    <xf numFmtId="0" fontId="0" fillId="2" borderId="0" xfId="0" applyFill="1" applyBorder="1" applyAlignment="1">
      <alignment horizontal="left"/>
    </xf>
    <xf numFmtId="0" fontId="0" fillId="2" borderId="0" xfId="0" applyFill="1" applyBorder="1" applyAlignment="1">
      <alignment horizontal="left" wrapText="1"/>
    </xf>
    <xf numFmtId="0" fontId="23" fillId="2" borderId="0" xfId="0" applyFont="1" applyFill="1" applyBorder="1" applyAlignment="1">
      <alignment horizontal="left"/>
    </xf>
    <xf numFmtId="3" fontId="45" fillId="2" borderId="0" xfId="0" applyNumberFormat="1" applyFont="1" applyFill="1" applyAlignment="1">
      <alignment vertical="top" wrapText="1"/>
    </xf>
    <xf numFmtId="0" fontId="45" fillId="2" borderId="0" xfId="0" applyFont="1" applyFill="1" applyAlignment="1">
      <alignment vertical="top" wrapText="1"/>
    </xf>
    <xf numFmtId="2" fontId="45" fillId="9" borderId="0" xfId="0" applyNumberFormat="1" applyFont="1" applyFill="1"/>
    <xf numFmtId="0" fontId="19" fillId="9" borderId="0" xfId="0" applyFont="1" applyFill="1"/>
    <xf numFmtId="0" fontId="23" fillId="9" borderId="0" xfId="0" applyFont="1" applyFill="1"/>
    <xf numFmtId="166" fontId="37" fillId="9" borderId="0" xfId="0" applyNumberFormat="1" applyFont="1" applyFill="1" applyBorder="1"/>
    <xf numFmtId="0" fontId="37" fillId="9" borderId="0" xfId="1" applyFont="1" applyFill="1" applyBorder="1" applyAlignment="1">
      <alignment wrapText="1"/>
    </xf>
    <xf numFmtId="165" fontId="37" fillId="9" borderId="0" xfId="0" applyNumberFormat="1" applyFont="1" applyFill="1" applyBorder="1"/>
    <xf numFmtId="0" fontId="19" fillId="9" borderId="0" xfId="0" applyFont="1" applyFill="1" applyBorder="1"/>
    <xf numFmtId="0" fontId="40" fillId="9" borderId="0" xfId="0" applyFont="1" applyFill="1"/>
    <xf numFmtId="166" fontId="45" fillId="9" borderId="0" xfId="0" applyNumberFormat="1" applyFont="1" applyFill="1" applyBorder="1"/>
    <xf numFmtId="167" fontId="45" fillId="9" borderId="0" xfId="11" applyNumberFormat="1" applyFont="1" applyFill="1" applyBorder="1"/>
    <xf numFmtId="165" fontId="45" fillId="9" borderId="0" xfId="0" applyNumberFormat="1" applyFont="1" applyFill="1" applyBorder="1"/>
    <xf numFmtId="0" fontId="45" fillId="9" borderId="0" xfId="0" applyFont="1" applyFill="1"/>
    <xf numFmtId="167" fontId="37" fillId="9" borderId="0" xfId="0" applyNumberFormat="1" applyFont="1" applyFill="1" applyBorder="1"/>
    <xf numFmtId="0" fontId="45" fillId="9" borderId="0" xfId="0" applyFont="1" applyFill="1" applyBorder="1"/>
    <xf numFmtId="166" fontId="19" fillId="3" borderId="0" xfId="0" applyNumberFormat="1" applyFont="1" applyFill="1" applyBorder="1"/>
    <xf numFmtId="2" fontId="19" fillId="3" borderId="0" xfId="0" applyNumberFormat="1" applyFont="1" applyFill="1" applyBorder="1"/>
    <xf numFmtId="0" fontId="6" fillId="0" borderId="0" xfId="0" applyFont="1" applyFill="1" applyBorder="1" applyAlignment="1">
      <alignment wrapText="1"/>
    </xf>
    <xf numFmtId="1" fontId="19" fillId="3" borderId="0" xfId="0" applyNumberFormat="1" applyFont="1" applyFill="1" applyBorder="1"/>
    <xf numFmtId="3" fontId="0" fillId="0" borderId="0" xfId="0" applyNumberFormat="1" applyFill="1"/>
    <xf numFmtId="9" fontId="0" fillId="0" borderId="0" xfId="11" applyFont="1"/>
    <xf numFmtId="178" fontId="19" fillId="2" borderId="0" xfId="0" applyNumberFormat="1" applyFont="1" applyFill="1" applyBorder="1"/>
    <xf numFmtId="4" fontId="0" fillId="2" borderId="0" xfId="0" applyNumberFormat="1" applyFill="1" applyBorder="1"/>
    <xf numFmtId="179" fontId="19" fillId="2" borderId="0" xfId="0" applyNumberFormat="1" applyFont="1" applyFill="1" applyBorder="1"/>
    <xf numFmtId="180" fontId="19" fillId="2" borderId="0" xfId="11" applyNumberFormat="1" applyFont="1" applyFill="1" applyBorder="1"/>
    <xf numFmtId="0" fontId="5" fillId="0" borderId="0" xfId="0" applyFont="1" applyFill="1" applyBorder="1"/>
    <xf numFmtId="0" fontId="5" fillId="2" borderId="0" xfId="1" applyFont="1" applyFill="1" applyBorder="1"/>
    <xf numFmtId="0" fontId="58" fillId="2" borderId="0" xfId="0" applyFont="1" applyFill="1" applyAlignment="1">
      <alignment horizontal="center"/>
    </xf>
    <xf numFmtId="0" fontId="58" fillId="2" borderId="0" xfId="0" applyFont="1" applyFill="1" applyAlignment="1">
      <alignment horizontal="center" wrapText="1"/>
    </xf>
    <xf numFmtId="0" fontId="51" fillId="2" borderId="59" xfId="1" applyFont="1" applyFill="1" applyBorder="1"/>
    <xf numFmtId="3" fontId="51" fillId="2" borderId="60" xfId="0" applyNumberFormat="1" applyFont="1" applyFill="1" applyBorder="1"/>
    <xf numFmtId="3" fontId="58" fillId="2" borderId="60" xfId="0" applyNumberFormat="1" applyFont="1" applyFill="1" applyBorder="1"/>
    <xf numFmtId="3" fontId="51" fillId="2" borderId="61" xfId="0" applyNumberFormat="1" applyFont="1" applyFill="1" applyBorder="1"/>
    <xf numFmtId="0" fontId="51" fillId="2" borderId="62" xfId="0" applyFont="1" applyFill="1" applyBorder="1"/>
    <xf numFmtId="3" fontId="51" fillId="2" borderId="0" xfId="0" applyNumberFormat="1" applyFont="1" applyFill="1"/>
    <xf numFmtId="3" fontId="58" fillId="2" borderId="0" xfId="0" applyNumberFormat="1" applyFont="1" applyFill="1"/>
    <xf numFmtId="3" fontId="51" fillId="2" borderId="63" xfId="0" applyNumberFormat="1" applyFont="1" applyFill="1" applyBorder="1"/>
    <xf numFmtId="165" fontId="51" fillId="2" borderId="62" xfId="0" applyNumberFormat="1" applyFont="1" applyFill="1" applyBorder="1"/>
    <xf numFmtId="0" fontId="58" fillId="2" borderId="64" xfId="0" applyFont="1" applyFill="1" applyBorder="1"/>
    <xf numFmtId="3" fontId="58" fillId="2" borderId="65" xfId="0" applyNumberFormat="1" applyFont="1" applyFill="1" applyBorder="1"/>
    <xf numFmtId="3" fontId="58" fillId="2" borderId="66" xfId="0" applyNumberFormat="1" applyFont="1" applyFill="1" applyBorder="1"/>
    <xf numFmtId="167" fontId="0" fillId="0" borderId="0" xfId="11" applyNumberFormat="1" applyFont="1"/>
    <xf numFmtId="0" fontId="0" fillId="0" borderId="0" xfId="0" applyAlignment="1">
      <alignment horizontal="left"/>
    </xf>
    <xf numFmtId="0" fontId="51" fillId="0" borderId="0" xfId="0" applyFont="1" applyAlignment="1">
      <alignment horizontal="left"/>
    </xf>
    <xf numFmtId="3" fontId="51" fillId="0" borderId="0" xfId="0" applyNumberFormat="1" applyFont="1" applyAlignment="1">
      <alignment wrapText="1"/>
    </xf>
    <xf numFmtId="0" fontId="51" fillId="0" borderId="0" xfId="0" applyFont="1" applyAlignment="1">
      <alignment horizontal="left" indent="1"/>
    </xf>
    <xf numFmtId="4" fontId="0" fillId="0" borderId="0" xfId="0" applyNumberFormat="1"/>
    <xf numFmtId="165" fontId="51" fillId="2" borderId="0" xfId="0" applyNumberFormat="1" applyFont="1" applyFill="1" applyAlignment="1">
      <alignment wrapText="1"/>
    </xf>
    <xf numFmtId="165" fontId="51" fillId="0" borderId="0" xfId="0" applyNumberFormat="1" applyFont="1" applyAlignment="1">
      <alignment wrapText="1"/>
    </xf>
    <xf numFmtId="0" fontId="51" fillId="0" borderId="0" xfId="0" pivotButton="1" applyFont="1"/>
    <xf numFmtId="0" fontId="51" fillId="0" borderId="0" xfId="0" pivotButton="1" applyFont="1" applyAlignment="1">
      <alignment wrapText="1"/>
    </xf>
    <xf numFmtId="0" fontId="4" fillId="0" borderId="0" xfId="1" applyFont="1" applyFill="1" applyBorder="1"/>
    <xf numFmtId="0" fontId="34" fillId="0" borderId="0" xfId="0" applyFont="1" applyAlignment="1">
      <alignment horizontal="left" vertical="top" wrapText="1"/>
    </xf>
    <xf numFmtId="0" fontId="3" fillId="0" borderId="0" xfId="0" applyFont="1" applyFill="1" applyBorder="1"/>
    <xf numFmtId="0" fontId="2" fillId="0" borderId="0" xfId="0" applyFont="1" applyFill="1" applyBorder="1"/>
    <xf numFmtId="0" fontId="2" fillId="0" borderId="0" xfId="0" applyFont="1" applyFill="1" applyBorder="1" applyAlignment="1">
      <alignment vertical="center"/>
    </xf>
    <xf numFmtId="0" fontId="2" fillId="0" borderId="0" xfId="1" applyFont="1" applyFill="1" applyBorder="1"/>
    <xf numFmtId="177" fontId="19" fillId="0" borderId="0" xfId="0" applyNumberFormat="1" applyFont="1" applyFill="1" applyBorder="1"/>
    <xf numFmtId="0" fontId="2" fillId="0" borderId="0" xfId="0" applyFont="1" applyFill="1" applyBorder="1" applyAlignment="1">
      <alignment horizontal="center" vertical="center"/>
    </xf>
    <xf numFmtId="4" fontId="19" fillId="0" borderId="0" xfId="0" applyNumberFormat="1" applyFont="1" applyFill="1" applyBorder="1"/>
    <xf numFmtId="165" fontId="2" fillId="0" borderId="0" xfId="0" applyNumberFormat="1" applyFont="1" applyFill="1" applyBorder="1" applyAlignment="1">
      <alignment vertical="center"/>
    </xf>
    <xf numFmtId="0" fontId="19" fillId="0" borderId="0" xfId="0" applyFont="1" applyFill="1" applyBorder="1" applyAlignment="1"/>
    <xf numFmtId="4" fontId="23" fillId="0" borderId="0" xfId="0" applyNumberFormat="1" applyFont="1" applyFill="1" applyBorder="1"/>
    <xf numFmtId="177" fontId="23" fillId="0" borderId="0" xfId="0" applyNumberFormat="1" applyFont="1" applyFill="1" applyBorder="1"/>
    <xf numFmtId="177" fontId="19" fillId="0" borderId="0" xfId="0" applyNumberFormat="1" applyFont="1" applyFill="1" applyBorder="1" applyAlignment="1"/>
    <xf numFmtId="1" fontId="19" fillId="0" borderId="0" xfId="0" applyNumberFormat="1" applyFont="1" applyFill="1" applyBorder="1"/>
    <xf numFmtId="0" fontId="1" fillId="0" borderId="0" xfId="0" applyFont="1" applyFill="1" applyBorder="1"/>
    <xf numFmtId="1" fontId="23" fillId="0" borderId="0" xfId="0" applyNumberFormat="1" applyFont="1" applyFill="1" applyAlignment="1">
      <alignment horizontal="right" vertical="center"/>
    </xf>
    <xf numFmtId="9" fontId="19" fillId="0" borderId="0" xfId="11" applyFont="1" applyFill="1" applyBorder="1"/>
    <xf numFmtId="3" fontId="19" fillId="0" borderId="0" xfId="0" applyNumberFormat="1" applyFont="1" applyFill="1"/>
    <xf numFmtId="166" fontId="1" fillId="0" borderId="0" xfId="0" applyNumberFormat="1" applyFont="1" applyFill="1" applyBorder="1"/>
    <xf numFmtId="165" fontId="19" fillId="3" borderId="0" xfId="0" applyNumberFormat="1" applyFont="1" applyFill="1" applyBorder="1" applyAlignment="1">
      <alignment horizontal="center" vertical="center"/>
    </xf>
    <xf numFmtId="165" fontId="23" fillId="3" borderId="0" xfId="0" applyNumberFormat="1" applyFont="1" applyFill="1" applyBorder="1" applyAlignment="1">
      <alignment horizontal="center"/>
    </xf>
    <xf numFmtId="0" fontId="1" fillId="0" borderId="0" xfId="0" applyFont="1"/>
    <xf numFmtId="1" fontId="19" fillId="0" borderId="0" xfId="1" applyNumberFormat="1" applyFont="1" applyFill="1" applyBorder="1"/>
    <xf numFmtId="1" fontId="19" fillId="3" borderId="0" xfId="1" applyNumberFormat="1" applyFont="1" applyFill="1" applyBorder="1"/>
    <xf numFmtId="0" fontId="1" fillId="2" borderId="0" xfId="0" applyFont="1" applyFill="1"/>
    <xf numFmtId="165" fontId="0" fillId="2" borderId="0" xfId="0" applyNumberFormat="1" applyFont="1" applyFill="1" applyBorder="1"/>
    <xf numFmtId="166" fontId="0" fillId="2" borderId="0" xfId="0" applyNumberFormat="1" applyFill="1" applyBorder="1" applyAlignment="1">
      <alignment horizontal="right"/>
    </xf>
    <xf numFmtId="0" fontId="1" fillId="3" borderId="0" xfId="0" applyFont="1" applyFill="1"/>
    <xf numFmtId="0" fontId="0" fillId="2" borderId="0" xfId="0" applyFill="1" applyAlignment="1">
      <alignment horizontal="center"/>
    </xf>
    <xf numFmtId="0" fontId="83" fillId="2" borderId="0" xfId="15" applyFont="1" applyFill="1" applyAlignment="1">
      <alignment horizontal="left" vertical="center" wrapText="1"/>
    </xf>
    <xf numFmtId="0" fontId="93" fillId="2" borderId="48" xfId="15" applyFont="1" applyFill="1" applyBorder="1" applyAlignment="1">
      <alignment horizontal="justify" vertical="center" wrapText="1"/>
    </xf>
    <xf numFmtId="0" fontId="93" fillId="2" borderId="0" xfId="15" applyFont="1" applyFill="1" applyAlignment="1">
      <alignment horizontal="left" vertical="center" wrapText="1"/>
    </xf>
    <xf numFmtId="3" fontId="76" fillId="13" borderId="46" xfId="15" applyNumberFormat="1" applyFont="1" applyFill="1" applyBorder="1" applyAlignment="1">
      <alignment horizontal="center" vertical="center" wrapText="1"/>
    </xf>
    <xf numFmtId="3" fontId="76" fillId="13" borderId="49" xfId="15" applyNumberFormat="1" applyFont="1" applyFill="1" applyBorder="1" applyAlignment="1">
      <alignment horizontal="center" vertical="center" wrapText="1"/>
    </xf>
    <xf numFmtId="3" fontId="76" fillId="13" borderId="50" xfId="15" applyNumberFormat="1" applyFont="1" applyFill="1" applyBorder="1" applyAlignment="1">
      <alignment horizontal="center" vertical="center" wrapText="1"/>
    </xf>
    <xf numFmtId="0" fontId="76" fillId="13" borderId="37" xfId="15" applyFont="1" applyFill="1" applyBorder="1" applyAlignment="1">
      <alignment horizontal="center" vertical="center" wrapText="1"/>
    </xf>
    <xf numFmtId="0" fontId="76" fillId="13" borderId="42" xfId="15" applyFont="1" applyFill="1" applyBorder="1" applyAlignment="1">
      <alignment horizontal="center" vertical="center" wrapText="1"/>
    </xf>
    <xf numFmtId="0" fontId="73" fillId="2" borderId="0" xfId="15" applyFont="1" applyFill="1" applyAlignment="1">
      <alignment horizontal="left" vertical="center"/>
    </xf>
    <xf numFmtId="0" fontId="73" fillId="2" borderId="0" xfId="15" applyFont="1" applyFill="1" applyBorder="1" applyAlignment="1">
      <alignment horizontal="left" vertical="center"/>
    </xf>
    <xf numFmtId="0" fontId="83" fillId="2" borderId="48" xfId="15" applyFont="1" applyFill="1" applyBorder="1" applyAlignment="1">
      <alignment horizontal="justify" vertical="center" wrapText="1"/>
    </xf>
    <xf numFmtId="0" fontId="76" fillId="13" borderId="39" xfId="15" applyFont="1" applyFill="1" applyBorder="1" applyAlignment="1">
      <alignment horizontal="center" vertical="center" wrapText="1"/>
    </xf>
    <xf numFmtId="0" fontId="76" fillId="13" borderId="40" xfId="15" applyFont="1" applyFill="1" applyBorder="1" applyAlignment="1">
      <alignment horizontal="center" vertical="center" wrapText="1"/>
    </xf>
    <xf numFmtId="0" fontId="76" fillId="13" borderId="35" xfId="15" applyFont="1" applyFill="1" applyBorder="1" applyAlignment="1">
      <alignment horizontal="center" vertical="center" wrapText="1"/>
    </xf>
    <xf numFmtId="0" fontId="73" fillId="2" borderId="0" xfId="15" applyFont="1" applyFill="1" applyBorder="1" applyAlignment="1">
      <alignment horizontal="left" vertical="center" wrapText="1"/>
    </xf>
    <xf numFmtId="0" fontId="81" fillId="2" borderId="38" xfId="15" applyFont="1" applyFill="1" applyBorder="1" applyAlignment="1">
      <alignment horizontal="justify" vertical="center" wrapText="1"/>
    </xf>
    <xf numFmtId="0" fontId="81" fillId="0" borderId="0" xfId="15" applyFont="1" applyAlignment="1">
      <alignment horizontal="left" vertical="center"/>
    </xf>
    <xf numFmtId="0" fontId="26"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xf>
    <xf numFmtId="0" fontId="60" fillId="0" borderId="0" xfId="0" applyFont="1" applyAlignment="1">
      <alignment horizontal="center" vertical="center" wrapText="1"/>
    </xf>
    <xf numFmtId="0" fontId="26" fillId="0" borderId="13" xfId="0" applyFont="1" applyBorder="1" applyAlignment="1">
      <alignment horizontal="center" vertical="center"/>
    </xf>
    <xf numFmtId="0" fontId="26" fillId="0" borderId="5" xfId="0" applyFont="1" applyBorder="1" applyAlignment="1">
      <alignment horizontal="center" vertical="center"/>
    </xf>
    <xf numFmtId="0" fontId="26" fillId="0" borderId="14" xfId="0" applyFont="1" applyBorder="1" applyAlignment="1">
      <alignment horizontal="center" vertical="center"/>
    </xf>
    <xf numFmtId="0" fontId="26" fillId="0" borderId="33" xfId="0" applyFont="1" applyBorder="1" applyAlignment="1">
      <alignment horizontal="center" vertical="center"/>
    </xf>
    <xf numFmtId="0" fontId="26" fillId="0" borderId="0" xfId="0" applyFont="1" applyBorder="1" applyAlignment="1">
      <alignment horizontal="center" vertical="center"/>
    </xf>
    <xf numFmtId="0" fontId="26" fillId="0" borderId="34" xfId="0" applyFont="1" applyBorder="1" applyAlignment="1">
      <alignment horizontal="center" vertical="center"/>
    </xf>
    <xf numFmtId="0" fontId="26" fillId="0" borderId="8" xfId="0" applyFont="1" applyBorder="1" applyAlignment="1">
      <alignment horizontal="center" vertical="center"/>
    </xf>
    <xf numFmtId="0" fontId="26" fillId="0" borderId="31" xfId="0" applyFont="1" applyBorder="1" applyAlignment="1">
      <alignment horizontal="center" vertical="center"/>
    </xf>
    <xf numFmtId="0" fontId="26" fillId="0" borderId="32" xfId="0" applyFont="1" applyBorder="1" applyAlignment="1">
      <alignment horizontal="center" vertical="center"/>
    </xf>
    <xf numFmtId="0" fontId="26" fillId="0" borderId="7" xfId="0" applyFont="1" applyBorder="1" applyAlignment="1">
      <alignment horizontal="center" vertical="center"/>
    </xf>
    <xf numFmtId="0" fontId="26" fillId="0" borderId="9" xfId="0" applyFont="1" applyBorder="1" applyAlignment="1">
      <alignment horizontal="center" vertical="center"/>
    </xf>
    <xf numFmtId="0" fontId="26" fillId="0" borderId="13" xfId="0" applyFont="1" applyBorder="1" applyAlignment="1">
      <alignment horizontal="center" vertical="center" wrapText="1"/>
    </xf>
    <xf numFmtId="0" fontId="26" fillId="0" borderId="5"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33" xfId="0" applyFont="1" applyBorder="1" applyAlignment="1">
      <alignment horizontal="center" vertical="center" wrapText="1"/>
    </xf>
    <xf numFmtId="0" fontId="26" fillId="0" borderId="0" xfId="0" applyFont="1" applyBorder="1" applyAlignment="1">
      <alignment horizontal="center" vertical="center" wrapText="1"/>
    </xf>
    <xf numFmtId="0" fontId="26" fillId="0" borderId="34" xfId="0" applyFont="1" applyBorder="1" applyAlignment="1">
      <alignment horizontal="center" vertical="center" wrapText="1"/>
    </xf>
    <xf numFmtId="0" fontId="20" fillId="0" borderId="0" xfId="1" applyFont="1" applyFill="1" applyBorder="1" applyAlignment="1">
      <alignment horizontal="center"/>
    </xf>
    <xf numFmtId="0" fontId="63" fillId="12" borderId="0" xfId="0" applyFont="1" applyFill="1" applyAlignment="1">
      <alignment horizontal="center" vertical="center" wrapText="1"/>
    </xf>
    <xf numFmtId="0" fontId="65" fillId="2" borderId="0" xfId="0" applyFont="1" applyFill="1" applyAlignment="1">
      <alignment horizontal="left" vertical="top" wrapText="1"/>
    </xf>
    <xf numFmtId="0" fontId="34" fillId="9" borderId="0" xfId="0" applyFont="1" applyFill="1" applyAlignment="1">
      <alignment horizontal="left" vertical="top" wrapText="1"/>
    </xf>
    <xf numFmtId="165" fontId="58" fillId="2" borderId="33" xfId="0" applyNumberFormat="1" applyFont="1" applyFill="1" applyBorder="1" applyAlignment="1">
      <alignment horizontal="left" wrapText="1"/>
    </xf>
    <xf numFmtId="165" fontId="58" fillId="2" borderId="6" xfId="0" applyNumberFormat="1" applyFont="1" applyFill="1" applyBorder="1" applyAlignment="1">
      <alignment horizontal="left" wrapText="1"/>
    </xf>
    <xf numFmtId="1" fontId="19" fillId="0" borderId="0" xfId="0" applyNumberFormat="1" applyFont="1" applyFill="1" applyBorder="1" applyAlignment="1">
      <alignment horizontal="right" vertical="center"/>
    </xf>
    <xf numFmtId="0" fontId="2" fillId="0" borderId="0" xfId="0" applyFont="1" applyFill="1" applyBorder="1" applyAlignment="1">
      <alignment horizontal="center" vertical="center"/>
    </xf>
    <xf numFmtId="166" fontId="19" fillId="0" borderId="0" xfId="0" applyNumberFormat="1" applyFont="1" applyFill="1" applyBorder="1" applyAlignment="1">
      <alignment vertical="center"/>
    </xf>
    <xf numFmtId="0" fontId="19" fillId="0" borderId="0" xfId="0" applyFont="1" applyFill="1" applyBorder="1" applyAlignment="1">
      <alignment horizontal="center"/>
    </xf>
    <xf numFmtId="0" fontId="34" fillId="0" borderId="0" xfId="0" applyFont="1" applyAlignment="1">
      <alignment horizontal="left" vertical="top" wrapText="1"/>
    </xf>
    <xf numFmtId="4" fontId="63" fillId="12" borderId="0" xfId="0" applyNumberFormat="1" applyFont="1" applyFill="1" applyAlignment="1">
      <alignment horizontal="center" vertical="center" wrapText="1"/>
    </xf>
    <xf numFmtId="4" fontId="19" fillId="0" borderId="0" xfId="0" applyNumberFormat="1" applyFont="1" applyFill="1" applyBorder="1" applyAlignment="1">
      <alignment horizontal="right" vertical="center"/>
    </xf>
    <xf numFmtId="0" fontId="16" fillId="9" borderId="0" xfId="1" applyFont="1" applyFill="1" applyBorder="1" applyAlignment="1">
      <alignment horizontal="center"/>
    </xf>
    <xf numFmtId="0" fontId="17" fillId="9" borderId="0" xfId="1" applyFont="1" applyFill="1" applyBorder="1" applyAlignment="1">
      <alignment horizontal="center"/>
    </xf>
    <xf numFmtId="165" fontId="0" fillId="9" borderId="0" xfId="0" applyNumberFormat="1" applyFont="1" applyFill="1" applyBorder="1" applyAlignment="1">
      <alignment horizontal="center"/>
    </xf>
    <xf numFmtId="165" fontId="24" fillId="9" borderId="0" xfId="0" applyNumberFormat="1" applyFont="1" applyFill="1" applyBorder="1" applyAlignment="1">
      <alignment horizontal="center"/>
    </xf>
    <xf numFmtId="0" fontId="19" fillId="0" borderId="0" xfId="0" applyFont="1" applyFill="1" applyBorder="1" applyAlignment="1">
      <alignment horizontal="center" vertical="center"/>
    </xf>
  </cellXfs>
  <cellStyles count="18">
    <cellStyle name="=C:\WINNT\SYSTEM32\COMMAND.COM" xfId="10"/>
    <cellStyle name="Lien hypertexte" xfId="4" builtinId="8"/>
    <cellStyle name="Milliers 2" xfId="8"/>
    <cellStyle name="Milliers 3" xfId="12"/>
    <cellStyle name="Normal" xfId="0" builtinId="0"/>
    <cellStyle name="Normal 2" xfId="1"/>
    <cellStyle name="Normal 2 2" xfId="9"/>
    <cellStyle name="Normal 2 3" xfId="16"/>
    <cellStyle name="Normal 3" xfId="2"/>
    <cellStyle name="Normal 4" xfId="3"/>
    <cellStyle name="Normal 5" xfId="5"/>
    <cellStyle name="Normal 6" xfId="6"/>
    <cellStyle name="Normal 7" xfId="13"/>
    <cellStyle name="Normal 8" xfId="14"/>
    <cellStyle name="Normal 9" xfId="15"/>
    <cellStyle name="Pourcentage" xfId="11" builtinId="5"/>
    <cellStyle name="Pourcentage 2" xfId="7"/>
    <cellStyle name="Pourcentage 3" xfId="17"/>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0"/>
        </patternFill>
      </fill>
    </dxf>
    <dxf>
      <fill>
        <patternFill patternType="solid">
          <bgColor theme="7" tint="0.79998168889431442"/>
        </patternFill>
      </fill>
    </dxf>
    <dxf>
      <numFmt numFmtId="165" formatCode="#,##0.0"/>
    </dxf>
    <dxf>
      <numFmt numFmtId="165" formatCode="#,##0.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3" formatCode="#,##0"/>
    </dxf>
    <dxf>
      <numFmt numFmtId="164"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ofPieChart>
        <c:ofPieType val="pie"/>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F8-1B4D-814C-5D3A42BD2D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9F8-1B4D-814C-5D3A42BD2D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9F8-1B4D-814C-5D3A42BD2D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9F8-1B4D-814C-5D3A42BD2D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9F8-1B4D-814C-5D3A42BD2DA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9F8-1B4D-814C-5D3A42BD2DA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9F8-1B4D-814C-5D3A42BD2DA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9F8-1B4D-814C-5D3A42BD2DA2}"/>
              </c:ext>
            </c:extLst>
          </c:dPt>
          <c:dLbls>
            <c:dLbl>
              <c:idx val="2"/>
              <c:layout>
                <c:manualLayout>
                  <c:x val="1.0463151375740954E-2"/>
                  <c:y val="4.529126567512394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C9F8-1B4D-814C-5D3A42BD2DA2}"/>
                </c:ext>
              </c:extLst>
            </c:dLbl>
            <c:dLbl>
              <c:idx val="3"/>
              <c:layout>
                <c:manualLayout>
                  <c:x val="5.1728744581084667E-2"/>
                  <c:y val="-5.8158355205599303E-3"/>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C9F8-1B4D-814C-5D3A42BD2DA2}"/>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ThreeME'!$G$60:$G$66</c:f>
              <c:numCache>
                <c:formatCode>#,##0</c:formatCode>
                <c:ptCount val="7"/>
                <c:pt idx="0">
                  <c:v>158.69049801493588</c:v>
                </c:pt>
                <c:pt idx="1">
                  <c:v>1600.6292995026315</c:v>
                </c:pt>
                <c:pt idx="2">
                  <c:v>1271.6844437569528</c:v>
                </c:pt>
                <c:pt idx="3">
                  <c:v>180.42292438301337</c:v>
                </c:pt>
                <c:pt idx="4">
                  <c:v>714.27044787830323</c:v>
                </c:pt>
                <c:pt idx="5">
                  <c:v>2168.3875360827706</c:v>
                </c:pt>
                <c:pt idx="6">
                  <c:v>1754.0996721605352</c:v>
                </c:pt>
              </c:numCache>
            </c:numRef>
          </c:val>
          <c:extLst>
            <c:ext xmlns:c16="http://schemas.microsoft.com/office/drawing/2014/chart" uri="{C3380CC4-5D6E-409C-BE32-E72D297353CC}">
              <c16:uniqueId val="{00000000-46D6-7B49-8BEF-51D49272BAC4}"/>
            </c:ext>
          </c:extLst>
        </c:ser>
        <c:dLbls>
          <c:dLblPos val="bestFit"/>
          <c:showLegendKey val="0"/>
          <c:showVal val="0"/>
          <c:showCatName val="1"/>
          <c:showSerName val="0"/>
          <c:showPercent val="1"/>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'For ThreeME'!$C$59</c:f>
              <c:strCache>
                <c:ptCount val="1"/>
                <c:pt idx="0">
                  <c:v>Oil&amp;coal</c:v>
                </c:pt>
              </c:strCache>
            </c:strRef>
          </c:tx>
          <c:spPr>
            <a:solidFill>
              <a:schemeClr val="accent1"/>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ThreeME'!$C$60:$C$66</c:f>
              <c:numCache>
                <c:formatCode>#,##0</c:formatCode>
                <c:ptCount val="7"/>
                <c:pt idx="0">
                  <c:v>121.58713299999999</c:v>
                </c:pt>
                <c:pt idx="1">
                  <c:v>411.05060299999991</c:v>
                </c:pt>
                <c:pt idx="2">
                  <c:v>1245.3447022115167</c:v>
                </c:pt>
                <c:pt idx="3">
                  <c:v>82.998924383013346</c:v>
                </c:pt>
                <c:pt idx="4">
                  <c:v>92.751619486664239</c:v>
                </c:pt>
                <c:pt idx="5">
                  <c:v>828.16699999999992</c:v>
                </c:pt>
                <c:pt idx="6">
                  <c:v>1269.6992751605353</c:v>
                </c:pt>
              </c:numCache>
            </c:numRef>
          </c:val>
          <c:extLst>
            <c:ext xmlns:c16="http://schemas.microsoft.com/office/drawing/2014/chart" uri="{C3380CC4-5D6E-409C-BE32-E72D297353CC}">
              <c16:uniqueId val="{00000000-68A2-8147-97D8-0D37C71DDB8A}"/>
            </c:ext>
          </c:extLst>
        </c:ser>
        <c:ser>
          <c:idx val="1"/>
          <c:order val="1"/>
          <c:tx>
            <c:strRef>
              <c:f>'For ThreeME'!$D$59</c:f>
              <c:strCache>
                <c:ptCount val="1"/>
                <c:pt idx="0">
                  <c:v>Gas</c:v>
                </c:pt>
              </c:strCache>
            </c:strRef>
          </c:tx>
          <c:spPr>
            <a:solidFill>
              <a:schemeClr val="accent2"/>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ThreeME'!$D$60:$D$66</c:f>
              <c:numCache>
                <c:formatCode>#,##0</c:formatCode>
                <c:ptCount val="7"/>
                <c:pt idx="0">
                  <c:v>7.5365014935901156E-2</c:v>
                </c:pt>
                <c:pt idx="1">
                  <c:v>594.81225350263162</c:v>
                </c:pt>
                <c:pt idx="2">
                  <c:v>1.1275404571068952</c:v>
                </c:pt>
                <c:pt idx="3">
                  <c:v>11.097</c:v>
                </c:pt>
                <c:pt idx="4">
                  <c:v>609.29035965471849</c:v>
                </c:pt>
                <c:pt idx="5">
                  <c:v>1303.69</c:v>
                </c:pt>
                <c:pt idx="6">
                  <c:v>33.802999999999997</c:v>
                </c:pt>
              </c:numCache>
            </c:numRef>
          </c:val>
          <c:extLst>
            <c:ext xmlns:c16="http://schemas.microsoft.com/office/drawing/2014/chart" uri="{C3380CC4-5D6E-409C-BE32-E72D297353CC}">
              <c16:uniqueId val="{00000001-68A2-8147-97D8-0D37C71DDB8A}"/>
            </c:ext>
          </c:extLst>
        </c:ser>
        <c:ser>
          <c:idx val="2"/>
          <c:order val="2"/>
          <c:tx>
            <c:strRef>
              <c:f>'For ThreeME'!$E$59</c:f>
              <c:strCache>
                <c:ptCount val="1"/>
                <c:pt idx="0">
                  <c:v>Electricity</c:v>
                </c:pt>
              </c:strCache>
            </c:strRef>
          </c:tx>
          <c:spPr>
            <a:solidFill>
              <a:schemeClr val="accent3"/>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ThreeME'!$E$60:$E$66</c:f>
              <c:numCache>
                <c:formatCode>#,##0</c:formatCode>
                <c:ptCount val="7"/>
                <c:pt idx="0">
                  <c:v>37.028000000000006</c:v>
                </c:pt>
                <c:pt idx="1">
                  <c:v>530.98400000000004</c:v>
                </c:pt>
                <c:pt idx="2">
                  <c:v>25.212201088328904</c:v>
                </c:pt>
                <c:pt idx="3">
                  <c:v>86.326999999999998</c:v>
                </c:pt>
                <c:pt idx="4">
                  <c:v>12.228468736920528</c:v>
                </c:pt>
                <c:pt idx="5">
                  <c:v>36.530536082770865</c:v>
                </c:pt>
                <c:pt idx="6">
                  <c:v>195.17500000000001</c:v>
                </c:pt>
              </c:numCache>
            </c:numRef>
          </c:val>
          <c:extLst>
            <c:ext xmlns:c16="http://schemas.microsoft.com/office/drawing/2014/chart" uri="{C3380CC4-5D6E-409C-BE32-E72D297353CC}">
              <c16:uniqueId val="{00000002-68A2-8147-97D8-0D37C71DDB8A}"/>
            </c:ext>
          </c:extLst>
        </c:ser>
        <c:ser>
          <c:idx val="3"/>
          <c:order val="3"/>
          <c:tx>
            <c:strRef>
              <c:f>'For ThreeME'!$F$59</c:f>
              <c:strCache>
                <c:ptCount val="1"/>
                <c:pt idx="0">
                  <c:v>Biomass</c:v>
                </c:pt>
              </c:strCache>
            </c:strRef>
          </c:tx>
          <c:spPr>
            <a:solidFill>
              <a:schemeClr val="accent4"/>
            </a:solidFill>
            <a:ln>
              <a:noFill/>
            </a:ln>
            <a:effectLst/>
          </c:spPr>
          <c:invertIfNegative val="0"/>
          <c:cat>
            <c:strRef>
              <c:f>'For ThreeME'!$B$60:$B$66</c:f>
              <c:strCache>
                <c:ptCount val="7"/>
                <c:pt idx="0">
                  <c:v>Agricultura</c:v>
                </c:pt>
                <c:pt idx="1">
                  <c:v>Industria</c:v>
                </c:pt>
                <c:pt idx="2">
                  <c:v>Transporte 
</c:v>
                </c:pt>
                <c:pt idx="3">
                  <c:v>Servicios</c:v>
                </c:pt>
                <c:pt idx="4">
                  <c:v>Petróleo y gas</c:v>
                </c:pt>
                <c:pt idx="5">
                  <c:v>Generación de electricidad </c:v>
                </c:pt>
                <c:pt idx="6">
                  <c:v>Hogares </c:v>
                </c:pt>
              </c:strCache>
            </c:strRef>
          </c:cat>
          <c:val>
            <c:numRef>
              <c:f>'For ThreeME'!$F$60:$F$66</c:f>
              <c:numCache>
                <c:formatCode>#,##0</c:formatCode>
                <c:ptCount val="7"/>
                <c:pt idx="0">
                  <c:v>0</c:v>
                </c:pt>
                <c:pt idx="1">
                  <c:v>63.782443000000001</c:v>
                </c:pt>
                <c:pt idx="2">
                  <c:v>0</c:v>
                </c:pt>
                <c:pt idx="3">
                  <c:v>0</c:v>
                </c:pt>
                <c:pt idx="4">
                  <c:v>0</c:v>
                </c:pt>
                <c:pt idx="5">
                  <c:v>0</c:v>
                </c:pt>
                <c:pt idx="6">
                  <c:v>255.42239699999999</c:v>
                </c:pt>
              </c:numCache>
            </c:numRef>
          </c:val>
          <c:extLst>
            <c:ext xmlns:c16="http://schemas.microsoft.com/office/drawing/2014/chart" uri="{C3380CC4-5D6E-409C-BE32-E72D297353CC}">
              <c16:uniqueId val="{00000003-68A2-8147-97D8-0D37C71DDB8A}"/>
            </c:ext>
          </c:extLst>
        </c:ser>
        <c:dLbls>
          <c:showLegendKey val="0"/>
          <c:showVal val="0"/>
          <c:showCatName val="0"/>
          <c:showSerName val="0"/>
          <c:showPercent val="0"/>
          <c:showBubbleSize val="0"/>
        </c:dLbls>
        <c:gapWidth val="150"/>
        <c:overlap val="100"/>
        <c:axId val="1313513503"/>
        <c:axId val="1524759871"/>
      </c:barChart>
      <c:catAx>
        <c:axId val="1313513503"/>
        <c:scaling>
          <c:orientation val="minMax"/>
        </c:scaling>
        <c:delete val="0"/>
        <c:axPos val="b"/>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crossAx val="1524759871"/>
        <c:crosses val="autoZero"/>
        <c:auto val="1"/>
        <c:lblAlgn val="ctr"/>
        <c:lblOffset val="100"/>
        <c:noMultiLvlLbl val="0"/>
      </c:catAx>
      <c:valAx>
        <c:axId val="1524759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2540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crossAx val="1313513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Gill Sans MT" panose="020B0502020104020203" pitchFamily="34" charset="77"/>
              <a:ea typeface="+mn-ea"/>
              <a:cs typeface="+mn-cs"/>
            </a:defRPr>
          </a:pPr>
          <a:endParaRPr lang="fr-F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solidFill>
            <a:schemeClr val="tx1"/>
          </a:solidFill>
          <a:latin typeface="Gill Sans MT" panose="020B0502020104020203" pitchFamily="34" charset="77"/>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590550</xdr:colOff>
      <xdr:row>55</xdr:row>
      <xdr:rowOff>50800</xdr:rowOff>
    </xdr:from>
    <xdr:to>
      <xdr:col>15</xdr:col>
      <xdr:colOff>463550</xdr:colOff>
      <xdr:row>68</xdr:row>
      <xdr:rowOff>123825</xdr:rowOff>
    </xdr:to>
    <xdr:graphicFrame macro="">
      <xdr:nvGraphicFramePr>
        <xdr:cNvPr id="6" name="Chart 5">
          <a:extLst>
            <a:ext uri="{FF2B5EF4-FFF2-40B4-BE49-F238E27FC236}">
              <a16:creationId xmlns:a16="http://schemas.microsoft.com/office/drawing/2014/main" id="{9CE3F038-66B3-9947-913C-5A36C441A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606425</xdr:colOff>
      <xdr:row>69</xdr:row>
      <xdr:rowOff>22225</xdr:rowOff>
    </xdr:from>
    <xdr:to>
      <xdr:col>15</xdr:col>
      <xdr:colOff>466725</xdr:colOff>
      <xdr:row>84</xdr:row>
      <xdr:rowOff>34925</xdr:rowOff>
    </xdr:to>
    <xdr:graphicFrame macro="">
      <xdr:nvGraphicFramePr>
        <xdr:cNvPr id="7" name="Chart 6">
          <a:extLst>
            <a:ext uri="{FF2B5EF4-FFF2-40B4-BE49-F238E27FC236}">
              <a16:creationId xmlns:a16="http://schemas.microsoft.com/office/drawing/2014/main" id="{8C78B2C9-20C4-F449-828D-E647901E8A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issela.Landa/Dropbox%20(FOSEM)/AFD%20SENER%20Mexico/Projet%20SENER/Calibration/Data%20source/other%20sources/UNAM-Adrian/Generacion%20Electrica%20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Gissela.Landa/Dropbox%20(FOSEM)/AFD%20SENER%20Mexico/Projet%20SENER/Calibration/Data%20ThreeME-Mex/DataMEX_Working_doc_monetary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as"/>
      <sheetName val="2013_Vol y peso"/>
      <sheetName val="2013_PJ"/>
      <sheetName val="PCN 2013 Fuente"/>
      <sheetName val="PCN 2013"/>
      <sheetName val="CFE 2013_Vol y peso"/>
      <sheetName val="CFE_2013_PJ"/>
      <sheetName val="Dinámico_(Vol y peso)"/>
      <sheetName val="Dinámico_(PJ)"/>
      <sheetName val="Dinámico CFE_(Vol y peso_PJ)"/>
      <sheetName val="OPERACIONES"/>
      <sheetName val="RESUMEN_SEC ELEC_PJ"/>
      <sheetName val="PEMEX"/>
    </sheetNames>
    <sheetDataSet>
      <sheetData sheetId="0"/>
      <sheetData sheetId="1"/>
      <sheetData sheetId="2"/>
      <sheetData sheetId="3"/>
      <sheetData sheetId="4"/>
      <sheetData sheetId="5"/>
      <sheetData sheetId="6"/>
      <sheetData sheetId="7"/>
      <sheetData sheetId="8"/>
      <sheetData sheetId="9"/>
      <sheetData sheetId="10">
        <row r="20">
          <cell r="D20">
            <v>7.0185735896605115</v>
          </cell>
          <cell r="H20">
            <v>0.42469153683000005</v>
          </cell>
        </row>
        <row r="21">
          <cell r="D21">
            <v>4.9129150880224657</v>
          </cell>
          <cell r="E21">
            <v>448.63824087212868</v>
          </cell>
          <cell r="F21">
            <v>0.88616855770150027</v>
          </cell>
        </row>
        <row r="22">
          <cell r="D22">
            <v>0.18264935738200672</v>
          </cell>
          <cell r="E22">
            <v>2.4140196014628277</v>
          </cell>
          <cell r="F22">
            <v>1.6198559541040662</v>
          </cell>
          <cell r="G22">
            <v>9.6659942837948199E-3</v>
          </cell>
        </row>
        <row r="23">
          <cell r="D23">
            <v>7.655578356193975E-4</v>
          </cell>
        </row>
        <row r="24">
          <cell r="D24">
            <v>1.6847488929690031</v>
          </cell>
        </row>
        <row r="25">
          <cell r="D25">
            <v>0.68662517550491398</v>
          </cell>
        </row>
        <row r="26">
          <cell r="D26">
            <v>1.2193623501458042</v>
          </cell>
        </row>
        <row r="27">
          <cell r="D27">
            <v>4.569967959102855E-5</v>
          </cell>
        </row>
        <row r="29">
          <cell r="D29">
            <v>5.6651329949238587</v>
          </cell>
          <cell r="E29">
            <v>6.9842335626009442</v>
          </cell>
          <cell r="F29">
            <v>8.8190801327035453E-2</v>
          </cell>
          <cell r="G29">
            <v>25.666215254035418</v>
          </cell>
        </row>
        <row r="43">
          <cell r="E43">
            <v>597.63432409336326</v>
          </cell>
          <cell r="G43">
            <v>1.5714413930000002</v>
          </cell>
        </row>
        <row r="44">
          <cell r="D44">
            <v>2.8253591100550816E-2</v>
          </cell>
        </row>
        <row r="61">
          <cell r="D61">
            <v>3.2855209547467332</v>
          </cell>
          <cell r="E61">
            <v>172.79084386292621</v>
          </cell>
          <cell r="F61">
            <v>15.184477437488873</v>
          </cell>
          <cell r="G61">
            <v>5.4307174003165013</v>
          </cell>
          <cell r="I61">
            <v>401.52614637980497</v>
          </cell>
          <cell r="R61">
            <v>1.0523002937600001</v>
          </cell>
          <cell r="T61">
            <v>2.15405034086</v>
          </cell>
        </row>
        <row r="78">
          <cell r="D78">
            <v>0</v>
          </cell>
          <cell r="E78">
            <v>0</v>
          </cell>
          <cell r="F78">
            <v>0</v>
          </cell>
          <cell r="G78">
            <v>0</v>
          </cell>
          <cell r="I78">
            <v>0</v>
          </cell>
        </row>
        <row r="117">
          <cell r="E117">
            <v>0</v>
          </cell>
          <cell r="F117">
            <v>0</v>
          </cell>
          <cell r="G117">
            <v>0</v>
          </cell>
          <cell r="H117">
            <v>0</v>
          </cell>
          <cell r="I117">
            <v>0</v>
          </cell>
          <cell r="J117">
            <v>0</v>
          </cell>
        </row>
        <row r="118">
          <cell r="E118">
            <v>1.34045E-6</v>
          </cell>
          <cell r="F118">
            <v>0.43755651610020002</v>
          </cell>
          <cell r="G118">
            <v>0</v>
          </cell>
          <cell r="H118">
            <v>0</v>
          </cell>
          <cell r="I118">
            <v>0</v>
          </cell>
          <cell r="J118">
            <v>0</v>
          </cell>
        </row>
        <row r="119">
          <cell r="E119">
            <v>0</v>
          </cell>
          <cell r="F119">
            <v>0</v>
          </cell>
          <cell r="G119">
            <v>0</v>
          </cell>
          <cell r="H119">
            <v>0</v>
          </cell>
          <cell r="I119">
            <v>0</v>
          </cell>
          <cell r="J119">
            <v>0</v>
          </cell>
        </row>
        <row r="120">
          <cell r="E120">
            <v>0</v>
          </cell>
          <cell r="F120">
            <v>0</v>
          </cell>
          <cell r="G120">
            <v>0</v>
          </cell>
          <cell r="H120">
            <v>0</v>
          </cell>
          <cell r="I120">
            <v>0</v>
          </cell>
          <cell r="J120">
            <v>0</v>
          </cell>
        </row>
        <row r="121">
          <cell r="E121">
            <v>0</v>
          </cell>
          <cell r="F121">
            <v>0</v>
          </cell>
          <cell r="G121">
            <v>0</v>
          </cell>
          <cell r="H121">
            <v>0</v>
          </cell>
          <cell r="I121">
            <v>0</v>
          </cell>
          <cell r="J121">
            <v>0</v>
          </cell>
        </row>
        <row r="122">
          <cell r="E122">
            <v>0</v>
          </cell>
          <cell r="F122">
            <v>0</v>
          </cell>
          <cell r="G122">
            <v>0</v>
          </cell>
          <cell r="H122">
            <v>0</v>
          </cell>
          <cell r="I122">
            <v>0</v>
          </cell>
          <cell r="J122">
            <v>0</v>
          </cell>
        </row>
        <row r="123">
          <cell r="E123">
            <v>0</v>
          </cell>
          <cell r="F123">
            <v>0</v>
          </cell>
          <cell r="G123">
            <v>0</v>
          </cell>
          <cell r="H123">
            <v>0</v>
          </cell>
          <cell r="I123">
            <v>0</v>
          </cell>
          <cell r="J123">
            <v>0</v>
          </cell>
        </row>
        <row r="124">
          <cell r="E124">
            <v>0</v>
          </cell>
          <cell r="F124">
            <v>0</v>
          </cell>
          <cell r="G124">
            <v>0</v>
          </cell>
          <cell r="H124">
            <v>0</v>
          </cell>
          <cell r="I124">
            <v>0</v>
          </cell>
          <cell r="J124">
            <v>0</v>
          </cell>
        </row>
        <row r="125">
          <cell r="E125">
            <v>0</v>
          </cell>
          <cell r="F125">
            <v>0</v>
          </cell>
          <cell r="G125">
            <v>0</v>
          </cell>
          <cell r="H125">
            <v>0</v>
          </cell>
          <cell r="I125">
            <v>0</v>
          </cell>
          <cell r="J125">
            <v>0</v>
          </cell>
        </row>
        <row r="126">
          <cell r="E126">
            <v>0</v>
          </cell>
          <cell r="F126">
            <v>0</v>
          </cell>
          <cell r="G126">
            <v>0</v>
          </cell>
          <cell r="H126">
            <v>0</v>
          </cell>
          <cell r="I126">
            <v>0</v>
          </cell>
          <cell r="J126">
            <v>0</v>
          </cell>
        </row>
        <row r="127">
          <cell r="E127">
            <v>24.3301553516825</v>
          </cell>
          <cell r="F127">
            <v>0</v>
          </cell>
          <cell r="G127">
            <v>0.2551351</v>
          </cell>
          <cell r="H127">
            <v>0</v>
          </cell>
          <cell r="I127">
            <v>0.18081384</v>
          </cell>
          <cell r="J127">
            <v>0</v>
          </cell>
        </row>
        <row r="128">
          <cell r="E128">
            <v>7.0039366437199995</v>
          </cell>
          <cell r="F128">
            <v>0</v>
          </cell>
          <cell r="G128">
            <v>0</v>
          </cell>
          <cell r="H128">
            <v>0</v>
          </cell>
          <cell r="I128">
            <v>0</v>
          </cell>
          <cell r="J128">
            <v>0</v>
          </cell>
        </row>
        <row r="129">
          <cell r="E129">
            <v>0</v>
          </cell>
          <cell r="F129">
            <v>0</v>
          </cell>
          <cell r="G129">
            <v>0</v>
          </cell>
          <cell r="H129">
            <v>0</v>
          </cell>
          <cell r="I129">
            <v>0</v>
          </cell>
          <cell r="J129">
            <v>0</v>
          </cell>
        </row>
        <row r="130">
          <cell r="E130">
            <v>0</v>
          </cell>
          <cell r="F130">
            <v>0</v>
          </cell>
          <cell r="G130">
            <v>0</v>
          </cell>
          <cell r="H130">
            <v>0</v>
          </cell>
          <cell r="I130">
            <v>0</v>
          </cell>
          <cell r="J130">
            <v>0</v>
          </cell>
        </row>
        <row r="131">
          <cell r="E131">
            <v>0</v>
          </cell>
          <cell r="F131">
            <v>0</v>
          </cell>
          <cell r="G131">
            <v>0</v>
          </cell>
          <cell r="H131">
            <v>0</v>
          </cell>
          <cell r="I131">
            <v>0</v>
          </cell>
          <cell r="J131">
            <v>0</v>
          </cell>
        </row>
        <row r="132">
          <cell r="E132">
            <v>0</v>
          </cell>
          <cell r="F132">
            <v>0</v>
          </cell>
          <cell r="G132">
            <v>0</v>
          </cell>
          <cell r="H132">
            <v>0</v>
          </cell>
          <cell r="I132">
            <v>0</v>
          </cell>
          <cell r="J132">
            <v>0</v>
          </cell>
        </row>
        <row r="134">
          <cell r="E134">
            <v>0</v>
          </cell>
          <cell r="F134">
            <v>0</v>
          </cell>
          <cell r="G134">
            <v>0</v>
          </cell>
          <cell r="H134">
            <v>0</v>
          </cell>
          <cell r="I134">
            <v>0</v>
          </cell>
          <cell r="J134">
            <v>0</v>
          </cell>
        </row>
        <row r="135">
          <cell r="E135">
            <v>0</v>
          </cell>
          <cell r="F135">
            <v>1.4146840949199999</v>
          </cell>
          <cell r="G135">
            <v>0</v>
          </cell>
          <cell r="H135">
            <v>0</v>
          </cell>
          <cell r="I135">
            <v>0</v>
          </cell>
          <cell r="J135">
            <v>0</v>
          </cell>
        </row>
        <row r="136">
          <cell r="E136">
            <v>0</v>
          </cell>
          <cell r="F136">
            <v>0</v>
          </cell>
          <cell r="G136">
            <v>0</v>
          </cell>
          <cell r="H136">
            <v>0</v>
          </cell>
          <cell r="I136">
            <v>0</v>
          </cell>
          <cell r="J136">
            <v>0</v>
          </cell>
        </row>
        <row r="137">
          <cell r="E137">
            <v>0</v>
          </cell>
          <cell r="F137">
            <v>0</v>
          </cell>
          <cell r="G137">
            <v>0</v>
          </cell>
          <cell r="H137">
            <v>0</v>
          </cell>
          <cell r="I137">
            <v>0</v>
          </cell>
          <cell r="J137">
            <v>0</v>
          </cell>
        </row>
        <row r="138">
          <cell r="E138">
            <v>0</v>
          </cell>
          <cell r="F138">
            <v>0</v>
          </cell>
          <cell r="G138">
            <v>0</v>
          </cell>
          <cell r="H138">
            <v>0</v>
          </cell>
          <cell r="I138">
            <v>0</v>
          </cell>
          <cell r="J138">
            <v>0</v>
          </cell>
        </row>
        <row r="139">
          <cell r="E139">
            <v>7.0616560044750001</v>
          </cell>
          <cell r="F139">
            <v>1.8873311399999999E-2</v>
          </cell>
          <cell r="G139">
            <v>0.41900628000000001</v>
          </cell>
          <cell r="H139">
            <v>0</v>
          </cell>
          <cell r="I139">
            <v>0</v>
          </cell>
          <cell r="J139">
            <v>0</v>
          </cell>
        </row>
        <row r="140">
          <cell r="E140">
            <v>0</v>
          </cell>
          <cell r="F140">
            <v>0</v>
          </cell>
          <cell r="G140">
            <v>0</v>
          </cell>
          <cell r="H140">
            <v>0</v>
          </cell>
          <cell r="I140">
            <v>0</v>
          </cell>
          <cell r="J140">
            <v>0</v>
          </cell>
        </row>
        <row r="141">
          <cell r="E141">
            <v>0</v>
          </cell>
          <cell r="F141">
            <v>0</v>
          </cell>
          <cell r="G141">
            <v>0</v>
          </cell>
          <cell r="H141">
            <v>0</v>
          </cell>
          <cell r="I141">
            <v>0</v>
          </cell>
          <cell r="J141">
            <v>0</v>
          </cell>
        </row>
        <row r="143">
          <cell r="E143">
            <v>0</v>
          </cell>
          <cell r="F143">
            <v>0</v>
          </cell>
          <cell r="G143">
            <v>0</v>
          </cell>
          <cell r="H143">
            <v>0</v>
          </cell>
          <cell r="I143">
            <v>0</v>
          </cell>
          <cell r="J143">
            <v>0</v>
          </cell>
        </row>
        <row r="145">
          <cell r="E145">
            <v>0</v>
          </cell>
          <cell r="F145">
            <v>0</v>
          </cell>
          <cell r="G145">
            <v>0</v>
          </cell>
          <cell r="H145">
            <v>0</v>
          </cell>
          <cell r="I145">
            <v>0</v>
          </cell>
          <cell r="J145">
            <v>0</v>
          </cell>
        </row>
        <row r="146">
          <cell r="E146">
            <v>0</v>
          </cell>
          <cell r="F146">
            <v>0</v>
          </cell>
          <cell r="G146">
            <v>0</v>
          </cell>
          <cell r="H146">
            <v>0</v>
          </cell>
          <cell r="I146">
            <v>0</v>
          </cell>
          <cell r="J146">
            <v>0</v>
          </cell>
        </row>
        <row r="148">
          <cell r="E148">
            <v>0</v>
          </cell>
          <cell r="F148">
            <v>0</v>
          </cell>
          <cell r="G148">
            <v>0</v>
          </cell>
          <cell r="H148">
            <v>0</v>
          </cell>
          <cell r="I148">
            <v>0</v>
          </cell>
          <cell r="J148">
            <v>0</v>
          </cell>
        </row>
        <row r="149">
          <cell r="E149">
            <v>0</v>
          </cell>
          <cell r="F149">
            <v>0</v>
          </cell>
          <cell r="G149">
            <v>0</v>
          </cell>
          <cell r="H149">
            <v>0</v>
          </cell>
          <cell r="I149">
            <v>0</v>
          </cell>
          <cell r="J149">
            <v>0</v>
          </cell>
        </row>
        <row r="151">
          <cell r="E151">
            <v>0</v>
          </cell>
          <cell r="F151">
            <v>0</v>
          </cell>
          <cell r="G151">
            <v>0</v>
          </cell>
          <cell r="H151">
            <v>0</v>
          </cell>
          <cell r="I151">
            <v>0</v>
          </cell>
          <cell r="J151">
            <v>0</v>
          </cell>
        </row>
        <row r="152">
          <cell r="E152">
            <v>18.5609793262275</v>
          </cell>
          <cell r="F152">
            <v>9.8705187857099988E-2</v>
          </cell>
          <cell r="G152">
            <v>0</v>
          </cell>
          <cell r="H152">
            <v>0</v>
          </cell>
          <cell r="I152">
            <v>4.2219742800000001E-2</v>
          </cell>
          <cell r="J152">
            <v>6.2365902479999999E-2</v>
          </cell>
        </row>
        <row r="153">
          <cell r="E153">
            <v>3.340650138135</v>
          </cell>
          <cell r="F153">
            <v>0</v>
          </cell>
          <cell r="G153">
            <v>0</v>
          </cell>
          <cell r="H153">
            <v>0</v>
          </cell>
          <cell r="I153">
            <v>0</v>
          </cell>
          <cell r="J153">
            <v>0</v>
          </cell>
        </row>
        <row r="154">
          <cell r="E154">
            <v>0</v>
          </cell>
          <cell r="F154">
            <v>0</v>
          </cell>
          <cell r="G154">
            <v>0</v>
          </cell>
          <cell r="H154">
            <v>0</v>
          </cell>
          <cell r="I154">
            <v>0</v>
          </cell>
          <cell r="J154">
            <v>0</v>
          </cell>
        </row>
        <row r="155">
          <cell r="E155">
            <v>60.297378804689991</v>
          </cell>
          <cell r="F155">
            <v>1.9698191102772997</v>
          </cell>
          <cell r="G155">
            <v>0.67414138000000001</v>
          </cell>
          <cell r="H155">
            <v>0</v>
          </cell>
          <cell r="I155">
            <v>0.22303358280000002</v>
          </cell>
          <cell r="J155">
            <v>6.2365902479999999E-2</v>
          </cell>
        </row>
        <row r="190">
          <cell r="D190">
            <v>0.60139683911149522</v>
          </cell>
          <cell r="E190">
            <v>45.307068099221112</v>
          </cell>
        </row>
        <row r="191">
          <cell r="D191">
            <v>5.9972378322713051E-2</v>
          </cell>
          <cell r="E191">
            <v>3.21573339371123</v>
          </cell>
          <cell r="F191">
            <v>0.23240456108615998</v>
          </cell>
          <cell r="G191">
            <v>2.8724881681415653</v>
          </cell>
          <cell r="I191">
            <v>5.4050663472500003E-2</v>
          </cell>
          <cell r="L191">
            <v>2.5092125999999996E-6</v>
          </cell>
        </row>
        <row r="192">
          <cell r="D192">
            <v>6.0408723044245237E-2</v>
          </cell>
          <cell r="E192">
            <v>0.16280829636500002</v>
          </cell>
        </row>
        <row r="195">
          <cell r="D195">
            <v>1.5602836879432627</v>
          </cell>
          <cell r="E195">
            <v>0</v>
          </cell>
          <cell r="G195">
            <v>4.7781513250000004E-2</v>
          </cell>
          <cell r="P195">
            <v>39.147654691200003</v>
          </cell>
        </row>
        <row r="196">
          <cell r="D196">
            <v>2.6221535803002485E-2</v>
          </cell>
          <cell r="E196">
            <v>6.973780092626491</v>
          </cell>
          <cell r="G196">
            <v>0.17449403499999999</v>
          </cell>
        </row>
        <row r="197">
          <cell r="D197">
            <v>9.8254131115671252E-3</v>
          </cell>
          <cell r="E197">
            <v>9.3037492666276727</v>
          </cell>
          <cell r="G197">
            <v>0.15638861758602901</v>
          </cell>
          <cell r="T197">
            <v>6721.8173789557977</v>
          </cell>
        </row>
        <row r="198">
          <cell r="D198">
            <v>7.3118047305324547E-3</v>
          </cell>
          <cell r="E198">
            <v>1.9872749083330001</v>
          </cell>
        </row>
        <row r="199">
          <cell r="D199">
            <v>0.42695441552363472</v>
          </cell>
          <cell r="E199">
            <v>6.9852652742080004</v>
          </cell>
          <cell r="F199">
            <v>0.30211444153715999</v>
          </cell>
          <cell r="K199">
            <v>2.7439329386480003</v>
          </cell>
          <cell r="L199">
            <v>0.74004920181899991</v>
          </cell>
        </row>
        <row r="200">
          <cell r="E200">
            <v>7.1493865753252024</v>
          </cell>
          <cell r="N200">
            <v>1.2065816203999999E-2</v>
          </cell>
          <cell r="T200">
            <v>1038.2905219642876</v>
          </cell>
        </row>
        <row r="201">
          <cell r="D201">
            <v>6.090794542247183E-3</v>
          </cell>
          <cell r="F201">
            <v>0.70680528706413603</v>
          </cell>
          <cell r="G201">
            <v>2.3170391230000003E-3</v>
          </cell>
        </row>
        <row r="202">
          <cell r="D202">
            <v>6.7417912661554523E-3</v>
          </cell>
        </row>
        <row r="203">
          <cell r="D203">
            <v>6.3742304784533974E-3</v>
          </cell>
          <cell r="G203">
            <v>1.0732627E-2</v>
          </cell>
        </row>
        <row r="204">
          <cell r="D204">
            <v>3.4488965691039349E-3</v>
          </cell>
          <cell r="E204">
            <v>7.5585340099100008E-4</v>
          </cell>
        </row>
        <row r="207">
          <cell r="E207">
            <v>45.735238313206004</v>
          </cell>
        </row>
        <row r="209">
          <cell r="D209">
            <v>5.760161284515967E-5</v>
          </cell>
        </row>
        <row r="213">
          <cell r="D213">
            <v>0.24624044659970479</v>
          </cell>
          <cell r="E213">
            <v>5.0929697818041513</v>
          </cell>
          <cell r="F213">
            <v>2.6362462448576749</v>
          </cell>
          <cell r="G213">
            <v>0.27591967015249996</v>
          </cell>
        </row>
        <row r="214">
          <cell r="D214">
            <v>1.1517442488389678E-3</v>
          </cell>
          <cell r="F214">
            <v>0.48125790530171997</v>
          </cell>
        </row>
        <row r="215">
          <cell r="D215">
            <v>2.9947416927673973E-2</v>
          </cell>
          <cell r="E215">
            <v>0.54795881298496008</v>
          </cell>
        </row>
      </sheetData>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egmentation"/>
      <sheetName val="(SUP13)"/>
      <sheetName val="(USETOT13)"/>
      <sheetName val="(FBCF13)"/>
      <sheetName val="(USEDOM13)"/>
      <sheetName val="(USEIM13)"/>
      <sheetName val="(TAXDOM13)"/>
      <sheetName val="(SUBDOM13)"/>
      <sheetName val="(MCDOM13)"/>
      <sheetName val="(MTDOM13)"/>
      <sheetName val="(TAXIM13)"/>
      <sheetName val="(SUBIM13)"/>
      <sheetName val="(MCIM13)"/>
      <sheetName val="(MTIM13)"/>
      <sheetName val="AggrStep1"/>
      <sheetName val="Step1"/>
      <sheetName val="AggrStep2A"/>
      <sheetName val="AggrStep2B"/>
      <sheetName val="Step2"/>
      <sheetName val="ShareStep3"/>
      <sheetName val="AggrStep3"/>
      <sheetName val="Step3"/>
      <sheetName val="ShareStep4"/>
      <sheetName val="Step4"/>
      <sheetName val="AggrStep5"/>
      <sheetName val="Step5"/>
      <sheetName val="SharesStep6"/>
      <sheetName val="Step6"/>
      <sheetName val="shareStep7"/>
      <sheetName val="household_calcultion "/>
      <sheetName val="Step7"/>
      <sheetName val="calculationStep8"/>
      <sheetName val="AggrStep8"/>
      <sheetName val="Step8"/>
      <sheetName val="government_calculation"/>
      <sheetName val="ShareStep9"/>
      <sheetName val="Step9"/>
      <sheetName val="Demography"/>
      <sheetName val="summary data"/>
      <sheetName val="summary energy consump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6">
          <cell r="BH6">
            <v>0</v>
          </cell>
        </row>
        <row r="25">
          <cell r="AM25">
            <v>16281.629000000003</v>
          </cell>
          <cell r="AN25">
            <v>516.78899999999999</v>
          </cell>
          <cell r="AO25">
            <v>12731.066999999999</v>
          </cell>
          <cell r="AP25">
            <v>2306.7730000000001</v>
          </cell>
          <cell r="AQ25">
            <v>39988.79</v>
          </cell>
          <cell r="AR25">
            <v>1486.569</v>
          </cell>
          <cell r="AS25">
            <v>2309.3200000000002</v>
          </cell>
          <cell r="AT25">
            <v>6117.14</v>
          </cell>
          <cell r="AU25">
            <v>14261.575999999999</v>
          </cell>
          <cell r="AV25">
            <v>30907.031999999996</v>
          </cell>
          <cell r="AW25">
            <v>49110.353999999985</v>
          </cell>
          <cell r="AX25">
            <v>34208.651000000005</v>
          </cell>
          <cell r="AY25">
            <v>7607.076</v>
          </cell>
          <cell r="AZ25">
            <v>1141.748</v>
          </cell>
          <cell r="BA25">
            <v>62477.72</v>
          </cell>
          <cell r="BB25">
            <v>120540.09299999999</v>
          </cell>
          <cell r="BC25">
            <v>603.56499999999994</v>
          </cell>
          <cell r="BD25">
            <v>71886.799000000014</v>
          </cell>
          <cell r="BE25">
            <v>14162.569</v>
          </cell>
          <cell r="BF25">
            <v>7444.2049999999999</v>
          </cell>
          <cell r="BG25">
            <v>23.548999999999999</v>
          </cell>
          <cell r="BH25">
            <v>81222.350000000006</v>
          </cell>
          <cell r="BI25">
            <v>363423.54499999998</v>
          </cell>
        </row>
        <row r="26">
          <cell r="AM26">
            <v>5.9706494829678478</v>
          </cell>
          <cell r="AN26">
            <v>0</v>
          </cell>
          <cell r="AO26">
            <v>8031.4235318540923</v>
          </cell>
          <cell r="AP26">
            <v>2589.0442925679417</v>
          </cell>
          <cell r="AQ26">
            <v>15021.208104034034</v>
          </cell>
          <cell r="AR26">
            <v>36.139726226529376</v>
          </cell>
          <cell r="AS26">
            <v>2733.3088366185839</v>
          </cell>
          <cell r="AT26">
            <v>959.19068066248633</v>
          </cell>
          <cell r="AU26">
            <v>12955.328258665224</v>
          </cell>
          <cell r="AV26">
            <v>1073.2348304259431</v>
          </cell>
          <cell r="AW26">
            <v>7796.7201667973841</v>
          </cell>
          <cell r="AX26">
            <v>8.2100000000000009</v>
          </cell>
          <cell r="AY26">
            <v>0</v>
          </cell>
          <cell r="AZ26">
            <v>3.1160000000000001</v>
          </cell>
          <cell r="BA26">
            <v>49.407039999999995</v>
          </cell>
          <cell r="BB26">
            <v>68.727239999999995</v>
          </cell>
          <cell r="BC26">
            <v>2.7269700000000001</v>
          </cell>
          <cell r="BD26">
            <v>906.27792000000022</v>
          </cell>
          <cell r="BE26">
            <v>0</v>
          </cell>
          <cell r="BF26">
            <v>60570.934552815132</v>
          </cell>
          <cell r="BG26">
            <v>6514.4988748825435</v>
          </cell>
          <cell r="BH26">
            <v>27556.933948516333</v>
          </cell>
          <cell r="BI26">
            <v>9122.0974100000003</v>
          </cell>
        </row>
        <row r="27">
          <cell r="AM27">
            <v>2860.46</v>
          </cell>
          <cell r="AN27">
            <v>141.48400000000001</v>
          </cell>
          <cell r="AO27">
            <v>26809.036</v>
          </cell>
          <cell r="AP27">
            <v>5691.4509999999991</v>
          </cell>
          <cell r="AQ27">
            <v>7047.6846964529095</v>
          </cell>
          <cell r="AR27">
            <v>11459.716</v>
          </cell>
          <cell r="AS27">
            <v>6369.0559999999996</v>
          </cell>
          <cell r="AT27">
            <v>29556.031999999992</v>
          </cell>
          <cell r="AU27">
            <v>1702.8230000000001</v>
          </cell>
          <cell r="AV27">
            <v>1634.4839999999999</v>
          </cell>
          <cell r="AW27">
            <v>77773.725999999981</v>
          </cell>
          <cell r="AX27">
            <v>728.29300000000001</v>
          </cell>
          <cell r="AY27">
            <v>39.372</v>
          </cell>
          <cell r="AZ27">
            <v>104.24799999999999</v>
          </cell>
          <cell r="BA27">
            <v>1340.5</v>
          </cell>
          <cell r="BB27">
            <v>1718.752</v>
          </cell>
          <cell r="BC27">
            <v>168.89699999999999</v>
          </cell>
          <cell r="BD27">
            <v>85005.48900000006</v>
          </cell>
          <cell r="BE27">
            <v>14479.469000000001</v>
          </cell>
          <cell r="BF27">
            <v>755.84900000000005</v>
          </cell>
          <cell r="BG27">
            <v>1415.9473035470903</v>
          </cell>
          <cell r="BH27">
            <v>1386.096</v>
          </cell>
          <cell r="BI27">
            <v>37854.733</v>
          </cell>
        </row>
        <row r="70">
          <cell r="Q70">
            <v>59.310999999999986</v>
          </cell>
          <cell r="R70">
            <v>0.60299999999999998</v>
          </cell>
          <cell r="S70">
            <v>749.39499999999998</v>
          </cell>
          <cell r="T70">
            <v>223.72200000000001</v>
          </cell>
          <cell r="U70">
            <v>952.64800000000002</v>
          </cell>
          <cell r="V70">
            <v>2189.8240000000001</v>
          </cell>
          <cell r="W70">
            <v>4763.8670000000002</v>
          </cell>
          <cell r="X70">
            <v>1485.4820000000002</v>
          </cell>
          <cell r="Y70">
            <v>32.048999999999999</v>
          </cell>
          <cell r="Z70">
            <v>862.26799999999992</v>
          </cell>
          <cell r="AA70">
            <v>1856.8489999999999</v>
          </cell>
          <cell r="AB70">
            <v>439.94299999999998</v>
          </cell>
          <cell r="AC70">
            <v>97.722000000000008</v>
          </cell>
          <cell r="AD70">
            <v>6.3380000000000001</v>
          </cell>
          <cell r="AE70">
            <v>42613.156000000003</v>
          </cell>
          <cell r="AF70">
            <v>3451.8700000000003</v>
          </cell>
          <cell r="AG70">
            <v>20.029999999999998</v>
          </cell>
          <cell r="AH70">
            <v>1294.8979999999992</v>
          </cell>
          <cell r="AI70">
            <v>143.16899999999998</v>
          </cell>
          <cell r="AJ70">
            <v>328415.43699999998</v>
          </cell>
          <cell r="AK70">
            <v>0.36</v>
          </cell>
          <cell r="AL70">
            <v>421.95100000000002</v>
          </cell>
          <cell r="AM70">
            <v>18.373000000000001</v>
          </cell>
        </row>
        <row r="71">
          <cell r="Q71">
            <v>3.7266061988958232</v>
          </cell>
          <cell r="R71">
            <v>0</v>
          </cell>
          <cell r="S71">
            <v>8943.7967617095019</v>
          </cell>
          <cell r="T71">
            <v>1613.8495814901419</v>
          </cell>
          <cell r="U71">
            <v>28199.995532843135</v>
          </cell>
          <cell r="V71">
            <v>51.841343832020996</v>
          </cell>
          <cell r="W71">
            <v>254.02585417232382</v>
          </cell>
          <cell r="X71">
            <v>1216.5018493147104</v>
          </cell>
          <cell r="Y71">
            <v>23311.967803228406</v>
          </cell>
          <cell r="Z71">
            <v>604.0613743911822</v>
          </cell>
          <cell r="AA71">
            <v>8766.9586793796607</v>
          </cell>
          <cell r="AB71">
            <v>11.154</v>
          </cell>
          <cell r="AC71">
            <v>0</v>
          </cell>
          <cell r="AD71">
            <v>4.234</v>
          </cell>
          <cell r="AE71">
            <v>67.126829999999998</v>
          </cell>
          <cell r="AF71">
            <v>93.376180000000019</v>
          </cell>
          <cell r="AG71">
            <v>1.57419</v>
          </cell>
          <cell r="AH71">
            <v>1568.2868799999999</v>
          </cell>
          <cell r="AI71">
            <v>0</v>
          </cell>
          <cell r="AJ71">
            <v>6751.2572386257489</v>
          </cell>
          <cell r="AK71">
            <v>38620.861541775164</v>
          </cell>
          <cell r="AL71">
            <v>2622.2195695659325</v>
          </cell>
          <cell r="AM71">
            <v>161.10099</v>
          </cell>
        </row>
        <row r="72">
          <cell r="Q72">
            <v>6.6579999999999977</v>
          </cell>
          <cell r="R72">
            <v>0.32900000000000001</v>
          </cell>
          <cell r="S72">
            <v>54.044000000000004</v>
          </cell>
          <cell r="T72">
            <v>88.415000000000006</v>
          </cell>
          <cell r="U72">
            <v>16.126166414771056</v>
          </cell>
          <cell r="V72">
            <v>25.635000000000002</v>
          </cell>
          <cell r="W72">
            <v>54.582999999999998</v>
          </cell>
          <cell r="X72">
            <v>183.346</v>
          </cell>
          <cell r="Y72">
            <v>3.9630000000000001</v>
          </cell>
          <cell r="Z72">
            <v>3.6799999999999993</v>
          </cell>
          <cell r="AA72">
            <v>337.76800000000009</v>
          </cell>
          <cell r="AB72">
            <v>1.6950000000000001</v>
          </cell>
          <cell r="AC72">
            <v>9.1000000000000011E-2</v>
          </cell>
          <cell r="AD72">
            <v>0.24099999999999999</v>
          </cell>
          <cell r="AE72">
            <v>3.169</v>
          </cell>
          <cell r="AF72">
            <v>3.9979999999999998</v>
          </cell>
          <cell r="AG72">
            <v>0.34499999999999997</v>
          </cell>
          <cell r="AH72">
            <v>196.09000000000003</v>
          </cell>
          <cell r="AI72">
            <v>58.888999999999996</v>
          </cell>
          <cell r="AJ72">
            <v>1.76</v>
          </cell>
          <cell r="AK72">
            <v>3.2828335852289441</v>
          </cell>
          <cell r="AL72">
            <v>1.177</v>
          </cell>
          <cell r="AM72">
            <v>0</v>
          </cell>
        </row>
      </sheetData>
      <sheetData sheetId="35"/>
      <sheetData sheetId="36"/>
      <sheetData sheetId="37"/>
      <sheetData sheetId="38"/>
      <sheetData sheetId="39"/>
      <sheetData sheetId="4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Gissela.Landa/Dropbox%20(FOSEM)/AFD%20SENER%20Mexico/Projet%20SENER/Calibration/Data%20source/other%20sources/UNAM-Adrian/2013%20-%20Energ&#237;a%20y%20Emisione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CIENCES.PO" refreshedDate="43251.622516319447" createdVersion="6" refreshedVersion="6" minRefreshableVersion="3" recordCount="150">
  <cacheSource type="worksheet">
    <worksheetSource ref="B3:I153" sheet="DATOS 2013"/>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Agropecuario"/>
        <s v="Industrial"/>
        <s v="Centro transformador"/>
        <s v="Sector Eléctrico"/>
      </sharedItems>
    </cacheField>
    <cacheField name="Rama" numFmtId="0">
      <sharedItems count="53">
        <s v="Residencial"/>
        <s v="Comercial"/>
        <s v="Público"/>
        <s v="Autotransporte"/>
        <s v="Aéreo"/>
        <s v="Marítimo"/>
        <s v="Ferroviario"/>
        <s v="Eléctrico"/>
        <s v="Maquinaria de construcción Transp"/>
        <s v="Agropecuario Transp"/>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f"/>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CIENCES.PO" refreshedDate="43523.583703703705" createdVersion="6" refreshedVersion="6" minRefreshableVersion="3" recordCount="150">
  <cacheSource type="worksheet">
    <worksheetSource ref="B3:I153" sheet="Resumen 2013" r:id="rId2"/>
  </cacheSource>
  <cacheFields count="8">
    <cacheField name="BNE" numFmtId="0">
      <sharedItems count="3">
        <s v="Consumo final Energético"/>
        <s v="Consumo Propio del Sector Energético"/>
        <s v="Consumo de Combustibles para la Generación Eléctrica"/>
      </sharedItems>
    </cacheField>
    <cacheField name="Sector" numFmtId="0">
      <sharedItems count="6">
        <s v="Residencial, Comercial y Público"/>
        <s v="Transporte"/>
        <s v="Industrial"/>
        <s v="Agropecuario"/>
        <s v="Centro transformador"/>
        <s v="Sector Eléctrico"/>
      </sharedItems>
    </cacheField>
    <cacheField name="Rama" numFmtId="0">
      <sharedItems count="52">
        <s v="Residencial"/>
        <s v="Comercial"/>
        <s v="Público"/>
        <s v="Autotransporte"/>
        <s v="Aéreo"/>
        <s v="Marítimo"/>
        <s v="Ferroviario"/>
        <s v="Eléctrico"/>
        <s v="construcción maquinaria"/>
        <s v="Agropecuario"/>
        <s v="Industria básica del hierro y el acero"/>
        <s v="Fabricación de cemento y productos a base de cemento en plantas integradas"/>
        <s v="Elaboración de azúcares"/>
        <s v="Pemex Petroquímica"/>
        <s v="Industria Química"/>
        <s v="Minería de minerales metálicos y no metálicos"/>
        <s v="Fabricación de pulpa, papel y cartón"/>
        <s v="Fabricación de vidrio y productos de vidrio"/>
        <s v="Elaboración de cerveza"/>
        <s v="Construcción"/>
        <s v="Elaboración de refrescos, hielo y otras bebidas no alcohólicas, purificación y embotellado de agua"/>
        <s v="Fabricación de automóviles y camiones"/>
        <s v="Fabricación de productos de hule"/>
        <s v="Fabricación de fertilizantes"/>
        <s v="Elaboración de productos de tabaco"/>
        <s v="Otras ramas"/>
        <s v="Coquizadoras y hornos"/>
        <s v="Pemex Exploración y Producción"/>
        <s v="Pemex Petroquímica trans"/>
        <s v="Pemex Gas y Petroquímica Básica"/>
        <s v="Pemex Refinación"/>
        <s v="Carboeléctrica"/>
        <s v="Ciclo Combinado"/>
        <s v="Ciclo Combinado (Cog. Eficiente)"/>
        <s v="Combustión Interna"/>
        <s v="Combustión Interna (Bioenergía)"/>
        <s v="Combustión Interna (Cog. Eficiente)"/>
        <s v="Eólica"/>
        <s v="FIRCO y Generación Distribuida"/>
        <s v="Frenos Regenerativos"/>
        <s v="Geotérmica"/>
        <s v="Hidroeléctrica"/>
        <s v="Lecho Fluidizado"/>
        <s v="Nucleoeléctrica"/>
        <s v="Solar"/>
        <s v="Termoeléctrica Convencional"/>
        <s v="Termoeléctrica Convencional (Bioenergía)"/>
        <s v="Turbogás"/>
        <s v="Turbogás (Bioenergía)"/>
        <s v="Turbogás (Cog. Eficiente)"/>
        <s v="Turbogás/Combustión interna"/>
        <s v="Maquinaria de construcción" u="1"/>
      </sharedItems>
    </cacheField>
    <cacheField name="Combustible" numFmtId="0">
      <sharedItems count="19">
        <s v="Energía solar"/>
        <s v="Leña"/>
        <s v="Gas licuado"/>
        <s v="Querosenos"/>
        <s v="Gas seco"/>
        <s v="Electricidad"/>
        <s v="Diesel"/>
        <s v="Gasolinas y naftas"/>
        <s v="Combustóleo"/>
        <s v="Coque de carbón"/>
        <s v="Coque de petróleo"/>
        <s v="Carbón mineral"/>
        <s v="Bagazo de caña"/>
        <s v="Gas natural"/>
        <s v="Autogeneración"/>
        <s v="Energía eólica"/>
        <s v="Geoenergía"/>
        <s v="Hidroenergía"/>
        <s v="Nucleoenergía"/>
      </sharedItems>
    </cacheField>
    <cacheField name="Energía [PJ]" numFmtId="164">
      <sharedItems containsSemiMixedTypes="0" containsString="0" containsNumber="1" minValue="0" maxValue="1471.103975"/>
    </cacheField>
    <cacheField name="INECC@2014 [Gg de CO2]" numFmtId="164">
      <sharedItems containsSemiMixedTypes="0" containsString="0" containsNumber="1" minValue="0" maxValue="105436.87141664958"/>
    </cacheField>
    <cacheField name="IPCC@2006 [Gg de CO2]" numFmtId="164">
      <sharedItems containsSemiMixedTypes="0" containsString="0" containsNumber="1" minValue="0" maxValue="101947.5054675"/>
    </cacheField>
    <cacheField name="COPAR@2015 [Gg de CO2]" numFmtId="164">
      <sharedItems containsSemiMixedTypes="0" containsString="0" containsNumber="1" minValue="0" maxValue="50268.849253219865" count="9">
        <n v="0"/>
        <n v="25018.789872247271"/>
        <n v="50268.849253219865"/>
        <n v="778.54149599999994"/>
        <n v="1688.8980994351048"/>
        <n v="0.51286324049999998"/>
        <n v="3432.6637270000001"/>
        <n v="36085.958794464073"/>
        <n v="4710.078422205119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0">
  <r>
    <x v="0"/>
    <x v="0"/>
    <x v="0"/>
    <x v="0"/>
    <n v="4.0359999999999996"/>
    <n v="0"/>
    <n v="0"/>
    <n v="0"/>
  </r>
  <r>
    <x v="0"/>
    <x v="0"/>
    <x v="0"/>
    <x v="1"/>
    <n v="255.42239699999999"/>
    <n v="0"/>
    <n v="0"/>
    <n v="0"/>
  </r>
  <r>
    <x v="0"/>
    <x v="0"/>
    <x v="0"/>
    <x v="2"/>
    <n v="256.95786800000002"/>
    <n v="16723.5632272572"/>
    <n v="16214.041470800001"/>
    <n v="0"/>
  </r>
  <r>
    <x v="0"/>
    <x v="0"/>
    <x v="0"/>
    <x v="3"/>
    <n v="1.351008"/>
    <n v="98.102121932160003"/>
    <n v="0"/>
    <n v="0"/>
  </r>
  <r>
    <x v="0"/>
    <x v="0"/>
    <x v="0"/>
    <x v="4"/>
    <n v="33.802999999999997"/>
    <n v="1952.3226877"/>
    <n v="1896.3482999999999"/>
    <n v="0"/>
  </r>
  <r>
    <x v="0"/>
    <x v="0"/>
    <x v="0"/>
    <x v="5"/>
    <n v="191.13900000000001"/>
    <n v="0"/>
    <n v="0"/>
    <n v="0"/>
  </r>
  <r>
    <x v="0"/>
    <x v="0"/>
    <x v="1"/>
    <x v="0"/>
    <n v="2.819"/>
    <n v="0"/>
    <n v="0"/>
    <n v="0"/>
  </r>
  <r>
    <x v="0"/>
    <x v="0"/>
    <x v="1"/>
    <x v="2"/>
    <n v="65.030894000000004"/>
    <n v="4232.3991711126009"/>
    <n v="4103.4494113999999"/>
    <n v="0"/>
  </r>
  <r>
    <x v="0"/>
    <x v="0"/>
    <x v="1"/>
    <x v="6"/>
    <n v="4.3962430000000001"/>
    <n v="320.26968765711007"/>
    <n v="325.76160629999998"/>
    <n v="0"/>
  </r>
  <r>
    <x v="0"/>
    <x v="0"/>
    <x v="1"/>
    <x v="4"/>
    <n v="11.097"/>
    <n v="640.91722230000005"/>
    <n v="622.54169999999999"/>
    <n v="0"/>
  </r>
  <r>
    <x v="0"/>
    <x v="0"/>
    <x v="1"/>
    <x v="5"/>
    <n v="50.081000000000003"/>
    <n v="0"/>
    <n v="0"/>
    <n v="0"/>
  </r>
  <r>
    <x v="0"/>
    <x v="0"/>
    <x v="2"/>
    <x v="5"/>
    <n v="33.427"/>
    <n v="0"/>
    <n v="0"/>
    <n v="0"/>
  </r>
  <r>
    <x v="0"/>
    <x v="1"/>
    <x v="3"/>
    <x v="2"/>
    <n v="54.098236"/>
    <n v="3520.8700837644001"/>
    <n v="3413.5986916000002"/>
    <n v="0"/>
  </r>
  <r>
    <x v="0"/>
    <x v="1"/>
    <x v="3"/>
    <x v="7"/>
    <n v="1471.103975"/>
    <n v="105436.87141664958"/>
    <n v="101947.5054675"/>
    <n v="0"/>
  </r>
  <r>
    <x v="0"/>
    <x v="1"/>
    <x v="3"/>
    <x v="6"/>
    <n v="548.57963900000004"/>
    <n v="39964.449107472035"/>
    <n v="40649.751249900008"/>
    <n v="0"/>
  </r>
  <r>
    <x v="0"/>
    <x v="1"/>
    <x v="3"/>
    <x v="4"/>
    <n v="0.86699999999999999"/>
    <n v="50.074365299999997"/>
    <n v="48.6387"/>
    <n v="0"/>
  </r>
  <r>
    <x v="0"/>
    <x v="1"/>
    <x v="4"/>
    <x v="7"/>
    <n v="0.85647499999999999"/>
    <n v="61.385222242075002"/>
    <n v="59.353717500000002"/>
    <n v="0"/>
  </r>
  <r>
    <x v="0"/>
    <x v="1"/>
    <x v="4"/>
    <x v="3"/>
    <n v="126.329669"/>
    <n v="9173.305111359381"/>
    <n v="0"/>
    <n v="0"/>
  </r>
  <r>
    <x v="0"/>
    <x v="1"/>
    <x v="5"/>
    <x v="6"/>
    <n v="28.674313999999999"/>
    <n v="2088.94585412178"/>
    <n v="2124.7666674000002"/>
    <n v="0"/>
  </r>
  <r>
    <x v="0"/>
    <x v="1"/>
    <x v="5"/>
    <x v="8"/>
    <n v="8.1303E-2"/>
    <n v="6.4595396106000003"/>
    <n v="6.5611521000000002"/>
    <n v="0"/>
  </r>
  <r>
    <x v="0"/>
    <x v="1"/>
    <x v="6"/>
    <x v="2"/>
    <n v="0"/>
    <n v="0"/>
    <n v="0"/>
    <n v="0"/>
  </r>
  <r>
    <x v="0"/>
    <x v="1"/>
    <x v="6"/>
    <x v="7"/>
    <n v="0"/>
    <n v="0"/>
    <n v="0"/>
    <n v="0"/>
  </r>
  <r>
    <x v="0"/>
    <x v="1"/>
    <x v="6"/>
    <x v="6"/>
    <n v="26.448539"/>
    <n v="1926.7964315250301"/>
    <n v="1959.8367398999999"/>
    <n v="0"/>
  </r>
  <r>
    <x v="0"/>
    <x v="1"/>
    <x v="6"/>
    <x v="5"/>
    <n v="0.161"/>
    <n v="0"/>
    <n v="0"/>
    <n v="0"/>
  </r>
  <r>
    <x v="0"/>
    <x v="1"/>
    <x v="7"/>
    <x v="5"/>
    <n v="4.0659999999999998"/>
    <n v="0"/>
    <n v="0"/>
    <n v="0"/>
  </r>
  <r>
    <x v="0"/>
    <x v="1"/>
    <x v="8"/>
    <x v="6"/>
    <n v="10.947546000000001"/>
    <n v="797.53715571042005"/>
    <n v="811.21315860000004"/>
    <n v="0"/>
  </r>
  <r>
    <x v="0"/>
    <x v="1"/>
    <x v="9"/>
    <x v="6"/>
    <n v="115.550152"/>
    <n v="8417.9175468170397"/>
    <n v="8562.2662631999992"/>
    <n v="0"/>
  </r>
  <r>
    <x v="0"/>
    <x v="2"/>
    <x v="10"/>
    <x v="2"/>
    <n v="6.0288570000000004"/>
    <n v="392.37549724530004"/>
    <n v="380.42087670000001"/>
    <n v="0"/>
  </r>
  <r>
    <x v="0"/>
    <x v="2"/>
    <x v="10"/>
    <x v="3"/>
    <n v="8.1239999999999993E-3"/>
    <n v="0.58991629848000005"/>
    <n v="0"/>
    <n v="0"/>
  </r>
  <r>
    <x v="0"/>
    <x v="2"/>
    <x v="10"/>
    <x v="5"/>
    <n v="37.027999999999999"/>
    <n v="0"/>
    <n v="0"/>
    <n v="0"/>
  </r>
  <r>
    <x v="0"/>
    <x v="3"/>
    <x v="11"/>
    <x v="9"/>
    <n v="65.126006000000004"/>
    <n v="7137.6806568480597"/>
    <n v="6160.9201676000002"/>
    <n v="0"/>
  </r>
  <r>
    <x v="0"/>
    <x v="3"/>
    <x v="11"/>
    <x v="10"/>
    <n v="2.2635710000000002"/>
    <n v="178.80200848952001"/>
    <n v="220.69817250000003"/>
    <n v="0"/>
  </r>
  <r>
    <x v="0"/>
    <x v="3"/>
    <x v="11"/>
    <x v="2"/>
    <n v="6.2030000000000002E-3"/>
    <n v="0.40370922870000003"/>
    <n v="0.39140930000000002"/>
    <n v="0"/>
  </r>
  <r>
    <x v="0"/>
    <x v="3"/>
    <x v="11"/>
    <x v="3"/>
    <n v="0"/>
    <n v="0"/>
    <n v="0"/>
    <n v="0"/>
  </r>
  <r>
    <x v="0"/>
    <x v="3"/>
    <x v="11"/>
    <x v="6"/>
    <n v="0.88261100000000003"/>
    <n v="64.298890960470004"/>
    <n v="65.401475099999999"/>
    <n v="0"/>
  </r>
  <r>
    <x v="0"/>
    <x v="3"/>
    <x v="11"/>
    <x v="8"/>
    <n v="2.9323039999999998"/>
    <n v="232.97213926079996"/>
    <n v="236.63693279999998"/>
    <n v="0"/>
  </r>
  <r>
    <x v="0"/>
    <x v="3"/>
    <x v="11"/>
    <x v="4"/>
    <n v="115.285"/>
    <n v="6658.3889314999997"/>
    <n v="6467.4885000000004"/>
    <n v="0"/>
  </r>
  <r>
    <x v="0"/>
    <x v="3"/>
    <x v="11"/>
    <x v="5"/>
    <n v="21.582000000000001"/>
    <n v="0"/>
    <n v="0"/>
    <n v="0"/>
  </r>
  <r>
    <x v="0"/>
    <x v="3"/>
    <x v="12"/>
    <x v="11"/>
    <n v="5.8601640000000002"/>
    <n v="749.55863382179996"/>
    <n v="591.87656400000003"/>
    <n v="0"/>
  </r>
  <r>
    <x v="0"/>
    <x v="3"/>
    <x v="12"/>
    <x v="9"/>
    <n v="0"/>
    <n v="0"/>
    <n v="0"/>
    <n v="0"/>
  </r>
  <r>
    <x v="0"/>
    <x v="3"/>
    <x v="12"/>
    <x v="10"/>
    <n v="100.994443"/>
    <n v="7977.6641663461596"/>
    <n v="9846.9581925000002"/>
    <n v="0"/>
  </r>
  <r>
    <x v="0"/>
    <x v="3"/>
    <x v="12"/>
    <x v="2"/>
    <n v="4.0000000000000003E-5"/>
    <n v="2.6033160000000005E-3"/>
    <n v="2.5240000000000002E-3"/>
    <n v="0"/>
  </r>
  <r>
    <x v="0"/>
    <x v="3"/>
    <x v="12"/>
    <x v="6"/>
    <n v="0.26655099999999998"/>
    <n v="19.41844559427"/>
    <n v="19.751429099999999"/>
    <n v="0"/>
  </r>
  <r>
    <x v="0"/>
    <x v="3"/>
    <x v="12"/>
    <x v="8"/>
    <n v="1.4900869999999999"/>
    <n v="118.38771016739999"/>
    <n v="120.2500209"/>
    <n v="0"/>
  </r>
  <r>
    <x v="0"/>
    <x v="3"/>
    <x v="12"/>
    <x v="4"/>
    <n v="4.4249999999999998"/>
    <n v="255.56985749999998"/>
    <n v="248.24250000000001"/>
    <n v="0"/>
  </r>
  <r>
    <x v="0"/>
    <x v="3"/>
    <x v="12"/>
    <x v="5"/>
    <n v="36.133000000000003"/>
    <n v="0"/>
    <n v="0"/>
    <n v="0"/>
  </r>
  <r>
    <x v="0"/>
    <x v="3"/>
    <x v="13"/>
    <x v="12"/>
    <n v="59.526828000000002"/>
    <n v="6065.7458042806529"/>
    <n v="6667.0047360000008"/>
    <n v="0"/>
  </r>
  <r>
    <x v="0"/>
    <x v="3"/>
    <x v="13"/>
    <x v="2"/>
    <n v="2.5599999999999999E-4"/>
    <n v="1.6661222399999998E-2"/>
    <n v="1.6153600000000001E-2"/>
    <n v="0"/>
  </r>
  <r>
    <x v="0"/>
    <x v="3"/>
    <x v="13"/>
    <x v="6"/>
    <n v="0"/>
    <n v="0"/>
    <n v="0"/>
    <n v="0"/>
  </r>
  <r>
    <x v="0"/>
    <x v="3"/>
    <x v="13"/>
    <x v="8"/>
    <n v="3.4816769999999999"/>
    <n v="276.61993398539994"/>
    <n v="280.97133389999999"/>
    <n v="0"/>
  </r>
  <r>
    <x v="0"/>
    <x v="3"/>
    <x v="13"/>
    <x v="5"/>
    <n v="4.1449999999999996"/>
    <n v="0"/>
    <n v="0"/>
    <n v="0"/>
  </r>
  <r>
    <x v="0"/>
    <x v="3"/>
    <x v="14"/>
    <x v="6"/>
    <n v="0.43508999999999998"/>
    <n v="31.696641519299998"/>
    <n v="32.240168999999995"/>
    <n v="0"/>
  </r>
  <r>
    <x v="0"/>
    <x v="3"/>
    <x v="14"/>
    <x v="8"/>
    <n v="9.5646999999999996E-2"/>
    <n v="7.5991732793999986"/>
    <n v="7.7187128999999999"/>
    <n v="0"/>
  </r>
  <r>
    <x v="0"/>
    <x v="3"/>
    <x v="14"/>
    <x v="7"/>
    <n v="0"/>
    <n v="0"/>
    <n v="0"/>
    <n v="0"/>
  </r>
  <r>
    <x v="0"/>
    <x v="3"/>
    <x v="14"/>
    <x v="4"/>
    <n v="110.779"/>
    <n v="6398.1408461000001"/>
    <n v="6214.7018999999991"/>
    <n v="0"/>
  </r>
  <r>
    <x v="0"/>
    <x v="3"/>
    <x v="14"/>
    <x v="5"/>
    <n v="5.117"/>
    <n v="0"/>
    <n v="0"/>
    <n v="0"/>
  </r>
  <r>
    <x v="0"/>
    <x v="3"/>
    <x v="15"/>
    <x v="10"/>
    <n v="1.9029609999999999"/>
    <n v="150.31702070631997"/>
    <n v="185.53869749999998"/>
    <n v="0"/>
  </r>
  <r>
    <x v="0"/>
    <x v="3"/>
    <x v="15"/>
    <x v="2"/>
    <n v="0.83927700000000005"/>
    <n v="54.622581063300011"/>
    <n v="52.958378700000004"/>
    <n v="0"/>
  </r>
  <r>
    <x v="0"/>
    <x v="3"/>
    <x v="15"/>
    <x v="6"/>
    <n v="4.1992229999999999"/>
    <n v="305.91662895170998"/>
    <n v="311.1624243"/>
    <n v="0"/>
  </r>
  <r>
    <x v="0"/>
    <x v="3"/>
    <x v="15"/>
    <x v="8"/>
    <n v="3.3719830000000002"/>
    <n v="267.90472374659998"/>
    <n v="272.11902809999998"/>
    <n v="0"/>
  </r>
  <r>
    <x v="0"/>
    <x v="3"/>
    <x v="15"/>
    <x v="4"/>
    <n v="66.287999999999997"/>
    <n v="3828.5230992000002"/>
    <n v="3718.7567999999997"/>
    <n v="0"/>
  </r>
  <r>
    <x v="0"/>
    <x v="3"/>
    <x v="15"/>
    <x v="5"/>
    <n v="17.125"/>
    <n v="0"/>
    <n v="0"/>
    <n v="0"/>
  </r>
  <r>
    <x v="0"/>
    <x v="3"/>
    <x v="16"/>
    <x v="9"/>
    <n v="0"/>
    <n v="0"/>
    <n v="0"/>
    <n v="0"/>
  </r>
  <r>
    <x v="0"/>
    <x v="3"/>
    <x v="16"/>
    <x v="10"/>
    <n v="0"/>
    <n v="0"/>
    <n v="0"/>
    <n v="0"/>
  </r>
  <r>
    <x v="0"/>
    <x v="3"/>
    <x v="16"/>
    <x v="2"/>
    <n v="9.3198019999999993"/>
    <n v="606.5597415858"/>
    <n v="588.07950619999997"/>
    <n v="0"/>
  </r>
  <r>
    <x v="0"/>
    <x v="3"/>
    <x v="16"/>
    <x v="6"/>
    <n v="4.3686129999999999"/>
    <n v="318.25682088201"/>
    <n v="323.71422330000001"/>
    <n v="0"/>
  </r>
  <r>
    <x v="0"/>
    <x v="3"/>
    <x v="16"/>
    <x v="8"/>
    <n v="2.2258830000000001"/>
    <n v="176.84684952660001"/>
    <n v="179.6287581"/>
    <n v="0"/>
  </r>
  <r>
    <x v="0"/>
    <x v="3"/>
    <x v="16"/>
    <x v="4"/>
    <n v="9.2739999999999991"/>
    <n v="535.62821659999997"/>
    <n v="520.27139999999997"/>
    <n v="0"/>
  </r>
  <r>
    <x v="0"/>
    <x v="3"/>
    <x v="16"/>
    <x v="5"/>
    <n v="36.293999999999997"/>
    <n v="0"/>
    <n v="0"/>
    <n v="0"/>
  </r>
  <r>
    <x v="0"/>
    <x v="3"/>
    <x v="17"/>
    <x v="12"/>
    <n v="0"/>
    <n v="0"/>
    <n v="0"/>
    <n v="0"/>
  </r>
  <r>
    <x v="0"/>
    <x v="3"/>
    <x v="17"/>
    <x v="2"/>
    <n v="0.40593800000000002"/>
    <n v="26.419622260200001"/>
    <n v="25.614687799999999"/>
    <n v="0"/>
  </r>
  <r>
    <x v="0"/>
    <x v="3"/>
    <x v="17"/>
    <x v="6"/>
    <n v="1.29373"/>
    <n v="94.249226672100008"/>
    <n v="95.865392999999997"/>
    <n v="0"/>
  </r>
  <r>
    <x v="0"/>
    <x v="3"/>
    <x v="17"/>
    <x v="8"/>
    <n v="5.1573520000000004"/>
    <n v="409.75264787039998"/>
    <n v="416.19830640000004"/>
    <n v="0"/>
  </r>
  <r>
    <x v="0"/>
    <x v="3"/>
    <x v="17"/>
    <x v="4"/>
    <n v="32.664000000000001"/>
    <n v="1886.5387176000002"/>
    <n v="1832.4504000000002"/>
    <n v="0"/>
  </r>
  <r>
    <x v="0"/>
    <x v="3"/>
    <x v="17"/>
    <x v="5"/>
    <n v="10.295999999999999"/>
    <n v="0"/>
    <n v="0"/>
    <n v="0"/>
  </r>
  <r>
    <x v="0"/>
    <x v="3"/>
    <x v="18"/>
    <x v="10"/>
    <n v="6.2199999999999998E-3"/>
    <n v="0.49132476639999995"/>
    <n v="0.60644999999999993"/>
    <n v="0"/>
  </r>
  <r>
    <x v="0"/>
    <x v="3"/>
    <x v="18"/>
    <x v="2"/>
    <n v="0.14721300000000001"/>
    <n v="9.5810489577000002"/>
    <n v="9.2891403000000015"/>
    <n v="0"/>
  </r>
  <r>
    <x v="0"/>
    <x v="3"/>
    <x v="18"/>
    <x v="6"/>
    <n v="0.152535"/>
    <n v="11.11229220195"/>
    <n v="11.302843500000002"/>
    <n v="0"/>
  </r>
  <r>
    <x v="0"/>
    <x v="3"/>
    <x v="18"/>
    <x v="8"/>
    <n v="2.3273769999999998"/>
    <n v="184.91056812539998"/>
    <n v="187.8193239"/>
    <n v="0"/>
  </r>
  <r>
    <x v="0"/>
    <x v="3"/>
    <x v="18"/>
    <x v="4"/>
    <n v="48.554000000000002"/>
    <n v="2804.2799686000003"/>
    <n v="2723.8793999999998"/>
    <n v="0"/>
  </r>
  <r>
    <x v="0"/>
    <x v="3"/>
    <x v="18"/>
    <x v="5"/>
    <n v="4.1779999999999999"/>
    <n v="0"/>
    <n v="0"/>
    <n v="0"/>
  </r>
  <r>
    <x v="0"/>
    <x v="3"/>
    <x v="19"/>
    <x v="2"/>
    <n v="0.814222"/>
    <n v="52.991929003800003"/>
    <n v="51.377408199999998"/>
    <n v="0"/>
  </r>
  <r>
    <x v="0"/>
    <x v="3"/>
    <x v="19"/>
    <x v="6"/>
    <n v="0.140374"/>
    <n v="10.226353987980001"/>
    <n v="10.4017134"/>
    <n v="0"/>
  </r>
  <r>
    <x v="0"/>
    <x v="3"/>
    <x v="19"/>
    <x v="8"/>
    <n v="2.080508"/>
    <n v="165.29677670160001"/>
    <n v="167.8969956"/>
    <n v="0"/>
  </r>
  <r>
    <x v="0"/>
    <x v="3"/>
    <x v="19"/>
    <x v="4"/>
    <n v="15.255000000000001"/>
    <n v="881.06625450000001"/>
    <n v="855.80550000000005"/>
    <n v="0"/>
  </r>
  <r>
    <x v="0"/>
    <x v="3"/>
    <x v="19"/>
    <x v="5"/>
    <n v="3.6819999999999999"/>
    <n v="0"/>
    <n v="0"/>
    <n v="0"/>
  </r>
  <r>
    <x v="0"/>
    <x v="3"/>
    <x v="20"/>
    <x v="5"/>
    <n v="1.7729999999999999"/>
    <n v="0"/>
    <n v="0"/>
    <n v="0"/>
  </r>
  <r>
    <x v="0"/>
    <x v="3"/>
    <x v="21"/>
    <x v="2"/>
    <n v="1.283507"/>
    <n v="83.534357730300002"/>
    <n v="80.989291699999995"/>
    <n v="0"/>
  </r>
  <r>
    <x v="0"/>
    <x v="3"/>
    <x v="21"/>
    <x v="6"/>
    <n v="3.5512489999999999"/>
    <n v="258.71122411173002"/>
    <n v="263.1475509"/>
    <n v="0"/>
  </r>
  <r>
    <x v="0"/>
    <x v="3"/>
    <x v="21"/>
    <x v="8"/>
    <n v="0.67199600000000004"/>
    <n v="53.390216599200002"/>
    <n v="54.230077199999997"/>
    <n v="0"/>
  </r>
  <r>
    <x v="0"/>
    <x v="3"/>
    <x v="21"/>
    <x v="4"/>
    <n v="0.96099999999999997"/>
    <n v="55.503419899999997"/>
    <n v="53.912099999999995"/>
    <n v="0"/>
  </r>
  <r>
    <x v="0"/>
    <x v="3"/>
    <x v="21"/>
    <x v="5"/>
    <n v="3.0630000000000002"/>
    <n v="0"/>
    <n v="0"/>
    <n v="0"/>
  </r>
  <r>
    <x v="0"/>
    <x v="3"/>
    <x v="22"/>
    <x v="2"/>
    <n v="0.54942100000000005"/>
    <n v="35.757912000900006"/>
    <n v="34.668465099999999"/>
    <n v="0"/>
  </r>
  <r>
    <x v="0"/>
    <x v="3"/>
    <x v="22"/>
    <x v="6"/>
    <n v="0.82255599999999995"/>
    <n v="59.923837968120004"/>
    <n v="60.951399599999995"/>
    <n v="0"/>
  </r>
  <r>
    <x v="0"/>
    <x v="3"/>
    <x v="22"/>
    <x v="8"/>
    <n v="0"/>
    <n v="0"/>
    <n v="0"/>
    <n v="0"/>
  </r>
  <r>
    <x v="0"/>
    <x v="3"/>
    <x v="22"/>
    <x v="4"/>
    <n v="4.7320000000000002"/>
    <n v="273.30091880000003"/>
    <n v="265.46520000000004"/>
    <n v="0"/>
  </r>
  <r>
    <x v="0"/>
    <x v="3"/>
    <x v="22"/>
    <x v="5"/>
    <n v="7.875"/>
    <n v="0"/>
    <n v="0"/>
    <n v="0"/>
  </r>
  <r>
    <x v="0"/>
    <x v="3"/>
    <x v="23"/>
    <x v="2"/>
    <n v="1.8652999999999999E-2"/>
    <n v="1.2139913337000001"/>
    <n v="1.1770043000000001"/>
    <n v="0"/>
  </r>
  <r>
    <x v="0"/>
    <x v="3"/>
    <x v="23"/>
    <x v="6"/>
    <n v="1.942977"/>
    <n v="141.54737054229"/>
    <n v="143.97459570000001"/>
    <n v="0"/>
  </r>
  <r>
    <x v="0"/>
    <x v="3"/>
    <x v="23"/>
    <x v="8"/>
    <n v="0.50555899999999998"/>
    <n v="40.166763661799997"/>
    <n v="40.798611299999997"/>
    <n v="0"/>
  </r>
  <r>
    <x v="0"/>
    <x v="3"/>
    <x v="23"/>
    <x v="4"/>
    <n v="5.4610000000000003"/>
    <n v="315.40496990000003"/>
    <n v="306.36210000000005"/>
    <n v="0"/>
  </r>
  <r>
    <x v="0"/>
    <x v="3"/>
    <x v="23"/>
    <x v="5"/>
    <n v="1.6479999999999999"/>
    <n v="0"/>
    <n v="0"/>
    <n v="0"/>
  </r>
  <r>
    <x v="0"/>
    <x v="3"/>
    <x v="24"/>
    <x v="6"/>
    <n v="0.162296"/>
    <n v="11.82338856792"/>
    <n v="12.0261336"/>
    <n v="0"/>
  </r>
  <r>
    <x v="0"/>
    <x v="3"/>
    <x v="24"/>
    <x v="8"/>
    <n v="0"/>
    <n v="0"/>
    <n v="0"/>
    <n v="0"/>
  </r>
  <r>
    <x v="0"/>
    <x v="3"/>
    <x v="24"/>
    <x v="4"/>
    <n v="0.51700000000000002"/>
    <n v="29.859800300000003"/>
    <n v="29.003700000000002"/>
    <n v="0"/>
  </r>
  <r>
    <x v="0"/>
    <x v="3"/>
    <x v="24"/>
    <x v="5"/>
    <n v="0.47499999999999998"/>
    <n v="0"/>
    <n v="0"/>
    <n v="0"/>
  </r>
  <r>
    <x v="0"/>
    <x v="3"/>
    <x v="25"/>
    <x v="2"/>
    <n v="0"/>
    <n v="0"/>
    <n v="0"/>
    <n v="0"/>
  </r>
  <r>
    <x v="0"/>
    <x v="3"/>
    <x v="25"/>
    <x v="6"/>
    <n v="0"/>
    <n v="0"/>
    <n v="0"/>
    <n v="0"/>
  </r>
  <r>
    <x v="0"/>
    <x v="3"/>
    <x v="25"/>
    <x v="8"/>
    <n v="8.7880000000000007E-3"/>
    <n v="0.6982083576"/>
    <n v="0.70919160000000014"/>
    <n v="0"/>
  </r>
  <r>
    <x v="0"/>
    <x v="3"/>
    <x v="25"/>
    <x v="4"/>
    <n v="0.27300000000000002"/>
    <n v="15.767360700000001"/>
    <n v="15.315300000000001"/>
    <n v="0"/>
  </r>
  <r>
    <x v="0"/>
    <x v="3"/>
    <x v="25"/>
    <x v="5"/>
    <n v="0.24199999999999999"/>
    <n v="0"/>
    <n v="0"/>
    <n v="0"/>
  </r>
  <r>
    <x v="0"/>
    <x v="3"/>
    <x v="26"/>
    <x v="0"/>
    <n v="0.38100000000000001"/>
    <n v="0"/>
    <n v="0"/>
    <n v="0"/>
  </r>
  <r>
    <x v="0"/>
    <x v="3"/>
    <x v="26"/>
    <x v="12"/>
    <n v="4.2556149999999988"/>
    <n v="433.64445407512386"/>
    <n v="476.62887999999987"/>
    <n v="0"/>
  </r>
  <r>
    <x v="0"/>
    <x v="3"/>
    <x v="26"/>
    <x v="11"/>
    <n v="94.208432999999999"/>
    <n v="12049.96043352585"/>
    <n v="9515.0517329999984"/>
    <n v="0"/>
  </r>
  <r>
    <x v="0"/>
    <x v="3"/>
    <x v="26"/>
    <x v="10"/>
    <n v="5.9778859999999998"/>
    <n v="472.19991037232001"/>
    <n v="582.843885"/>
    <n v="0"/>
  </r>
  <r>
    <x v="0"/>
    <x v="3"/>
    <x v="26"/>
    <x v="2"/>
    <n v="30.583707"/>
    <n v="1990.4763443103"/>
    <n v="1929.8319117000001"/>
    <n v="0"/>
  </r>
  <r>
    <x v="0"/>
    <x v="3"/>
    <x v="26"/>
    <x v="7"/>
    <n v="0.85200500000000001"/>
    <n v="61.064848683685007"/>
    <n v="59.043946499999997"/>
    <n v="0"/>
  </r>
  <r>
    <x v="0"/>
    <x v="3"/>
    <x v="26"/>
    <x v="3"/>
    <n v="0"/>
    <n v="0"/>
    <n v="0"/>
    <n v="0"/>
  </r>
  <r>
    <x v="0"/>
    <x v="3"/>
    <x v="26"/>
    <x v="6"/>
    <n v="35.364891"/>
    <n v="2576.3595403160698"/>
    <n v="2620.5384230999998"/>
    <n v="0"/>
  </r>
  <r>
    <x v="0"/>
    <x v="3"/>
    <x v="26"/>
    <x v="8"/>
    <n v="1.0112719999999999"/>
    <n v="80.345762654399991"/>
    <n v="81.609650399999992"/>
    <n v="0"/>
  </r>
  <r>
    <x v="0"/>
    <x v="3"/>
    <x v="26"/>
    <x v="4"/>
    <n v="178.715"/>
    <n v="10321.8456685"/>
    <n v="10025.9115"/>
    <n v="0"/>
  </r>
  <r>
    <x v="0"/>
    <x v="3"/>
    <x v="26"/>
    <x v="5"/>
    <n v="376.97500000000002"/>
    <n v="0"/>
    <n v="0"/>
    <n v="0"/>
  </r>
  <r>
    <x v="1"/>
    <x v="4"/>
    <x v="27"/>
    <x v="11"/>
    <n v="0"/>
    <n v="0"/>
    <n v="0"/>
    <n v="0"/>
  </r>
  <r>
    <x v="1"/>
    <x v="4"/>
    <x v="27"/>
    <x v="9"/>
    <n v="3.526732"/>
    <n v="386.52280900331999"/>
    <n v="333.6288472"/>
    <n v="0"/>
  </r>
  <r>
    <x v="1"/>
    <x v="4"/>
    <x v="28"/>
    <x v="13"/>
    <n v="132.85906083999998"/>
    <n v="7728.5417709424228"/>
    <n v="7652.6819043839996"/>
    <n v="0"/>
  </r>
  <r>
    <x v="1"/>
    <x v="4"/>
    <x v="28"/>
    <x v="4"/>
    <n v="250.59017733356711"/>
    <n v="14473.061223059769"/>
    <n v="14058.108948413115"/>
    <n v="0"/>
  </r>
  <r>
    <x v="1"/>
    <x v="4"/>
    <x v="29"/>
    <x v="4"/>
    <n v="112.85074853466141"/>
    <n v="6517.7965472930509"/>
    <n v="6330.9269927945052"/>
    <n v="0"/>
  </r>
  <r>
    <x v="1"/>
    <x v="4"/>
    <x v="30"/>
    <x v="4"/>
    <n v="96.149994922306163"/>
    <n v="5553.2294917332219"/>
    <n v="5394.0147151413757"/>
    <n v="0"/>
  </r>
  <r>
    <x v="1"/>
    <x v="4"/>
    <x v="31"/>
    <x v="13"/>
    <n v="169.09335016"/>
    <n v="9836.3258902903581"/>
    <n v="9739.776969216"/>
    <n v="0"/>
  </r>
  <r>
    <x v="1"/>
    <x v="4"/>
    <x v="31"/>
    <x v="4"/>
    <n v="96.888034597104721"/>
    <n v="5595.8556373869205"/>
    <n v="5435.418740897574"/>
    <n v="0"/>
  </r>
  <r>
    <x v="2"/>
    <x v="5"/>
    <x v="32"/>
    <x v="11"/>
    <n v="298.21721077909376"/>
    <n v="38144.202976866392"/>
    <n v="30119.93828868847"/>
    <n v="25018.789872247271"/>
  </r>
  <r>
    <x v="2"/>
    <x v="5"/>
    <x v="33"/>
    <x v="4"/>
    <n v="1051.4445238765484"/>
    <n v="60727.124776561541"/>
    <n v="58986.037789474358"/>
    <n v="50268.849253219865"/>
  </r>
  <r>
    <x v="2"/>
    <x v="5"/>
    <x v="34"/>
    <x v="4"/>
    <n v="16.284303395455634"/>
    <n v="940.51459847759611"/>
    <n v="913.54942048506098"/>
    <n v="778.54149599999994"/>
  </r>
  <r>
    <x v="2"/>
    <x v="5"/>
    <x v="35"/>
    <x v="8"/>
    <n v="408.48248020040592"/>
    <n v="32454.014748418289"/>
    <n v="32964.536152172761"/>
    <n v="1688.8980994351048"/>
  </r>
  <r>
    <x v="2"/>
    <x v="5"/>
    <x v="36"/>
    <x v="14"/>
    <n v="0"/>
    <n v="0"/>
    <n v="0"/>
    <n v="0"/>
  </r>
  <r>
    <x v="2"/>
    <x v="5"/>
    <x v="37"/>
    <x v="8"/>
    <n v="0.12404279959408351"/>
    <n v="9.8552252363098543"/>
    <n v="10.010253927242541"/>
    <n v="0.51286324049999998"/>
  </r>
  <r>
    <x v="2"/>
    <x v="5"/>
    <x v="38"/>
    <x v="15"/>
    <n v="6.5296000000000003"/>
    <n v="0"/>
    <n v="0"/>
    <n v="0"/>
  </r>
  <r>
    <x v="2"/>
    <x v="5"/>
    <x v="39"/>
    <x v="14"/>
    <n v="0"/>
    <n v="0"/>
    <n v="0"/>
    <n v="0"/>
  </r>
  <r>
    <x v="2"/>
    <x v="5"/>
    <x v="40"/>
    <x v="14"/>
    <n v="0"/>
    <n v="0"/>
    <n v="0"/>
    <n v="0"/>
  </r>
  <r>
    <x v="2"/>
    <x v="5"/>
    <x v="41"/>
    <x v="16"/>
    <n v="131.31599900000001"/>
    <n v="0"/>
    <n v="0"/>
    <n v="0"/>
  </r>
  <r>
    <x v="2"/>
    <x v="5"/>
    <x v="42"/>
    <x v="17"/>
    <n v="98.798878999999999"/>
    <n v="0"/>
    <n v="0"/>
    <n v="0"/>
  </r>
  <r>
    <x v="2"/>
    <x v="5"/>
    <x v="43"/>
    <x v="11"/>
    <n v="40.19138022090619"/>
    <n v="5140.7769560365468"/>
    <n v="4059.3294023115254"/>
    <n v="3432.6637270000001"/>
  </r>
  <r>
    <x v="2"/>
    <x v="5"/>
    <x v="44"/>
    <x v="18"/>
    <n v="122.597565"/>
    <n v="0"/>
    <n v="0"/>
    <n v="0"/>
  </r>
  <r>
    <x v="2"/>
    <x v="5"/>
    <x v="45"/>
    <x v="0"/>
    <n v="4.7E-2"/>
    <n v="0"/>
    <n v="0"/>
    <n v="0"/>
  </r>
  <r>
    <x v="2"/>
    <x v="5"/>
    <x v="46"/>
    <x v="6"/>
    <n v="24.049492999999998"/>
    <n v="1752.02408315961"/>
    <n v="1782.0674312999997"/>
    <n v="36085.958794464073"/>
  </r>
  <r>
    <x v="2"/>
    <x v="5"/>
    <x v="47"/>
    <x v="14"/>
    <n v="0"/>
    <n v="0"/>
    <n v="0"/>
    <n v="0"/>
  </r>
  <r>
    <x v="2"/>
    <x v="5"/>
    <x v="48"/>
    <x v="4"/>
    <n v="69.814172727996038"/>
    <n v="4032.1803786608666"/>
    <n v="3916.5750900405774"/>
    <n v="4710.0784222051198"/>
  </r>
  <r>
    <x v="2"/>
    <x v="5"/>
    <x v="49"/>
    <x v="14"/>
    <n v="0"/>
    <n v="0"/>
    <n v="0"/>
    <n v="0"/>
  </r>
  <r>
    <x v="2"/>
    <x v="5"/>
    <x v="50"/>
    <x v="4"/>
    <n v="0"/>
    <n v="0"/>
    <n v="0"/>
    <n v="0"/>
  </r>
  <r>
    <x v="2"/>
    <x v="5"/>
    <x v="51"/>
    <x v="14"/>
    <n v="0"/>
    <n v="0"/>
    <n v="0"/>
    <n v="0"/>
  </r>
</pivotCacheRecords>
</file>

<file path=xl/pivotCache/pivotCacheRecords2.xml><?xml version="1.0" encoding="utf-8"?>
<pivotCacheRecords xmlns="http://schemas.openxmlformats.org/spreadsheetml/2006/main" xmlns:r="http://schemas.openxmlformats.org/officeDocument/2006/relationships" count="150">
  <r>
    <x v="0"/>
    <x v="0"/>
    <x v="0"/>
    <x v="0"/>
    <n v="4.0359999999999996"/>
    <n v="0"/>
    <n v="0"/>
    <x v="0"/>
  </r>
  <r>
    <x v="0"/>
    <x v="0"/>
    <x v="0"/>
    <x v="1"/>
    <n v="255.42239699999999"/>
    <n v="0"/>
    <n v="0"/>
    <x v="0"/>
  </r>
  <r>
    <x v="0"/>
    <x v="0"/>
    <x v="0"/>
    <x v="2"/>
    <n v="256.95786800000002"/>
    <n v="16723.5632272572"/>
    <n v="16214.041470800001"/>
    <x v="0"/>
  </r>
  <r>
    <x v="0"/>
    <x v="0"/>
    <x v="0"/>
    <x v="3"/>
    <n v="1.351008"/>
    <n v="98.102121932160003"/>
    <n v="0"/>
    <x v="0"/>
  </r>
  <r>
    <x v="0"/>
    <x v="0"/>
    <x v="0"/>
    <x v="4"/>
    <n v="33.802999999999997"/>
    <n v="1952.3226877"/>
    <n v="1896.3482999999999"/>
    <x v="0"/>
  </r>
  <r>
    <x v="0"/>
    <x v="0"/>
    <x v="0"/>
    <x v="5"/>
    <n v="191.13900000000001"/>
    <n v="0"/>
    <n v="0"/>
    <x v="0"/>
  </r>
  <r>
    <x v="0"/>
    <x v="0"/>
    <x v="1"/>
    <x v="0"/>
    <n v="2.819"/>
    <n v="0"/>
    <n v="0"/>
    <x v="0"/>
  </r>
  <r>
    <x v="0"/>
    <x v="0"/>
    <x v="1"/>
    <x v="2"/>
    <n v="65.030894000000004"/>
    <n v="4232.3991711126009"/>
    <n v="4103.4494113999999"/>
    <x v="0"/>
  </r>
  <r>
    <x v="0"/>
    <x v="0"/>
    <x v="1"/>
    <x v="6"/>
    <n v="4.3962430000000001"/>
    <n v="320.26968765711007"/>
    <n v="325.76160629999998"/>
    <x v="0"/>
  </r>
  <r>
    <x v="0"/>
    <x v="0"/>
    <x v="1"/>
    <x v="4"/>
    <n v="11.097"/>
    <n v="640.91722230000005"/>
    <n v="622.54169999999999"/>
    <x v="0"/>
  </r>
  <r>
    <x v="0"/>
    <x v="0"/>
    <x v="1"/>
    <x v="5"/>
    <n v="50.081000000000003"/>
    <n v="0"/>
    <n v="0"/>
    <x v="0"/>
  </r>
  <r>
    <x v="0"/>
    <x v="0"/>
    <x v="2"/>
    <x v="5"/>
    <n v="33.427"/>
    <n v="0"/>
    <n v="0"/>
    <x v="0"/>
  </r>
  <r>
    <x v="0"/>
    <x v="1"/>
    <x v="3"/>
    <x v="2"/>
    <n v="54.098236"/>
    <n v="3520.8700837644001"/>
    <n v="3413.5986916000002"/>
    <x v="0"/>
  </r>
  <r>
    <x v="0"/>
    <x v="1"/>
    <x v="3"/>
    <x v="7"/>
    <n v="1471.103975"/>
    <n v="105436.87141664958"/>
    <n v="101947.5054675"/>
    <x v="0"/>
  </r>
  <r>
    <x v="0"/>
    <x v="1"/>
    <x v="3"/>
    <x v="6"/>
    <n v="548.57963900000004"/>
    <n v="39964.449107472035"/>
    <n v="40649.751249900008"/>
    <x v="0"/>
  </r>
  <r>
    <x v="0"/>
    <x v="1"/>
    <x v="3"/>
    <x v="4"/>
    <n v="0.86699999999999999"/>
    <n v="50.074365299999997"/>
    <n v="48.6387"/>
    <x v="0"/>
  </r>
  <r>
    <x v="0"/>
    <x v="1"/>
    <x v="4"/>
    <x v="7"/>
    <n v="0.85647499999999999"/>
    <n v="61.385222242075002"/>
    <n v="59.353717500000002"/>
    <x v="0"/>
  </r>
  <r>
    <x v="0"/>
    <x v="1"/>
    <x v="4"/>
    <x v="3"/>
    <n v="126.329669"/>
    <n v="9173.305111359381"/>
    <n v="0"/>
    <x v="0"/>
  </r>
  <r>
    <x v="0"/>
    <x v="1"/>
    <x v="5"/>
    <x v="6"/>
    <n v="28.674313999999999"/>
    <n v="2088.94585412178"/>
    <n v="2124.7666674000002"/>
    <x v="0"/>
  </r>
  <r>
    <x v="0"/>
    <x v="1"/>
    <x v="5"/>
    <x v="8"/>
    <n v="8.1303E-2"/>
    <n v="6.4595396106000003"/>
    <n v="6.5611521000000002"/>
    <x v="0"/>
  </r>
  <r>
    <x v="0"/>
    <x v="1"/>
    <x v="6"/>
    <x v="2"/>
    <n v="0"/>
    <n v="0"/>
    <n v="0"/>
    <x v="0"/>
  </r>
  <r>
    <x v="0"/>
    <x v="1"/>
    <x v="6"/>
    <x v="7"/>
    <n v="0"/>
    <n v="0"/>
    <n v="0"/>
    <x v="0"/>
  </r>
  <r>
    <x v="0"/>
    <x v="1"/>
    <x v="6"/>
    <x v="6"/>
    <n v="26.448539"/>
    <n v="1926.7964315250301"/>
    <n v="1959.8367398999999"/>
    <x v="0"/>
  </r>
  <r>
    <x v="0"/>
    <x v="1"/>
    <x v="6"/>
    <x v="5"/>
    <n v="0.161"/>
    <n v="0"/>
    <n v="0"/>
    <x v="0"/>
  </r>
  <r>
    <x v="0"/>
    <x v="1"/>
    <x v="7"/>
    <x v="5"/>
    <n v="4.0659999999999998"/>
    <n v="0"/>
    <n v="0"/>
    <x v="0"/>
  </r>
  <r>
    <x v="0"/>
    <x v="2"/>
    <x v="8"/>
    <x v="6"/>
    <n v="10.947546000000001"/>
    <n v="797.53715571042005"/>
    <n v="811.21315860000004"/>
    <x v="0"/>
  </r>
  <r>
    <x v="0"/>
    <x v="3"/>
    <x v="9"/>
    <x v="6"/>
    <n v="115.550152"/>
    <n v="8417.9175468170397"/>
    <n v="8562.2662631999992"/>
    <x v="0"/>
  </r>
  <r>
    <x v="0"/>
    <x v="3"/>
    <x v="9"/>
    <x v="2"/>
    <n v="6.0288570000000004"/>
    <n v="392.37549724530004"/>
    <n v="380.42087670000001"/>
    <x v="0"/>
  </r>
  <r>
    <x v="0"/>
    <x v="3"/>
    <x v="9"/>
    <x v="3"/>
    <n v="8.1239999999999993E-3"/>
    <n v="0.58991629848000005"/>
    <n v="0"/>
    <x v="0"/>
  </r>
  <r>
    <x v="0"/>
    <x v="3"/>
    <x v="9"/>
    <x v="5"/>
    <n v="37.027999999999999"/>
    <n v="0"/>
    <n v="0"/>
    <x v="0"/>
  </r>
  <r>
    <x v="0"/>
    <x v="2"/>
    <x v="10"/>
    <x v="9"/>
    <n v="65.126006000000004"/>
    <n v="7137.6806568480597"/>
    <n v="6160.9201676000002"/>
    <x v="0"/>
  </r>
  <r>
    <x v="0"/>
    <x v="2"/>
    <x v="10"/>
    <x v="10"/>
    <n v="2.2635710000000002"/>
    <n v="178.80200848952001"/>
    <n v="220.69817250000003"/>
    <x v="0"/>
  </r>
  <r>
    <x v="0"/>
    <x v="2"/>
    <x v="10"/>
    <x v="2"/>
    <n v="6.2030000000000002E-3"/>
    <n v="0.40370922870000003"/>
    <n v="0.39140930000000002"/>
    <x v="0"/>
  </r>
  <r>
    <x v="0"/>
    <x v="2"/>
    <x v="10"/>
    <x v="3"/>
    <n v="0"/>
    <n v="0"/>
    <n v="0"/>
    <x v="0"/>
  </r>
  <r>
    <x v="0"/>
    <x v="2"/>
    <x v="10"/>
    <x v="6"/>
    <n v="0.88261100000000003"/>
    <n v="64.298890960470004"/>
    <n v="65.401475099999999"/>
    <x v="0"/>
  </r>
  <r>
    <x v="0"/>
    <x v="2"/>
    <x v="10"/>
    <x v="8"/>
    <n v="2.9323039999999998"/>
    <n v="232.97213926079996"/>
    <n v="236.63693279999998"/>
    <x v="0"/>
  </r>
  <r>
    <x v="0"/>
    <x v="2"/>
    <x v="10"/>
    <x v="4"/>
    <n v="115.285"/>
    <n v="6658.3889314999997"/>
    <n v="6467.4885000000004"/>
    <x v="0"/>
  </r>
  <r>
    <x v="0"/>
    <x v="2"/>
    <x v="10"/>
    <x v="5"/>
    <n v="21.582000000000001"/>
    <n v="0"/>
    <n v="0"/>
    <x v="0"/>
  </r>
  <r>
    <x v="0"/>
    <x v="2"/>
    <x v="11"/>
    <x v="11"/>
    <n v="5.8601640000000002"/>
    <n v="749.55863382179996"/>
    <n v="591.87656400000003"/>
    <x v="0"/>
  </r>
  <r>
    <x v="0"/>
    <x v="2"/>
    <x v="11"/>
    <x v="9"/>
    <n v="0"/>
    <n v="0"/>
    <n v="0"/>
    <x v="0"/>
  </r>
  <r>
    <x v="0"/>
    <x v="2"/>
    <x v="11"/>
    <x v="10"/>
    <n v="100.994443"/>
    <n v="7977.6641663461596"/>
    <n v="9846.9581925000002"/>
    <x v="0"/>
  </r>
  <r>
    <x v="0"/>
    <x v="2"/>
    <x v="11"/>
    <x v="2"/>
    <n v="4.0000000000000003E-5"/>
    <n v="2.6033160000000005E-3"/>
    <n v="2.5240000000000002E-3"/>
    <x v="0"/>
  </r>
  <r>
    <x v="0"/>
    <x v="2"/>
    <x v="11"/>
    <x v="6"/>
    <n v="0.26655099999999998"/>
    <n v="19.41844559427"/>
    <n v="19.751429099999999"/>
    <x v="0"/>
  </r>
  <r>
    <x v="0"/>
    <x v="2"/>
    <x v="11"/>
    <x v="8"/>
    <n v="1.4900869999999999"/>
    <n v="118.38771016739999"/>
    <n v="120.2500209"/>
    <x v="0"/>
  </r>
  <r>
    <x v="0"/>
    <x v="2"/>
    <x v="11"/>
    <x v="4"/>
    <n v="4.4249999999999998"/>
    <n v="255.56985749999998"/>
    <n v="248.24250000000001"/>
    <x v="0"/>
  </r>
  <r>
    <x v="0"/>
    <x v="2"/>
    <x v="11"/>
    <x v="5"/>
    <n v="36.133000000000003"/>
    <n v="0"/>
    <n v="0"/>
    <x v="0"/>
  </r>
  <r>
    <x v="0"/>
    <x v="2"/>
    <x v="12"/>
    <x v="12"/>
    <n v="59.526828000000002"/>
    <n v="6065.7458042806529"/>
    <n v="6667.0047360000008"/>
    <x v="0"/>
  </r>
  <r>
    <x v="0"/>
    <x v="2"/>
    <x v="12"/>
    <x v="2"/>
    <n v="2.5599999999999999E-4"/>
    <n v="1.6661222399999998E-2"/>
    <n v="1.6153600000000001E-2"/>
    <x v="0"/>
  </r>
  <r>
    <x v="0"/>
    <x v="2"/>
    <x v="12"/>
    <x v="6"/>
    <n v="0"/>
    <n v="0"/>
    <n v="0"/>
    <x v="0"/>
  </r>
  <r>
    <x v="0"/>
    <x v="2"/>
    <x v="12"/>
    <x v="8"/>
    <n v="3.4816769999999999"/>
    <n v="276.61993398539994"/>
    <n v="280.97133389999999"/>
    <x v="0"/>
  </r>
  <r>
    <x v="0"/>
    <x v="2"/>
    <x v="12"/>
    <x v="5"/>
    <n v="4.1449999999999996"/>
    <n v="0"/>
    <n v="0"/>
    <x v="0"/>
  </r>
  <r>
    <x v="0"/>
    <x v="2"/>
    <x v="13"/>
    <x v="6"/>
    <n v="0.43508999999999998"/>
    <n v="31.696641519299998"/>
    <n v="32.240168999999995"/>
    <x v="0"/>
  </r>
  <r>
    <x v="0"/>
    <x v="2"/>
    <x v="13"/>
    <x v="8"/>
    <n v="9.5646999999999996E-2"/>
    <n v="7.5991732793999986"/>
    <n v="7.7187128999999999"/>
    <x v="0"/>
  </r>
  <r>
    <x v="0"/>
    <x v="2"/>
    <x v="13"/>
    <x v="7"/>
    <n v="0"/>
    <n v="0"/>
    <n v="0"/>
    <x v="0"/>
  </r>
  <r>
    <x v="0"/>
    <x v="2"/>
    <x v="13"/>
    <x v="4"/>
    <n v="110.779"/>
    <n v="6398.1408461000001"/>
    <n v="6214.7018999999991"/>
    <x v="0"/>
  </r>
  <r>
    <x v="0"/>
    <x v="2"/>
    <x v="13"/>
    <x v="5"/>
    <n v="5.117"/>
    <n v="0"/>
    <n v="0"/>
    <x v="0"/>
  </r>
  <r>
    <x v="0"/>
    <x v="2"/>
    <x v="14"/>
    <x v="10"/>
    <n v="1.9029609999999999"/>
    <n v="150.31702070631997"/>
    <n v="185.53869749999998"/>
    <x v="0"/>
  </r>
  <r>
    <x v="0"/>
    <x v="2"/>
    <x v="14"/>
    <x v="2"/>
    <n v="0.83927700000000005"/>
    <n v="54.622581063300011"/>
    <n v="52.958378700000004"/>
    <x v="0"/>
  </r>
  <r>
    <x v="0"/>
    <x v="2"/>
    <x v="14"/>
    <x v="6"/>
    <n v="4.1992229999999999"/>
    <n v="305.91662895170998"/>
    <n v="311.1624243"/>
    <x v="0"/>
  </r>
  <r>
    <x v="0"/>
    <x v="2"/>
    <x v="14"/>
    <x v="8"/>
    <n v="3.3719830000000002"/>
    <n v="267.90472374659998"/>
    <n v="272.11902809999998"/>
    <x v="0"/>
  </r>
  <r>
    <x v="0"/>
    <x v="2"/>
    <x v="14"/>
    <x v="4"/>
    <n v="66.287999999999997"/>
    <n v="3828.5230992000002"/>
    <n v="3718.7567999999997"/>
    <x v="0"/>
  </r>
  <r>
    <x v="0"/>
    <x v="2"/>
    <x v="14"/>
    <x v="5"/>
    <n v="17.125"/>
    <n v="0"/>
    <n v="0"/>
    <x v="0"/>
  </r>
  <r>
    <x v="0"/>
    <x v="2"/>
    <x v="15"/>
    <x v="9"/>
    <n v="0"/>
    <n v="0"/>
    <n v="0"/>
    <x v="0"/>
  </r>
  <r>
    <x v="0"/>
    <x v="2"/>
    <x v="15"/>
    <x v="10"/>
    <n v="0"/>
    <n v="0"/>
    <n v="0"/>
    <x v="0"/>
  </r>
  <r>
    <x v="0"/>
    <x v="2"/>
    <x v="15"/>
    <x v="2"/>
    <n v="9.3198019999999993"/>
    <n v="606.5597415858"/>
    <n v="588.07950619999997"/>
    <x v="0"/>
  </r>
  <r>
    <x v="0"/>
    <x v="2"/>
    <x v="15"/>
    <x v="6"/>
    <n v="4.3686129999999999"/>
    <n v="318.25682088201"/>
    <n v="323.71422330000001"/>
    <x v="0"/>
  </r>
  <r>
    <x v="0"/>
    <x v="2"/>
    <x v="15"/>
    <x v="8"/>
    <n v="2.2258830000000001"/>
    <n v="176.84684952660001"/>
    <n v="179.6287581"/>
    <x v="0"/>
  </r>
  <r>
    <x v="0"/>
    <x v="2"/>
    <x v="15"/>
    <x v="4"/>
    <n v="9.2739999999999991"/>
    <n v="535.62821659999997"/>
    <n v="520.27139999999997"/>
    <x v="0"/>
  </r>
  <r>
    <x v="0"/>
    <x v="2"/>
    <x v="15"/>
    <x v="5"/>
    <n v="36.293999999999997"/>
    <n v="0"/>
    <n v="0"/>
    <x v="0"/>
  </r>
  <r>
    <x v="0"/>
    <x v="2"/>
    <x v="16"/>
    <x v="12"/>
    <n v="0"/>
    <n v="0"/>
    <n v="0"/>
    <x v="0"/>
  </r>
  <r>
    <x v="0"/>
    <x v="2"/>
    <x v="16"/>
    <x v="2"/>
    <n v="0.40593800000000002"/>
    <n v="26.419622260200001"/>
    <n v="25.614687799999999"/>
    <x v="0"/>
  </r>
  <r>
    <x v="0"/>
    <x v="2"/>
    <x v="16"/>
    <x v="6"/>
    <n v="1.29373"/>
    <n v="94.249226672100008"/>
    <n v="95.865392999999997"/>
    <x v="0"/>
  </r>
  <r>
    <x v="0"/>
    <x v="2"/>
    <x v="16"/>
    <x v="8"/>
    <n v="5.1573520000000004"/>
    <n v="409.75264787039998"/>
    <n v="416.19830640000004"/>
    <x v="0"/>
  </r>
  <r>
    <x v="0"/>
    <x v="2"/>
    <x v="16"/>
    <x v="4"/>
    <n v="32.664000000000001"/>
    <n v="1886.5387176000002"/>
    <n v="1832.4504000000002"/>
    <x v="0"/>
  </r>
  <r>
    <x v="0"/>
    <x v="2"/>
    <x v="16"/>
    <x v="5"/>
    <n v="10.295999999999999"/>
    <n v="0"/>
    <n v="0"/>
    <x v="0"/>
  </r>
  <r>
    <x v="0"/>
    <x v="2"/>
    <x v="17"/>
    <x v="10"/>
    <n v="6.2199999999999998E-3"/>
    <n v="0.49132476639999995"/>
    <n v="0.60644999999999993"/>
    <x v="0"/>
  </r>
  <r>
    <x v="0"/>
    <x v="2"/>
    <x v="17"/>
    <x v="2"/>
    <n v="0.14721300000000001"/>
    <n v="9.5810489577000002"/>
    <n v="9.2891403000000015"/>
    <x v="0"/>
  </r>
  <r>
    <x v="0"/>
    <x v="2"/>
    <x v="17"/>
    <x v="6"/>
    <n v="0.152535"/>
    <n v="11.11229220195"/>
    <n v="11.302843500000002"/>
    <x v="0"/>
  </r>
  <r>
    <x v="0"/>
    <x v="2"/>
    <x v="17"/>
    <x v="8"/>
    <n v="2.3273769999999998"/>
    <n v="184.91056812539998"/>
    <n v="187.8193239"/>
    <x v="0"/>
  </r>
  <r>
    <x v="0"/>
    <x v="2"/>
    <x v="17"/>
    <x v="4"/>
    <n v="48.554000000000002"/>
    <n v="2804.2799686000003"/>
    <n v="2723.8793999999998"/>
    <x v="0"/>
  </r>
  <r>
    <x v="0"/>
    <x v="2"/>
    <x v="17"/>
    <x v="5"/>
    <n v="4.1779999999999999"/>
    <n v="0"/>
    <n v="0"/>
    <x v="0"/>
  </r>
  <r>
    <x v="0"/>
    <x v="2"/>
    <x v="18"/>
    <x v="2"/>
    <n v="0.814222"/>
    <n v="52.991929003800003"/>
    <n v="51.377408199999998"/>
    <x v="0"/>
  </r>
  <r>
    <x v="0"/>
    <x v="2"/>
    <x v="18"/>
    <x v="6"/>
    <n v="0.140374"/>
    <n v="10.226353987980001"/>
    <n v="10.4017134"/>
    <x v="0"/>
  </r>
  <r>
    <x v="0"/>
    <x v="2"/>
    <x v="18"/>
    <x v="8"/>
    <n v="2.080508"/>
    <n v="165.29677670160001"/>
    <n v="167.8969956"/>
    <x v="0"/>
  </r>
  <r>
    <x v="0"/>
    <x v="2"/>
    <x v="18"/>
    <x v="4"/>
    <n v="15.255000000000001"/>
    <n v="881.06625450000001"/>
    <n v="855.80550000000005"/>
    <x v="0"/>
  </r>
  <r>
    <x v="0"/>
    <x v="2"/>
    <x v="18"/>
    <x v="5"/>
    <n v="3.6819999999999999"/>
    <n v="0"/>
    <n v="0"/>
    <x v="0"/>
  </r>
  <r>
    <x v="0"/>
    <x v="2"/>
    <x v="19"/>
    <x v="5"/>
    <n v="1.7729999999999999"/>
    <n v="0"/>
    <n v="0"/>
    <x v="0"/>
  </r>
  <r>
    <x v="0"/>
    <x v="2"/>
    <x v="20"/>
    <x v="2"/>
    <n v="1.283507"/>
    <n v="83.534357730300002"/>
    <n v="80.989291699999995"/>
    <x v="0"/>
  </r>
  <r>
    <x v="0"/>
    <x v="2"/>
    <x v="20"/>
    <x v="6"/>
    <n v="3.5512489999999999"/>
    <n v="258.71122411173002"/>
    <n v="263.1475509"/>
    <x v="0"/>
  </r>
  <r>
    <x v="0"/>
    <x v="2"/>
    <x v="20"/>
    <x v="8"/>
    <n v="0.67199600000000004"/>
    <n v="53.390216599200002"/>
    <n v="54.230077199999997"/>
    <x v="0"/>
  </r>
  <r>
    <x v="0"/>
    <x v="2"/>
    <x v="20"/>
    <x v="4"/>
    <n v="0.96099999999999997"/>
    <n v="55.503419899999997"/>
    <n v="53.912099999999995"/>
    <x v="0"/>
  </r>
  <r>
    <x v="0"/>
    <x v="2"/>
    <x v="20"/>
    <x v="5"/>
    <n v="3.0630000000000002"/>
    <n v="0"/>
    <n v="0"/>
    <x v="0"/>
  </r>
  <r>
    <x v="0"/>
    <x v="2"/>
    <x v="21"/>
    <x v="2"/>
    <n v="0.54942100000000005"/>
    <n v="35.757912000900006"/>
    <n v="34.668465099999999"/>
    <x v="0"/>
  </r>
  <r>
    <x v="0"/>
    <x v="2"/>
    <x v="21"/>
    <x v="6"/>
    <n v="0.82255599999999995"/>
    <n v="59.923837968120004"/>
    <n v="60.951399599999995"/>
    <x v="0"/>
  </r>
  <r>
    <x v="0"/>
    <x v="2"/>
    <x v="21"/>
    <x v="8"/>
    <n v="0"/>
    <n v="0"/>
    <n v="0"/>
    <x v="0"/>
  </r>
  <r>
    <x v="0"/>
    <x v="2"/>
    <x v="21"/>
    <x v="4"/>
    <n v="4.7320000000000002"/>
    <n v="273.30091880000003"/>
    <n v="265.46520000000004"/>
    <x v="0"/>
  </r>
  <r>
    <x v="0"/>
    <x v="2"/>
    <x v="21"/>
    <x v="5"/>
    <n v="7.875"/>
    <n v="0"/>
    <n v="0"/>
    <x v="0"/>
  </r>
  <r>
    <x v="0"/>
    <x v="2"/>
    <x v="22"/>
    <x v="2"/>
    <n v="1.8652999999999999E-2"/>
    <n v="1.2139913337000001"/>
    <n v="1.1770043000000001"/>
    <x v="0"/>
  </r>
  <r>
    <x v="0"/>
    <x v="2"/>
    <x v="22"/>
    <x v="6"/>
    <n v="1.942977"/>
    <n v="141.54737054229"/>
    <n v="143.97459570000001"/>
    <x v="0"/>
  </r>
  <r>
    <x v="0"/>
    <x v="2"/>
    <x v="22"/>
    <x v="8"/>
    <n v="0.50555899999999998"/>
    <n v="40.166763661799997"/>
    <n v="40.798611299999997"/>
    <x v="0"/>
  </r>
  <r>
    <x v="0"/>
    <x v="2"/>
    <x v="22"/>
    <x v="4"/>
    <n v="5.4610000000000003"/>
    <n v="315.40496990000003"/>
    <n v="306.36210000000005"/>
    <x v="0"/>
  </r>
  <r>
    <x v="0"/>
    <x v="2"/>
    <x v="22"/>
    <x v="5"/>
    <n v="1.6479999999999999"/>
    <n v="0"/>
    <n v="0"/>
    <x v="0"/>
  </r>
  <r>
    <x v="0"/>
    <x v="2"/>
    <x v="23"/>
    <x v="6"/>
    <n v="0.162296"/>
    <n v="11.82338856792"/>
    <n v="12.0261336"/>
    <x v="0"/>
  </r>
  <r>
    <x v="0"/>
    <x v="2"/>
    <x v="23"/>
    <x v="8"/>
    <n v="0"/>
    <n v="0"/>
    <n v="0"/>
    <x v="0"/>
  </r>
  <r>
    <x v="0"/>
    <x v="2"/>
    <x v="23"/>
    <x v="4"/>
    <n v="0.51700000000000002"/>
    <n v="29.859800300000003"/>
    <n v="29.003700000000002"/>
    <x v="0"/>
  </r>
  <r>
    <x v="0"/>
    <x v="2"/>
    <x v="23"/>
    <x v="5"/>
    <n v="0.47499999999999998"/>
    <n v="0"/>
    <n v="0"/>
    <x v="0"/>
  </r>
  <r>
    <x v="0"/>
    <x v="2"/>
    <x v="24"/>
    <x v="2"/>
    <n v="0"/>
    <n v="0"/>
    <n v="0"/>
    <x v="0"/>
  </r>
  <r>
    <x v="0"/>
    <x v="2"/>
    <x v="24"/>
    <x v="6"/>
    <n v="0"/>
    <n v="0"/>
    <n v="0"/>
    <x v="0"/>
  </r>
  <r>
    <x v="0"/>
    <x v="2"/>
    <x v="24"/>
    <x v="8"/>
    <n v="8.7880000000000007E-3"/>
    <n v="0.6982083576"/>
    <n v="0.70919160000000014"/>
    <x v="0"/>
  </r>
  <r>
    <x v="0"/>
    <x v="2"/>
    <x v="24"/>
    <x v="4"/>
    <n v="0.27300000000000002"/>
    <n v="15.767360700000001"/>
    <n v="15.315300000000001"/>
    <x v="0"/>
  </r>
  <r>
    <x v="0"/>
    <x v="2"/>
    <x v="24"/>
    <x v="5"/>
    <n v="0.24199999999999999"/>
    <n v="0"/>
    <n v="0"/>
    <x v="0"/>
  </r>
  <r>
    <x v="0"/>
    <x v="2"/>
    <x v="25"/>
    <x v="0"/>
    <n v="0.38100000000000001"/>
    <n v="0"/>
    <n v="0"/>
    <x v="0"/>
  </r>
  <r>
    <x v="0"/>
    <x v="2"/>
    <x v="25"/>
    <x v="12"/>
    <n v="4.2556149999999988"/>
    <n v="433.64445407512386"/>
    <n v="476.62887999999987"/>
    <x v="0"/>
  </r>
  <r>
    <x v="0"/>
    <x v="2"/>
    <x v="25"/>
    <x v="11"/>
    <n v="94.208432999999999"/>
    <n v="12049.96043352585"/>
    <n v="9515.0517329999984"/>
    <x v="0"/>
  </r>
  <r>
    <x v="0"/>
    <x v="2"/>
    <x v="25"/>
    <x v="10"/>
    <n v="5.9778859999999998"/>
    <n v="472.19991037232001"/>
    <n v="582.843885"/>
    <x v="0"/>
  </r>
  <r>
    <x v="0"/>
    <x v="2"/>
    <x v="25"/>
    <x v="2"/>
    <n v="30.583707"/>
    <n v="1990.4763443103"/>
    <n v="1929.8319117000001"/>
    <x v="0"/>
  </r>
  <r>
    <x v="0"/>
    <x v="2"/>
    <x v="25"/>
    <x v="7"/>
    <n v="0.85200500000000001"/>
    <n v="61.064848683685007"/>
    <n v="59.043946499999997"/>
    <x v="0"/>
  </r>
  <r>
    <x v="0"/>
    <x v="2"/>
    <x v="25"/>
    <x v="3"/>
    <n v="0"/>
    <n v="0"/>
    <n v="0"/>
    <x v="0"/>
  </r>
  <r>
    <x v="0"/>
    <x v="2"/>
    <x v="25"/>
    <x v="6"/>
    <n v="35.364891"/>
    <n v="2576.3595403160698"/>
    <n v="2620.5384230999998"/>
    <x v="0"/>
  </r>
  <r>
    <x v="0"/>
    <x v="2"/>
    <x v="25"/>
    <x v="8"/>
    <n v="1.0112719999999999"/>
    <n v="80.345762654399991"/>
    <n v="81.609650399999992"/>
    <x v="0"/>
  </r>
  <r>
    <x v="0"/>
    <x v="2"/>
    <x v="25"/>
    <x v="4"/>
    <n v="178.715"/>
    <n v="10321.8456685"/>
    <n v="10025.9115"/>
    <x v="0"/>
  </r>
  <r>
    <x v="0"/>
    <x v="2"/>
    <x v="25"/>
    <x v="5"/>
    <n v="376.97500000000002"/>
    <n v="0"/>
    <n v="0"/>
    <x v="0"/>
  </r>
  <r>
    <x v="1"/>
    <x v="4"/>
    <x v="26"/>
    <x v="11"/>
    <n v="0"/>
    <n v="0"/>
    <n v="0"/>
    <x v="0"/>
  </r>
  <r>
    <x v="1"/>
    <x v="4"/>
    <x v="26"/>
    <x v="9"/>
    <n v="3.526732"/>
    <n v="386.52280900331999"/>
    <n v="333.6288472"/>
    <x v="0"/>
  </r>
  <r>
    <x v="1"/>
    <x v="4"/>
    <x v="27"/>
    <x v="13"/>
    <n v="132.85906083999998"/>
    <n v="7728.5417709424228"/>
    <n v="7652.6819043839996"/>
    <x v="0"/>
  </r>
  <r>
    <x v="1"/>
    <x v="4"/>
    <x v="27"/>
    <x v="4"/>
    <n v="250.59017733356711"/>
    <n v="14473.061223059769"/>
    <n v="14058.108948413115"/>
    <x v="0"/>
  </r>
  <r>
    <x v="1"/>
    <x v="4"/>
    <x v="28"/>
    <x v="4"/>
    <n v="112.85074853466141"/>
    <n v="6517.7965472930509"/>
    <n v="6330.9269927945052"/>
    <x v="0"/>
  </r>
  <r>
    <x v="1"/>
    <x v="4"/>
    <x v="29"/>
    <x v="4"/>
    <n v="96.149994922306163"/>
    <n v="5553.2294917332219"/>
    <n v="5394.0147151413757"/>
    <x v="0"/>
  </r>
  <r>
    <x v="1"/>
    <x v="4"/>
    <x v="30"/>
    <x v="13"/>
    <n v="169.09335016"/>
    <n v="9836.3258902903581"/>
    <n v="9739.776969216"/>
    <x v="0"/>
  </r>
  <r>
    <x v="1"/>
    <x v="4"/>
    <x v="30"/>
    <x v="4"/>
    <n v="96.888034597104721"/>
    <n v="5595.8556373869205"/>
    <n v="5435.418740897574"/>
    <x v="0"/>
  </r>
  <r>
    <x v="2"/>
    <x v="5"/>
    <x v="31"/>
    <x v="11"/>
    <n v="298.21721077909376"/>
    <n v="38144.202976866392"/>
    <n v="30119.93828868847"/>
    <x v="1"/>
  </r>
  <r>
    <x v="2"/>
    <x v="5"/>
    <x v="32"/>
    <x v="4"/>
    <n v="1051.4445238765484"/>
    <n v="60727.124776561541"/>
    <n v="58986.037789474358"/>
    <x v="2"/>
  </r>
  <r>
    <x v="2"/>
    <x v="5"/>
    <x v="33"/>
    <x v="4"/>
    <n v="16.284303395455634"/>
    <n v="940.51459847759611"/>
    <n v="913.54942048506098"/>
    <x v="3"/>
  </r>
  <r>
    <x v="2"/>
    <x v="5"/>
    <x v="34"/>
    <x v="8"/>
    <n v="408.48248020040592"/>
    <n v="32454.014748418289"/>
    <n v="32964.536152172761"/>
    <x v="4"/>
  </r>
  <r>
    <x v="2"/>
    <x v="5"/>
    <x v="35"/>
    <x v="14"/>
    <n v="0"/>
    <n v="0"/>
    <n v="0"/>
    <x v="0"/>
  </r>
  <r>
    <x v="2"/>
    <x v="5"/>
    <x v="36"/>
    <x v="8"/>
    <n v="0.12404279959408351"/>
    <n v="9.8552252363098543"/>
    <n v="10.010253927242541"/>
    <x v="5"/>
  </r>
  <r>
    <x v="2"/>
    <x v="5"/>
    <x v="37"/>
    <x v="15"/>
    <n v="6.5296000000000003"/>
    <n v="0"/>
    <n v="0"/>
    <x v="0"/>
  </r>
  <r>
    <x v="2"/>
    <x v="5"/>
    <x v="38"/>
    <x v="14"/>
    <n v="0"/>
    <n v="0"/>
    <n v="0"/>
    <x v="0"/>
  </r>
  <r>
    <x v="2"/>
    <x v="5"/>
    <x v="39"/>
    <x v="14"/>
    <n v="0"/>
    <n v="0"/>
    <n v="0"/>
    <x v="0"/>
  </r>
  <r>
    <x v="2"/>
    <x v="5"/>
    <x v="40"/>
    <x v="16"/>
    <n v="131.31599900000001"/>
    <n v="0"/>
    <n v="0"/>
    <x v="0"/>
  </r>
  <r>
    <x v="2"/>
    <x v="5"/>
    <x v="41"/>
    <x v="17"/>
    <n v="98.798878999999999"/>
    <n v="0"/>
    <n v="0"/>
    <x v="0"/>
  </r>
  <r>
    <x v="2"/>
    <x v="5"/>
    <x v="42"/>
    <x v="11"/>
    <n v="40.19138022090619"/>
    <n v="5140.7769560365468"/>
    <n v="4059.3294023115254"/>
    <x v="6"/>
  </r>
  <r>
    <x v="2"/>
    <x v="5"/>
    <x v="43"/>
    <x v="18"/>
    <n v="122.597565"/>
    <n v="0"/>
    <n v="0"/>
    <x v="0"/>
  </r>
  <r>
    <x v="2"/>
    <x v="5"/>
    <x v="44"/>
    <x v="0"/>
    <n v="4.7E-2"/>
    <n v="0"/>
    <n v="0"/>
    <x v="0"/>
  </r>
  <r>
    <x v="2"/>
    <x v="5"/>
    <x v="45"/>
    <x v="6"/>
    <n v="24.049492999999998"/>
    <n v="1752.02408315961"/>
    <n v="1782.0674312999997"/>
    <x v="7"/>
  </r>
  <r>
    <x v="2"/>
    <x v="5"/>
    <x v="46"/>
    <x v="14"/>
    <n v="0"/>
    <n v="0"/>
    <n v="0"/>
    <x v="0"/>
  </r>
  <r>
    <x v="2"/>
    <x v="5"/>
    <x v="47"/>
    <x v="4"/>
    <n v="69.814172727996038"/>
    <n v="4032.1803786608666"/>
    <n v="3916.5750900405774"/>
    <x v="8"/>
  </r>
  <r>
    <x v="2"/>
    <x v="5"/>
    <x v="48"/>
    <x v="14"/>
    <n v="0"/>
    <n v="0"/>
    <n v="0"/>
    <x v="0"/>
  </r>
  <r>
    <x v="2"/>
    <x v="5"/>
    <x v="49"/>
    <x v="4"/>
    <n v="0"/>
    <n v="0"/>
    <n v="0"/>
    <x v="0"/>
  </r>
  <r>
    <x v="2"/>
    <x v="5"/>
    <x v="50"/>
    <x v="14"/>
    <n v="0"/>
    <n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8" cacheId="1"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K4:O216" firstHeaderRow="0" firstDataRow="1" firstDataCol="1"/>
  <pivotFields count="8">
    <pivotField axis="axisRow" multipleItemSelectionAllowed="1" showAll="0">
      <items count="4">
        <item x="2"/>
        <item x="0"/>
        <item x="1"/>
        <item t="default"/>
      </items>
    </pivotField>
    <pivotField axis="axisRow" showAll="0">
      <items count="7">
        <item x="2"/>
        <item x="4"/>
        <item x="3"/>
        <item x="0"/>
        <item n="Sector Eléctrico" x="5"/>
        <item x="1"/>
        <item t="default"/>
      </items>
    </pivotField>
    <pivotField axis="axisRow" showAll="0">
      <items count="54">
        <item x="4"/>
        <item x="10"/>
        <item x="3"/>
        <item x="32"/>
        <item x="33"/>
        <item x="34"/>
        <item x="35"/>
        <item x="36"/>
        <item x="37"/>
        <item x="1"/>
        <item x="20"/>
        <item x="27"/>
        <item x="38"/>
        <item x="6"/>
        <item x="40"/>
        <item x="41"/>
        <item x="42"/>
        <item x="43"/>
        <item x="5"/>
        <item x="44"/>
        <item x="26"/>
        <item x="0"/>
        <item x="45"/>
        <item x="46"/>
        <item x="47"/>
        <item x="48"/>
        <item x="49"/>
        <item x="50"/>
        <item x="2"/>
        <item x="7"/>
        <item x="11"/>
        <item x="12"/>
        <item x="13"/>
        <item x="14"/>
        <item x="15"/>
        <item x="16"/>
        <item x="17"/>
        <item x="18"/>
        <item x="19"/>
        <item x="21"/>
        <item x="22"/>
        <item x="23"/>
        <item x="24"/>
        <item x="25"/>
        <item x="28"/>
        <item x="30"/>
        <item x="31"/>
        <item x="39"/>
        <item m="1" x="52"/>
        <item x="9"/>
        <item x="29"/>
        <item x="51"/>
        <item x="8"/>
        <item t="default"/>
      </items>
    </pivotField>
    <pivotField axis="axisRow" showAll="0">
      <items count="20">
        <item x="14"/>
        <item x="12"/>
        <item x="11"/>
        <item x="8"/>
        <item x="9"/>
        <item x="10"/>
        <item x="6"/>
        <item x="5"/>
        <item x="15"/>
        <item x="0"/>
        <item x="2"/>
        <item x="13"/>
        <item x="4"/>
        <item x="7"/>
        <item x="16"/>
        <item x="17"/>
        <item x="1"/>
        <item x="18"/>
        <item x="3"/>
        <item t="default"/>
      </items>
    </pivotField>
    <pivotField dataField="1" numFmtId="164" showAll="0"/>
    <pivotField dataField="1" numFmtId="164" showAll="0"/>
    <pivotField dataField="1" numFmtId="164" showAll="0"/>
    <pivotField dataField="1" numFmtId="164" showAll="0"/>
  </pivotFields>
  <rowFields count="4">
    <field x="0"/>
    <field x="1"/>
    <field x="2"/>
    <field x="3"/>
  </rowFields>
  <rowItems count="212">
    <i>
      <x/>
    </i>
    <i r="1">
      <x v="4"/>
    </i>
    <i r="2">
      <x v="3"/>
    </i>
    <i r="3">
      <x v="2"/>
    </i>
    <i r="2">
      <x v="4"/>
    </i>
    <i r="3">
      <x v="12"/>
    </i>
    <i r="2">
      <x v="5"/>
    </i>
    <i r="3">
      <x v="12"/>
    </i>
    <i r="2">
      <x v="6"/>
    </i>
    <i r="3">
      <x v="3"/>
    </i>
    <i r="2">
      <x v="7"/>
    </i>
    <i r="3">
      <x/>
    </i>
    <i r="2">
      <x v="8"/>
    </i>
    <i r="3">
      <x v="3"/>
    </i>
    <i r="2">
      <x v="12"/>
    </i>
    <i r="3">
      <x v="8"/>
    </i>
    <i r="2">
      <x v="14"/>
    </i>
    <i r="3">
      <x/>
    </i>
    <i r="2">
      <x v="15"/>
    </i>
    <i r="3">
      <x v="14"/>
    </i>
    <i r="2">
      <x v="16"/>
    </i>
    <i r="3">
      <x v="15"/>
    </i>
    <i r="2">
      <x v="17"/>
    </i>
    <i r="3">
      <x v="2"/>
    </i>
    <i r="2">
      <x v="19"/>
    </i>
    <i r="3">
      <x v="17"/>
    </i>
    <i r="2">
      <x v="22"/>
    </i>
    <i r="3">
      <x v="9"/>
    </i>
    <i r="2">
      <x v="23"/>
    </i>
    <i r="3">
      <x v="6"/>
    </i>
    <i r="2">
      <x v="24"/>
    </i>
    <i r="3">
      <x/>
    </i>
    <i r="2">
      <x v="25"/>
    </i>
    <i r="3">
      <x v="12"/>
    </i>
    <i r="2">
      <x v="26"/>
    </i>
    <i r="3">
      <x/>
    </i>
    <i r="2">
      <x v="27"/>
    </i>
    <i r="3">
      <x v="12"/>
    </i>
    <i r="2">
      <x v="47"/>
    </i>
    <i r="3">
      <x/>
    </i>
    <i r="2">
      <x v="51"/>
    </i>
    <i r="3">
      <x/>
    </i>
    <i>
      <x v="1"/>
    </i>
    <i r="1">
      <x/>
    </i>
    <i r="2">
      <x v="1"/>
    </i>
    <i r="3">
      <x v="7"/>
    </i>
    <i r="3">
      <x v="10"/>
    </i>
    <i r="3">
      <x v="18"/>
    </i>
    <i r="1">
      <x v="2"/>
    </i>
    <i r="2">
      <x v="10"/>
    </i>
    <i r="3">
      <x v="7"/>
    </i>
    <i r="2">
      <x v="20"/>
    </i>
    <i r="3">
      <x v="1"/>
    </i>
    <i r="3">
      <x v="2"/>
    </i>
    <i r="3">
      <x v="3"/>
    </i>
    <i r="3">
      <x v="5"/>
    </i>
    <i r="3">
      <x v="6"/>
    </i>
    <i r="3">
      <x v="7"/>
    </i>
    <i r="3">
      <x v="9"/>
    </i>
    <i r="3">
      <x v="10"/>
    </i>
    <i r="3">
      <x v="12"/>
    </i>
    <i r="3">
      <x v="13"/>
    </i>
    <i r="3">
      <x v="18"/>
    </i>
    <i r="2">
      <x v="30"/>
    </i>
    <i r="3">
      <x v="3"/>
    </i>
    <i r="3">
      <x v="4"/>
    </i>
    <i r="3">
      <x v="5"/>
    </i>
    <i r="3">
      <x v="6"/>
    </i>
    <i r="3">
      <x v="7"/>
    </i>
    <i r="3">
      <x v="10"/>
    </i>
    <i r="3">
      <x v="12"/>
    </i>
    <i r="3">
      <x v="18"/>
    </i>
    <i r="2">
      <x v="31"/>
    </i>
    <i r="3">
      <x v="2"/>
    </i>
    <i r="3">
      <x v="3"/>
    </i>
    <i r="3">
      <x v="4"/>
    </i>
    <i r="3">
      <x v="5"/>
    </i>
    <i r="3">
      <x v="6"/>
    </i>
    <i r="3">
      <x v="7"/>
    </i>
    <i r="3">
      <x v="10"/>
    </i>
    <i r="3">
      <x v="12"/>
    </i>
    <i r="2">
      <x v="32"/>
    </i>
    <i r="3">
      <x v="1"/>
    </i>
    <i r="3">
      <x v="3"/>
    </i>
    <i r="3">
      <x v="6"/>
    </i>
    <i r="3">
      <x v="7"/>
    </i>
    <i r="3">
      <x v="10"/>
    </i>
    <i r="2">
      <x v="33"/>
    </i>
    <i r="3">
      <x v="3"/>
    </i>
    <i r="3">
      <x v="6"/>
    </i>
    <i r="3">
      <x v="7"/>
    </i>
    <i r="3">
      <x v="12"/>
    </i>
    <i r="3">
      <x v="13"/>
    </i>
    <i r="2">
      <x v="34"/>
    </i>
    <i r="3">
      <x v="3"/>
    </i>
    <i r="3">
      <x v="5"/>
    </i>
    <i r="3">
      <x v="6"/>
    </i>
    <i r="3">
      <x v="7"/>
    </i>
    <i r="3">
      <x v="10"/>
    </i>
    <i r="3">
      <x v="12"/>
    </i>
    <i r="2">
      <x v="35"/>
    </i>
    <i r="3">
      <x v="3"/>
    </i>
    <i r="3">
      <x v="4"/>
    </i>
    <i r="3">
      <x v="5"/>
    </i>
    <i r="3">
      <x v="6"/>
    </i>
    <i r="3">
      <x v="7"/>
    </i>
    <i r="3">
      <x v="10"/>
    </i>
    <i r="3">
      <x v="12"/>
    </i>
    <i r="2">
      <x v="36"/>
    </i>
    <i r="3">
      <x v="1"/>
    </i>
    <i r="3">
      <x v="3"/>
    </i>
    <i r="3">
      <x v="6"/>
    </i>
    <i r="3">
      <x v="7"/>
    </i>
    <i r="3">
      <x v="10"/>
    </i>
    <i r="3">
      <x v="12"/>
    </i>
    <i r="2">
      <x v="37"/>
    </i>
    <i r="3">
      <x v="3"/>
    </i>
    <i r="3">
      <x v="5"/>
    </i>
    <i r="3">
      <x v="6"/>
    </i>
    <i r="3">
      <x v="7"/>
    </i>
    <i r="3">
      <x v="10"/>
    </i>
    <i r="3">
      <x v="12"/>
    </i>
    <i r="2">
      <x v="38"/>
    </i>
    <i r="3">
      <x v="3"/>
    </i>
    <i r="3">
      <x v="6"/>
    </i>
    <i r="3">
      <x v="7"/>
    </i>
    <i r="3">
      <x v="10"/>
    </i>
    <i r="3">
      <x v="12"/>
    </i>
    <i r="2">
      <x v="39"/>
    </i>
    <i r="3">
      <x v="3"/>
    </i>
    <i r="3">
      <x v="6"/>
    </i>
    <i r="3">
      <x v="7"/>
    </i>
    <i r="3">
      <x v="10"/>
    </i>
    <i r="3">
      <x v="12"/>
    </i>
    <i r="2">
      <x v="40"/>
    </i>
    <i r="3">
      <x v="3"/>
    </i>
    <i r="3">
      <x v="6"/>
    </i>
    <i r="3">
      <x v="7"/>
    </i>
    <i r="3">
      <x v="10"/>
    </i>
    <i r="3">
      <x v="12"/>
    </i>
    <i r="2">
      <x v="41"/>
    </i>
    <i r="3">
      <x v="3"/>
    </i>
    <i r="3">
      <x v="6"/>
    </i>
    <i r="3">
      <x v="7"/>
    </i>
    <i r="3">
      <x v="10"/>
    </i>
    <i r="3">
      <x v="12"/>
    </i>
    <i r="2">
      <x v="42"/>
    </i>
    <i r="3">
      <x v="3"/>
    </i>
    <i r="3">
      <x v="6"/>
    </i>
    <i r="3">
      <x v="7"/>
    </i>
    <i r="3">
      <x v="12"/>
    </i>
    <i r="2">
      <x v="43"/>
    </i>
    <i r="3">
      <x v="3"/>
    </i>
    <i r="3">
      <x v="6"/>
    </i>
    <i r="3">
      <x v="7"/>
    </i>
    <i r="3">
      <x v="10"/>
    </i>
    <i r="3">
      <x v="12"/>
    </i>
    <i r="1">
      <x v="3"/>
    </i>
    <i r="2">
      <x v="9"/>
    </i>
    <i r="3">
      <x v="6"/>
    </i>
    <i r="3">
      <x v="7"/>
    </i>
    <i r="3">
      <x v="9"/>
    </i>
    <i r="3">
      <x v="10"/>
    </i>
    <i r="3">
      <x v="12"/>
    </i>
    <i r="2">
      <x v="21"/>
    </i>
    <i r="3">
      <x v="7"/>
    </i>
    <i r="3">
      <x v="9"/>
    </i>
    <i r="3">
      <x v="10"/>
    </i>
    <i r="3">
      <x v="12"/>
    </i>
    <i r="3">
      <x v="16"/>
    </i>
    <i r="3">
      <x v="18"/>
    </i>
    <i r="2">
      <x v="28"/>
    </i>
    <i r="3">
      <x v="7"/>
    </i>
    <i r="1">
      <x v="5"/>
    </i>
    <i r="2">
      <x/>
    </i>
    <i r="3">
      <x v="13"/>
    </i>
    <i r="3">
      <x v="18"/>
    </i>
    <i r="2">
      <x v="2"/>
    </i>
    <i r="3">
      <x v="6"/>
    </i>
    <i r="3">
      <x v="10"/>
    </i>
    <i r="3">
      <x v="12"/>
    </i>
    <i r="3">
      <x v="13"/>
    </i>
    <i r="2">
      <x v="13"/>
    </i>
    <i r="3">
      <x v="6"/>
    </i>
    <i r="3">
      <x v="7"/>
    </i>
    <i r="3">
      <x v="10"/>
    </i>
    <i r="3">
      <x v="13"/>
    </i>
    <i r="2">
      <x v="18"/>
    </i>
    <i r="3">
      <x v="3"/>
    </i>
    <i r="3">
      <x v="6"/>
    </i>
    <i r="2">
      <x v="29"/>
    </i>
    <i r="3">
      <x v="7"/>
    </i>
    <i r="2">
      <x v="49"/>
    </i>
    <i r="3">
      <x v="6"/>
    </i>
    <i r="2">
      <x v="52"/>
    </i>
    <i r="3">
      <x v="6"/>
    </i>
    <i>
      <x v="2"/>
    </i>
    <i r="1">
      <x v="1"/>
    </i>
    <i r="2">
      <x v="11"/>
    </i>
    <i r="3">
      <x v="2"/>
    </i>
    <i r="3">
      <x v="4"/>
    </i>
    <i r="2">
      <x v="44"/>
    </i>
    <i r="3">
      <x v="11"/>
    </i>
    <i r="3">
      <x v="12"/>
    </i>
    <i r="2">
      <x v="45"/>
    </i>
    <i r="3">
      <x v="12"/>
    </i>
    <i r="2">
      <x v="46"/>
    </i>
    <i r="3">
      <x v="11"/>
    </i>
    <i r="3">
      <x v="12"/>
    </i>
    <i r="2">
      <x v="50"/>
    </i>
    <i r="3">
      <x v="12"/>
    </i>
    <i t="grand">
      <x/>
    </i>
  </rowItems>
  <colFields count="1">
    <field x="-2"/>
  </colFields>
  <colItems count="4">
    <i>
      <x/>
    </i>
    <i i="1">
      <x v="1"/>
    </i>
    <i i="2">
      <x v="2"/>
    </i>
    <i i="3">
      <x v="3"/>
    </i>
  </colItems>
  <dataFields count="4">
    <dataField name="Suma de Energía [PJ]" fld="4" baseField="0" baseItem="0"/>
    <dataField name="Suma de INECC@2014 [Gg de CO2]" fld="5" baseField="0" baseItem="0"/>
    <dataField name="Suma de IPCC@2006 [Gg de CO2]" fld="6" baseField="0" baseItem="0"/>
    <dataField name="Suma de COPAR@2015 [Gg de CO2]" fld="7" baseField="0" baseItem="0"/>
  </dataFields>
  <formats count="1">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eau croisé dynamique1" cacheId="2"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B2:V61" firstHeaderRow="1" firstDataRow="2" firstDataCol="1"/>
  <pivotFields count="8">
    <pivotField showAll="0"/>
    <pivotField axis="axisRow" showAll="0">
      <items count="7">
        <item x="3"/>
        <item x="4"/>
        <item x="2"/>
        <item x="0"/>
        <item x="5"/>
        <item x="1"/>
        <item t="default"/>
      </items>
    </pivotField>
    <pivotField axis="axisRow" showAll="0">
      <items count="53">
        <item x="4"/>
        <item x="9"/>
        <item x="3"/>
        <item x="31"/>
        <item x="32"/>
        <item x="33"/>
        <item x="34"/>
        <item x="35"/>
        <item x="36"/>
        <item x="1"/>
        <item x="19"/>
        <item x="26"/>
        <item x="8"/>
        <item x="12"/>
        <item x="18"/>
        <item x="24"/>
        <item x="20"/>
        <item x="7"/>
        <item x="37"/>
        <item x="21"/>
        <item x="11"/>
        <item x="23"/>
        <item x="22"/>
        <item x="16"/>
        <item x="17"/>
        <item x="6"/>
        <item x="38"/>
        <item x="39"/>
        <item x="40"/>
        <item x="41"/>
        <item x="10"/>
        <item x="14"/>
        <item x="42"/>
        <item m="1" x="51"/>
        <item x="5"/>
        <item x="15"/>
        <item x="43"/>
        <item x="25"/>
        <item x="27"/>
        <item x="29"/>
        <item x="13"/>
        <item x="30"/>
        <item x="2"/>
        <item x="0"/>
        <item x="44"/>
        <item x="45"/>
        <item x="46"/>
        <item x="47"/>
        <item x="48"/>
        <item x="49"/>
        <item x="50"/>
        <item x="28"/>
        <item t="default"/>
      </items>
    </pivotField>
    <pivotField axis="axisCol" showAll="0">
      <items count="20">
        <item x="14"/>
        <item x="12"/>
        <item x="11"/>
        <item x="8"/>
        <item x="9"/>
        <item x="10"/>
        <item x="6"/>
        <item x="5"/>
        <item x="15"/>
        <item x="0"/>
        <item x="2"/>
        <item x="13"/>
        <item x="4"/>
        <item x="7"/>
        <item x="16"/>
        <item x="17"/>
        <item x="1"/>
        <item x="18"/>
        <item x="3"/>
        <item t="default"/>
      </items>
    </pivotField>
    <pivotField dataField="1" numFmtId="164" showAll="0"/>
    <pivotField numFmtId="164" showAll="0"/>
    <pivotField numFmtId="164" showAll="0"/>
    <pivotField numFmtId="164" showAll="0"/>
  </pivotFields>
  <rowFields count="2">
    <field x="1"/>
    <field x="2"/>
  </rowFields>
  <rowItems count="58">
    <i>
      <x/>
    </i>
    <i r="1">
      <x v="1"/>
    </i>
    <i>
      <x v="1"/>
    </i>
    <i r="1">
      <x v="11"/>
    </i>
    <i r="1">
      <x v="38"/>
    </i>
    <i r="1">
      <x v="39"/>
    </i>
    <i r="1">
      <x v="41"/>
    </i>
    <i r="1">
      <x v="51"/>
    </i>
    <i>
      <x v="2"/>
    </i>
    <i r="1">
      <x v="10"/>
    </i>
    <i r="1">
      <x v="12"/>
    </i>
    <i r="1">
      <x v="13"/>
    </i>
    <i r="1">
      <x v="14"/>
    </i>
    <i r="1">
      <x v="15"/>
    </i>
    <i r="1">
      <x v="16"/>
    </i>
    <i r="1">
      <x v="19"/>
    </i>
    <i r="1">
      <x v="20"/>
    </i>
    <i r="1">
      <x v="21"/>
    </i>
    <i r="1">
      <x v="22"/>
    </i>
    <i r="1">
      <x v="23"/>
    </i>
    <i r="1">
      <x v="24"/>
    </i>
    <i r="1">
      <x v="30"/>
    </i>
    <i r="1">
      <x v="31"/>
    </i>
    <i r="1">
      <x v="35"/>
    </i>
    <i r="1">
      <x v="37"/>
    </i>
    <i r="1">
      <x v="40"/>
    </i>
    <i>
      <x v="3"/>
    </i>
    <i r="1">
      <x v="9"/>
    </i>
    <i r="1">
      <x v="42"/>
    </i>
    <i r="1">
      <x v="43"/>
    </i>
    <i>
      <x v="4"/>
    </i>
    <i r="1">
      <x v="3"/>
    </i>
    <i r="1">
      <x v="4"/>
    </i>
    <i r="1">
      <x v="5"/>
    </i>
    <i r="1">
      <x v="6"/>
    </i>
    <i r="1">
      <x v="7"/>
    </i>
    <i r="1">
      <x v="8"/>
    </i>
    <i r="1">
      <x v="18"/>
    </i>
    <i r="1">
      <x v="26"/>
    </i>
    <i r="1">
      <x v="27"/>
    </i>
    <i r="1">
      <x v="28"/>
    </i>
    <i r="1">
      <x v="29"/>
    </i>
    <i r="1">
      <x v="32"/>
    </i>
    <i r="1">
      <x v="36"/>
    </i>
    <i r="1">
      <x v="44"/>
    </i>
    <i r="1">
      <x v="45"/>
    </i>
    <i r="1">
      <x v="46"/>
    </i>
    <i r="1">
      <x v="47"/>
    </i>
    <i r="1">
      <x v="48"/>
    </i>
    <i r="1">
      <x v="49"/>
    </i>
    <i r="1">
      <x v="50"/>
    </i>
    <i>
      <x v="5"/>
    </i>
    <i r="1">
      <x/>
    </i>
    <i r="1">
      <x v="2"/>
    </i>
    <i r="1">
      <x v="17"/>
    </i>
    <i r="1">
      <x v="25"/>
    </i>
    <i r="1">
      <x v="34"/>
    </i>
    <i t="grand">
      <x/>
    </i>
  </rowItems>
  <colFields count="1">
    <field x="3"/>
  </colFields>
  <colItems count="20">
    <i>
      <x/>
    </i>
    <i>
      <x v="1"/>
    </i>
    <i>
      <x v="2"/>
    </i>
    <i>
      <x v="3"/>
    </i>
    <i>
      <x v="4"/>
    </i>
    <i>
      <x v="5"/>
    </i>
    <i>
      <x v="6"/>
    </i>
    <i>
      <x v="7"/>
    </i>
    <i>
      <x v="8"/>
    </i>
    <i>
      <x v="9"/>
    </i>
    <i>
      <x v="10"/>
    </i>
    <i>
      <x v="11"/>
    </i>
    <i>
      <x v="12"/>
    </i>
    <i>
      <x v="13"/>
    </i>
    <i>
      <x v="14"/>
    </i>
    <i>
      <x v="15"/>
    </i>
    <i>
      <x v="16"/>
    </i>
    <i>
      <x v="17"/>
    </i>
    <i>
      <x v="18"/>
    </i>
    <i t="grand">
      <x/>
    </i>
  </colItems>
  <dataFields count="1">
    <dataField name="Somme de Energía [PJ]" fld="4" baseField="0" baseItem="0"/>
  </dataFields>
  <formats count="62">
    <format dxfId="73">
      <pivotArea outline="0" collapsedLevelsAreSubtotals="1" fieldPosition="0"/>
    </format>
    <format dxfId="72">
      <pivotArea type="all" dataOnly="0" outline="0" fieldPosition="0"/>
    </format>
    <format dxfId="71">
      <pivotArea outline="0" collapsedLevelsAreSubtotals="1" fieldPosition="0"/>
    </format>
    <format dxfId="70">
      <pivotArea type="origin" dataOnly="0" labelOnly="1" outline="0" fieldPosition="0"/>
    </format>
    <format dxfId="69">
      <pivotArea field="3" type="button" dataOnly="0" labelOnly="1" outline="0" axis="axisCol" fieldPosition="0"/>
    </format>
    <format dxfId="68">
      <pivotArea type="topRight" dataOnly="0" labelOnly="1" outline="0" fieldPosition="0"/>
    </format>
    <format dxfId="67">
      <pivotArea field="1" type="button" dataOnly="0" labelOnly="1" outline="0" axis="axisRow" fieldPosition="0"/>
    </format>
    <format dxfId="66">
      <pivotArea dataOnly="0" labelOnly="1" fieldPosition="0">
        <references count="1">
          <reference field="1" count="0"/>
        </references>
      </pivotArea>
    </format>
    <format dxfId="65">
      <pivotArea dataOnly="0" labelOnly="1" grandRow="1" outline="0" fieldPosition="0"/>
    </format>
    <format dxfId="64">
      <pivotArea dataOnly="0" labelOnly="1" fieldPosition="0">
        <references count="2">
          <reference field="1" count="1" selected="0">
            <x v="0"/>
          </reference>
          <reference field="2" count="1">
            <x v="1"/>
          </reference>
        </references>
      </pivotArea>
    </format>
    <format dxfId="63">
      <pivotArea dataOnly="0" labelOnly="1" fieldPosition="0">
        <references count="2">
          <reference field="1" count="1" selected="0">
            <x v="1"/>
          </reference>
          <reference field="2" count="5">
            <x v="11"/>
            <x v="38"/>
            <x v="39"/>
            <x v="40"/>
            <x v="41"/>
          </reference>
        </references>
      </pivotArea>
    </format>
    <format dxfId="62">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61">
      <pivotArea dataOnly="0" labelOnly="1" fieldPosition="0">
        <references count="2">
          <reference field="1" count="1" selected="0">
            <x v="3"/>
          </reference>
          <reference field="2" count="3">
            <x v="9"/>
            <x v="42"/>
            <x v="43"/>
          </reference>
        </references>
      </pivotArea>
    </format>
    <format dxfId="60">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59">
      <pivotArea dataOnly="0" labelOnly="1" fieldPosition="0">
        <references count="2">
          <reference field="1" count="1" selected="0">
            <x v="5"/>
          </reference>
          <reference field="2" count="5">
            <x v="0"/>
            <x v="2"/>
            <x v="17"/>
            <x v="25"/>
            <x v="34"/>
          </reference>
        </references>
      </pivotArea>
    </format>
    <format dxfId="58">
      <pivotArea dataOnly="0" labelOnly="1" fieldPosition="0">
        <references count="1">
          <reference field="3" count="0"/>
        </references>
      </pivotArea>
    </format>
    <format dxfId="57">
      <pivotArea dataOnly="0" labelOnly="1" grandCol="1" outline="0" fieldPosition="0"/>
    </format>
    <format dxfId="56">
      <pivotArea type="all" dataOnly="0" outline="0" fieldPosition="0"/>
    </format>
    <format dxfId="55">
      <pivotArea outline="0" collapsedLevelsAreSubtotals="1" fieldPosition="0"/>
    </format>
    <format dxfId="54">
      <pivotArea type="origin" dataOnly="0" labelOnly="1" outline="0" fieldPosition="0"/>
    </format>
    <format dxfId="53">
      <pivotArea field="3" type="button" dataOnly="0" labelOnly="1" outline="0" axis="axisCol" fieldPosition="0"/>
    </format>
    <format dxfId="52">
      <pivotArea type="topRight" dataOnly="0" labelOnly="1" outline="0" fieldPosition="0"/>
    </format>
    <format dxfId="51">
      <pivotArea field="1" type="button" dataOnly="0" labelOnly="1" outline="0" axis="axisRow" fieldPosition="0"/>
    </format>
    <format dxfId="50">
      <pivotArea dataOnly="0" labelOnly="1" fieldPosition="0">
        <references count="1">
          <reference field="1" count="0"/>
        </references>
      </pivotArea>
    </format>
    <format dxfId="49">
      <pivotArea dataOnly="0" labelOnly="1" grandRow="1" outline="0" fieldPosition="0"/>
    </format>
    <format dxfId="48">
      <pivotArea dataOnly="0" labelOnly="1" fieldPosition="0">
        <references count="2">
          <reference field="1" count="1" selected="0">
            <x v="0"/>
          </reference>
          <reference field="2" count="1">
            <x v="1"/>
          </reference>
        </references>
      </pivotArea>
    </format>
    <format dxfId="47">
      <pivotArea dataOnly="0" labelOnly="1" fieldPosition="0">
        <references count="2">
          <reference field="1" count="1" selected="0">
            <x v="1"/>
          </reference>
          <reference field="2" count="5">
            <x v="11"/>
            <x v="38"/>
            <x v="39"/>
            <x v="40"/>
            <x v="41"/>
          </reference>
        </references>
      </pivotArea>
    </format>
    <format dxfId="46">
      <pivotArea dataOnly="0" labelOnly="1" fieldPosition="0">
        <references count="2">
          <reference field="1" count="1" selected="0">
            <x v="2"/>
          </reference>
          <reference field="2" count="17">
            <x v="10"/>
            <x v="13"/>
            <x v="14"/>
            <x v="15"/>
            <x v="16"/>
            <x v="19"/>
            <x v="20"/>
            <x v="21"/>
            <x v="22"/>
            <x v="23"/>
            <x v="24"/>
            <x v="30"/>
            <x v="31"/>
            <x v="33"/>
            <x v="35"/>
            <x v="37"/>
            <x v="40"/>
          </reference>
        </references>
      </pivotArea>
    </format>
    <format dxfId="45">
      <pivotArea dataOnly="0" labelOnly="1" fieldPosition="0">
        <references count="2">
          <reference field="1" count="1" selected="0">
            <x v="3"/>
          </reference>
          <reference field="2" count="3">
            <x v="9"/>
            <x v="42"/>
            <x v="43"/>
          </reference>
        </references>
      </pivotArea>
    </format>
    <format dxfId="44">
      <pivotArea dataOnly="0" labelOnly="1" fieldPosition="0">
        <references count="2">
          <reference field="1" count="1" selected="0">
            <x v="4"/>
          </reference>
          <reference field="2" count="20">
            <x v="3"/>
            <x v="4"/>
            <x v="5"/>
            <x v="6"/>
            <x v="7"/>
            <x v="8"/>
            <x v="18"/>
            <x v="26"/>
            <x v="27"/>
            <x v="28"/>
            <x v="29"/>
            <x v="32"/>
            <x v="36"/>
            <x v="44"/>
            <x v="45"/>
            <x v="46"/>
            <x v="47"/>
            <x v="48"/>
            <x v="49"/>
            <x v="50"/>
          </reference>
        </references>
      </pivotArea>
    </format>
    <format dxfId="43">
      <pivotArea dataOnly="0" labelOnly="1" fieldPosition="0">
        <references count="2">
          <reference field="1" count="1" selected="0">
            <x v="5"/>
          </reference>
          <reference field="2" count="5">
            <x v="0"/>
            <x v="2"/>
            <x v="17"/>
            <x v="25"/>
            <x v="34"/>
          </reference>
        </references>
      </pivotArea>
    </format>
    <format dxfId="42">
      <pivotArea dataOnly="0" labelOnly="1" fieldPosition="0">
        <references count="1">
          <reference field="3" count="0"/>
        </references>
      </pivotArea>
    </format>
    <format dxfId="41">
      <pivotArea dataOnly="0" labelOnly="1" grandCol="1" outline="0" fieldPosition="0"/>
    </format>
    <format dxfId="40">
      <pivotArea outline="0" collapsedLevelsAreSubtotals="1" fieldPosition="0"/>
    </format>
    <format dxfId="39">
      <pivotArea field="3" type="button" dataOnly="0" labelOnly="1" outline="0" axis="axisCol" fieldPosition="0"/>
    </format>
    <format dxfId="38">
      <pivotArea field="-2" type="button" dataOnly="0" labelOnly="1" outline="0" axis="axisValues" fieldPosition="0"/>
    </format>
    <format dxfId="37">
      <pivotArea type="topRight" dataOnly="0" labelOnly="1" outline="0" fieldPosition="0"/>
    </format>
    <format dxfId="36">
      <pivotArea dataOnly="0" labelOnly="1" fieldPosition="0">
        <references count="1">
          <reference field="3" count="0"/>
        </references>
      </pivotArea>
    </format>
    <format dxfId="35">
      <pivotArea field="3" dataOnly="0" labelOnly="1" grandCol="1" outline="0" axis="axisCol" fieldPosition="0">
        <references count="1">
          <reference field="4294967294" count="1" selected="0">
            <x v="0"/>
          </reference>
        </references>
      </pivotArea>
    </format>
    <format dxfId="34">
      <pivotArea field="3" dataOnly="0" labelOnly="1" grandCol="1" outline="0" axis="axisCol" fieldPosition="0">
        <references count="1">
          <reference field="4294967294" count="1" selected="0">
            <x v="0"/>
          </reference>
        </references>
      </pivotArea>
    </format>
    <format dxfId="33">
      <pivotArea dataOnly="0" labelOnly="1" outline="0" fieldPosition="0">
        <references count="2">
          <reference field="4294967294" count="1">
            <x v="0"/>
          </reference>
          <reference field="3" count="1" selected="0">
            <x v="1"/>
          </reference>
        </references>
      </pivotArea>
    </format>
    <format dxfId="32">
      <pivotArea dataOnly="0" labelOnly="1" outline="0" fieldPosition="0">
        <references count="2">
          <reference field="4294967294" count="1">
            <x v="0"/>
          </reference>
          <reference field="3" count="1" selected="0">
            <x v="2"/>
          </reference>
        </references>
      </pivotArea>
    </format>
    <format dxfId="31">
      <pivotArea dataOnly="0" labelOnly="1" outline="0" fieldPosition="0">
        <references count="2">
          <reference field="4294967294" count="1">
            <x v="0"/>
          </reference>
          <reference field="3" count="1" selected="0">
            <x v="3"/>
          </reference>
        </references>
      </pivotArea>
    </format>
    <format dxfId="30">
      <pivotArea dataOnly="0" labelOnly="1" outline="0" fieldPosition="0">
        <references count="2">
          <reference field="4294967294" count="1">
            <x v="0"/>
          </reference>
          <reference field="3" count="1" selected="0">
            <x v="4"/>
          </reference>
        </references>
      </pivotArea>
    </format>
    <format dxfId="29">
      <pivotArea dataOnly="0" labelOnly="1" outline="0" fieldPosition="0">
        <references count="2">
          <reference field="4294967294" count="1">
            <x v="0"/>
          </reference>
          <reference field="3" count="1" selected="0">
            <x v="5"/>
          </reference>
        </references>
      </pivotArea>
    </format>
    <format dxfId="28">
      <pivotArea dataOnly="0" labelOnly="1" outline="0" fieldPosition="0">
        <references count="2">
          <reference field="4294967294" count="1">
            <x v="0"/>
          </reference>
          <reference field="3" count="1" selected="0">
            <x v="6"/>
          </reference>
        </references>
      </pivotArea>
    </format>
    <format dxfId="27">
      <pivotArea dataOnly="0" labelOnly="1" outline="0" fieldPosition="0">
        <references count="2">
          <reference field="4294967294" count="1">
            <x v="0"/>
          </reference>
          <reference field="3" count="1" selected="0">
            <x v="7"/>
          </reference>
        </references>
      </pivotArea>
    </format>
    <format dxfId="26">
      <pivotArea dataOnly="0" labelOnly="1" outline="0" fieldPosition="0">
        <references count="2">
          <reference field="4294967294" count="1">
            <x v="0"/>
          </reference>
          <reference field="3" count="1" selected="0">
            <x v="8"/>
          </reference>
        </references>
      </pivotArea>
    </format>
    <format dxfId="25">
      <pivotArea dataOnly="0" labelOnly="1" outline="0" fieldPosition="0">
        <references count="2">
          <reference field="4294967294" count="1">
            <x v="0"/>
          </reference>
          <reference field="3" count="1" selected="0">
            <x v="9"/>
          </reference>
        </references>
      </pivotArea>
    </format>
    <format dxfId="24">
      <pivotArea dataOnly="0" labelOnly="1" outline="0" fieldPosition="0">
        <references count="2">
          <reference field="4294967294" count="1">
            <x v="0"/>
          </reference>
          <reference field="3" count="1" selected="0">
            <x v="10"/>
          </reference>
        </references>
      </pivotArea>
    </format>
    <format dxfId="23">
      <pivotArea dataOnly="0" labelOnly="1" outline="0" fieldPosition="0">
        <references count="2">
          <reference field="4294967294" count="1">
            <x v="0"/>
          </reference>
          <reference field="3" count="1" selected="0">
            <x v="11"/>
          </reference>
        </references>
      </pivotArea>
    </format>
    <format dxfId="22">
      <pivotArea dataOnly="0" labelOnly="1" outline="0" fieldPosition="0">
        <references count="2">
          <reference field="4294967294" count="1">
            <x v="0"/>
          </reference>
          <reference field="3" count="1" selected="0">
            <x v="12"/>
          </reference>
        </references>
      </pivotArea>
    </format>
    <format dxfId="21">
      <pivotArea dataOnly="0" labelOnly="1" outline="0" fieldPosition="0">
        <references count="2">
          <reference field="4294967294" count="1">
            <x v="0"/>
          </reference>
          <reference field="3" count="1" selected="0">
            <x v="13"/>
          </reference>
        </references>
      </pivotArea>
    </format>
    <format dxfId="20">
      <pivotArea dataOnly="0" labelOnly="1" outline="0" fieldPosition="0">
        <references count="2">
          <reference field="4294967294" count="1">
            <x v="0"/>
          </reference>
          <reference field="3" count="1" selected="0">
            <x v="14"/>
          </reference>
        </references>
      </pivotArea>
    </format>
    <format dxfId="19">
      <pivotArea dataOnly="0" labelOnly="1" outline="0" fieldPosition="0">
        <references count="2">
          <reference field="4294967294" count="1">
            <x v="0"/>
          </reference>
          <reference field="3" count="1" selected="0">
            <x v="15"/>
          </reference>
        </references>
      </pivotArea>
    </format>
    <format dxfId="18">
      <pivotArea dataOnly="0" labelOnly="1" outline="0" fieldPosition="0">
        <references count="2">
          <reference field="4294967294" count="1">
            <x v="0"/>
          </reference>
          <reference field="3" count="1" selected="0">
            <x v="16"/>
          </reference>
        </references>
      </pivotArea>
    </format>
    <format dxfId="17">
      <pivotArea dataOnly="0" labelOnly="1" outline="0" fieldPosition="0">
        <references count="2">
          <reference field="4294967294" count="1">
            <x v="0"/>
          </reference>
          <reference field="3" count="1" selected="0">
            <x v="17"/>
          </reference>
        </references>
      </pivotArea>
    </format>
    <format dxfId="16">
      <pivotArea dataOnly="0" labelOnly="1" outline="0" fieldPosition="0">
        <references count="2">
          <reference field="4294967294" count="1">
            <x v="0"/>
          </reference>
          <reference field="3" count="1" selected="0">
            <x v="18"/>
          </reference>
        </references>
      </pivotArea>
    </format>
    <format dxfId="15">
      <pivotArea field="2" grandCol="1" collapsedLevelsAreSubtotals="1" axis="axisRow" fieldPosition="1">
        <references count="3">
          <reference field="4294967294" count="1" selected="0">
            <x v="0"/>
          </reference>
          <reference field="1" count="1" selected="0">
            <x v="2"/>
          </reference>
          <reference field="2" count="17">
            <x v="10"/>
            <x v="12"/>
            <x v="13"/>
            <x v="14"/>
            <x v="15"/>
            <x v="16"/>
            <x v="19"/>
            <x v="20"/>
            <x v="21"/>
            <x v="22"/>
            <x v="23"/>
            <x v="24"/>
            <x v="30"/>
            <x v="31"/>
            <x v="35"/>
            <x v="37"/>
            <x v="40"/>
          </reference>
        </references>
      </pivotArea>
    </format>
    <format dxfId="14">
      <pivotArea field="1" grandCol="1" collapsedLevelsAreSubtotals="1" axis="axisRow" fieldPosition="0">
        <references count="2">
          <reference field="4294967294" count="1" selected="0">
            <x v="0"/>
          </reference>
          <reference field="1" count="1">
            <x v="3"/>
          </reference>
        </references>
      </pivotArea>
    </format>
    <format dxfId="13">
      <pivotArea field="2" grandCol="1" collapsedLevelsAreSubtotals="1" axis="axisRow" fieldPosition="1">
        <references count="3">
          <reference field="4294967294" count="1" selected="0">
            <x v="0"/>
          </reference>
          <reference field="1" count="1" selected="0">
            <x v="2"/>
          </reference>
          <reference field="2" count="1">
            <x v="10"/>
          </reference>
        </references>
      </pivotArea>
    </format>
    <format dxfId="12">
      <pivotArea field="2" grandCol="1" collapsedLevelsAreSubtotals="1" axis="axisRow" fieldPosition="1">
        <references count="2">
          <reference field="1" count="1" selected="0">
            <x v="2"/>
          </reference>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ia.gov/energyexplained/index.php?page=about_energy_conversion_calculato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IPCC@2006" TargetMode="External"/><Relationship Id="rId7" Type="http://schemas.openxmlformats.org/officeDocument/2006/relationships/printerSettings" Target="../printerSettings/printerSettings3.bin"/><Relationship Id="rId2" Type="http://schemas.openxmlformats.org/officeDocument/2006/relationships/hyperlink" Target="mailto:INECC@2014" TargetMode="External"/><Relationship Id="rId1" Type="http://schemas.openxmlformats.org/officeDocument/2006/relationships/pivotTable" Target="../pivotTables/pivotTable1.xml"/><Relationship Id="rId6" Type="http://schemas.openxmlformats.org/officeDocument/2006/relationships/hyperlink" Target="mailto:IPCC@2006" TargetMode="External"/><Relationship Id="rId5" Type="http://schemas.openxmlformats.org/officeDocument/2006/relationships/hyperlink" Target="mailto:IPCC@2006" TargetMode="External"/><Relationship Id="rId4" Type="http://schemas.openxmlformats.org/officeDocument/2006/relationships/hyperlink" Target="mailto:INECC@201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L26" sqref="L26"/>
    </sheetView>
  </sheetViews>
  <sheetFormatPr baseColWidth="10" defaultRowHeight="15.75"/>
  <sheetData>
    <row r="2" spans="2:3">
      <c r="B2" s="11" t="s">
        <v>275</v>
      </c>
      <c r="C2" t="s">
        <v>277</v>
      </c>
    </row>
    <row r="3" spans="2:3">
      <c r="B3" s="12" t="s">
        <v>276</v>
      </c>
      <c r="C3" t="s">
        <v>278</v>
      </c>
    </row>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opLeftCell="A82" workbookViewId="0">
      <selection activeCell="C3" sqref="C3"/>
    </sheetView>
  </sheetViews>
  <sheetFormatPr baseColWidth="10" defaultColWidth="11" defaultRowHeight="15.75"/>
  <cols>
    <col min="1" max="1" width="3.875" style="7" customWidth="1"/>
    <col min="2" max="2" width="13.5" style="7" customWidth="1"/>
    <col min="3" max="3" width="94.875" style="7" customWidth="1"/>
    <col min="4" max="7" width="11" style="7"/>
    <col min="8" max="8" width="48.375" style="7" customWidth="1"/>
    <col min="9" max="16384" width="11" style="7"/>
  </cols>
  <sheetData>
    <row r="1" spans="2:11" ht="28.5">
      <c r="B1" s="35" t="s">
        <v>249</v>
      </c>
      <c r="C1" s="6"/>
      <c r="D1" s="6"/>
      <c r="E1" s="6"/>
      <c r="F1" s="6"/>
      <c r="G1" s="36"/>
      <c r="H1" s="35" t="s">
        <v>250</v>
      </c>
      <c r="I1" s="6"/>
      <c r="J1" s="6"/>
      <c r="K1" s="6"/>
    </row>
    <row r="2" spans="2:11" ht="28.5">
      <c r="B2" s="35"/>
      <c r="C2" s="6"/>
      <c r="D2" s="6"/>
      <c r="E2" s="6"/>
      <c r="F2" s="6"/>
      <c r="G2" s="36"/>
      <c r="H2" s="36"/>
      <c r="I2" s="6"/>
      <c r="J2" s="6"/>
      <c r="K2" s="6"/>
    </row>
    <row r="3" spans="2:11" ht="18.75">
      <c r="B3" s="37"/>
      <c r="C3" s="37" t="s">
        <v>247</v>
      </c>
      <c r="D3" s="6"/>
      <c r="E3" s="6"/>
      <c r="F3" s="6"/>
      <c r="G3" s="6"/>
      <c r="H3" s="38" t="s">
        <v>267</v>
      </c>
      <c r="I3" s="38" t="s">
        <v>1</v>
      </c>
      <c r="J3" s="6"/>
      <c r="K3" s="6"/>
    </row>
    <row r="4" spans="2:11">
      <c r="B4" s="6" t="s">
        <v>244</v>
      </c>
      <c r="C4" s="1" t="s">
        <v>2</v>
      </c>
      <c r="D4" s="6"/>
      <c r="E4" s="6"/>
      <c r="F4" s="6"/>
      <c r="G4" s="6"/>
      <c r="H4" s="6" t="s">
        <v>12</v>
      </c>
      <c r="I4" s="6" t="s">
        <v>260</v>
      </c>
      <c r="J4" s="6"/>
      <c r="K4" s="6"/>
    </row>
    <row r="5" spans="2:11">
      <c r="B5" s="6" t="s">
        <v>245</v>
      </c>
      <c r="C5" s="1" t="s">
        <v>23</v>
      </c>
      <c r="D5" s="6"/>
      <c r="E5" s="6"/>
      <c r="F5" s="6"/>
      <c r="G5" s="6"/>
      <c r="H5" s="6" t="s">
        <v>13</v>
      </c>
      <c r="I5" s="6" t="s">
        <v>262</v>
      </c>
      <c r="J5" s="6"/>
      <c r="K5" s="6"/>
    </row>
    <row r="6" spans="2:11">
      <c r="B6" s="6"/>
      <c r="C6" s="1" t="s">
        <v>24</v>
      </c>
      <c r="D6" s="6"/>
      <c r="E6" s="6"/>
      <c r="F6" s="6"/>
      <c r="G6" s="6"/>
      <c r="H6" s="6" t="s">
        <v>9</v>
      </c>
      <c r="I6" s="6" t="s">
        <v>257</v>
      </c>
      <c r="J6" s="6"/>
      <c r="K6" s="6"/>
    </row>
    <row r="7" spans="2:11">
      <c r="B7" s="6"/>
      <c r="C7" s="1" t="s">
        <v>20</v>
      </c>
      <c r="D7" s="6"/>
      <c r="E7" s="6"/>
      <c r="F7" s="6"/>
      <c r="G7" s="6"/>
      <c r="H7" s="6" t="s">
        <v>14</v>
      </c>
      <c r="I7" s="6" t="s">
        <v>261</v>
      </c>
      <c r="J7" s="6"/>
      <c r="K7" s="6"/>
    </row>
    <row r="8" spans="2:11">
      <c r="B8" s="6"/>
      <c r="C8" s="1" t="s">
        <v>25</v>
      </c>
      <c r="D8" s="6"/>
      <c r="E8" s="6"/>
      <c r="F8" s="6"/>
      <c r="G8" s="6"/>
      <c r="H8" s="6" t="s">
        <v>15</v>
      </c>
      <c r="I8" s="6" t="s">
        <v>263</v>
      </c>
      <c r="J8" s="6"/>
      <c r="K8" s="6"/>
    </row>
    <row r="9" spans="2:11">
      <c r="B9" s="6"/>
      <c r="C9" s="1" t="s">
        <v>35</v>
      </c>
      <c r="D9" s="6"/>
      <c r="E9" s="6"/>
      <c r="F9" s="6"/>
      <c r="G9" s="6"/>
      <c r="H9" s="6" t="s">
        <v>3</v>
      </c>
      <c r="I9" s="6" t="s">
        <v>253</v>
      </c>
      <c r="J9" s="6"/>
      <c r="K9" s="6"/>
    </row>
    <row r="10" spans="2:11">
      <c r="B10" s="6"/>
      <c r="C10" s="1" t="s">
        <v>29</v>
      </c>
      <c r="D10" s="6"/>
      <c r="E10" s="6"/>
      <c r="F10" s="6"/>
      <c r="G10" s="6"/>
      <c r="H10" s="6" t="s">
        <v>4</v>
      </c>
      <c r="I10" s="6" t="s">
        <v>254</v>
      </c>
      <c r="J10" s="6"/>
      <c r="K10" s="6"/>
    </row>
    <row r="11" spans="2:11">
      <c r="B11" s="6"/>
      <c r="C11" s="1" t="s">
        <v>36</v>
      </c>
      <c r="D11" s="6"/>
      <c r="E11" s="6"/>
      <c r="F11" s="6"/>
      <c r="G11" s="6"/>
      <c r="H11" s="6" t="s">
        <v>5</v>
      </c>
      <c r="I11" s="6" t="s">
        <v>255</v>
      </c>
      <c r="J11" s="6"/>
      <c r="K11" s="6"/>
    </row>
    <row r="12" spans="2:11">
      <c r="B12" s="6"/>
      <c r="C12" s="1" t="s">
        <v>34</v>
      </c>
      <c r="D12" s="6"/>
      <c r="E12" s="6"/>
      <c r="F12" s="6"/>
      <c r="G12" s="6"/>
      <c r="H12" s="6" t="s">
        <v>10</v>
      </c>
      <c r="I12" s="6" t="s">
        <v>258</v>
      </c>
      <c r="J12" s="6"/>
      <c r="K12" s="6"/>
    </row>
    <row r="13" spans="2:11">
      <c r="B13" s="6"/>
      <c r="C13" s="1" t="s">
        <v>30</v>
      </c>
      <c r="D13" s="6"/>
      <c r="E13" s="6"/>
      <c r="F13" s="6"/>
      <c r="G13" s="6"/>
      <c r="H13" s="6" t="s">
        <v>16</v>
      </c>
      <c r="I13" s="6" t="s">
        <v>264</v>
      </c>
      <c r="J13" s="6"/>
      <c r="K13" s="6"/>
    </row>
    <row r="14" spans="2:11">
      <c r="B14" s="6"/>
      <c r="C14" s="1" t="s">
        <v>22</v>
      </c>
      <c r="D14" s="6"/>
      <c r="E14" s="6"/>
      <c r="F14" s="6"/>
      <c r="G14" s="6"/>
      <c r="H14" s="6" t="s">
        <v>17</v>
      </c>
      <c r="I14" s="6" t="s">
        <v>265</v>
      </c>
      <c r="J14" s="6"/>
      <c r="K14" s="6"/>
    </row>
    <row r="15" spans="2:11">
      <c r="B15" s="6"/>
      <c r="C15" s="1" t="s">
        <v>27</v>
      </c>
      <c r="D15" s="6"/>
      <c r="E15" s="6"/>
      <c r="F15" s="6"/>
      <c r="G15" s="6"/>
      <c r="H15" s="6" t="s">
        <v>19</v>
      </c>
      <c r="I15" s="6" t="s">
        <v>266</v>
      </c>
      <c r="J15" s="6"/>
      <c r="K15" s="6"/>
    </row>
    <row r="16" spans="2:11">
      <c r="B16" s="6"/>
      <c r="C16" s="1" t="s">
        <v>33</v>
      </c>
      <c r="D16" s="6"/>
      <c r="E16" s="6"/>
      <c r="F16" s="6"/>
      <c r="G16" s="6"/>
      <c r="H16" s="6" t="s">
        <v>6</v>
      </c>
      <c r="I16" s="6" t="s">
        <v>256</v>
      </c>
      <c r="J16" s="6"/>
      <c r="K16" s="6"/>
    </row>
    <row r="17" spans="2:11">
      <c r="B17" s="6"/>
      <c r="C17" s="1" t="s">
        <v>32</v>
      </c>
      <c r="D17" s="6"/>
      <c r="E17" s="6"/>
      <c r="F17" s="6"/>
      <c r="G17" s="6"/>
      <c r="H17" s="6" t="s">
        <v>11</v>
      </c>
      <c r="I17" s="6" t="s">
        <v>259</v>
      </c>
      <c r="J17" s="6"/>
      <c r="K17" s="6"/>
    </row>
    <row r="18" spans="2:11">
      <c r="B18" s="6"/>
      <c r="C18" s="1" t="s">
        <v>21</v>
      </c>
      <c r="D18" s="6"/>
      <c r="E18" s="6"/>
      <c r="F18" s="6"/>
      <c r="G18" s="6"/>
      <c r="H18" s="6"/>
      <c r="I18" s="6"/>
      <c r="J18" s="6"/>
      <c r="K18" s="6"/>
    </row>
    <row r="19" spans="2:11">
      <c r="B19" s="6"/>
      <c r="C19" s="1" t="s">
        <v>31</v>
      </c>
      <c r="D19" s="6"/>
      <c r="E19" s="6"/>
      <c r="F19" s="6"/>
      <c r="G19" s="6"/>
      <c r="H19" s="6"/>
      <c r="I19" s="6"/>
      <c r="J19" s="6"/>
      <c r="K19" s="6"/>
    </row>
    <row r="20" spans="2:11">
      <c r="B20" s="6"/>
      <c r="C20" s="1" t="s">
        <v>26</v>
      </c>
      <c r="D20" s="6"/>
      <c r="E20" s="6"/>
      <c r="F20" s="6"/>
      <c r="G20" s="6"/>
      <c r="H20" s="6"/>
      <c r="I20" s="6"/>
      <c r="J20" s="6"/>
      <c r="K20" s="6"/>
    </row>
    <row r="21" spans="2:11">
      <c r="B21" s="6" t="s">
        <v>194</v>
      </c>
      <c r="C21" s="1" t="s">
        <v>43</v>
      </c>
      <c r="D21" s="6"/>
      <c r="E21" s="6"/>
      <c r="F21" s="6"/>
      <c r="G21" s="6"/>
      <c r="H21" s="6"/>
      <c r="I21" s="6"/>
      <c r="J21" s="6"/>
      <c r="K21" s="6"/>
    </row>
    <row r="22" spans="2:11">
      <c r="B22" s="6"/>
      <c r="C22" s="1" t="s">
        <v>39</v>
      </c>
      <c r="D22" s="6"/>
      <c r="E22" s="6"/>
      <c r="F22" s="6"/>
      <c r="G22" s="6"/>
      <c r="H22" s="6"/>
      <c r="I22" s="6"/>
      <c r="J22" s="6"/>
      <c r="K22" s="6"/>
    </row>
    <row r="23" spans="2:11">
      <c r="B23" s="6"/>
      <c r="C23" s="1" t="s">
        <v>40</v>
      </c>
      <c r="D23" s="6"/>
      <c r="E23" s="6"/>
      <c r="F23" s="6"/>
      <c r="G23" s="6"/>
      <c r="H23" s="6"/>
      <c r="I23" s="6"/>
      <c r="J23" s="6"/>
      <c r="K23" s="6"/>
    </row>
    <row r="24" spans="2:11">
      <c r="B24" s="6"/>
      <c r="C24" s="1" t="s">
        <v>42</v>
      </c>
      <c r="D24" s="6"/>
      <c r="E24" s="6"/>
      <c r="F24" s="6"/>
      <c r="G24" s="6"/>
      <c r="H24" s="6"/>
      <c r="I24" s="6"/>
      <c r="J24" s="6"/>
      <c r="K24" s="6"/>
    </row>
    <row r="25" spans="2:11">
      <c r="B25" s="6"/>
      <c r="C25" s="1" t="s">
        <v>41</v>
      </c>
      <c r="D25" s="6"/>
      <c r="E25" s="6"/>
      <c r="F25" s="6"/>
      <c r="G25" s="6"/>
      <c r="H25" s="6"/>
      <c r="I25" s="6"/>
      <c r="J25" s="6"/>
      <c r="K25" s="6"/>
    </row>
    <row r="26" spans="2:11">
      <c r="B26" s="6" t="s">
        <v>195</v>
      </c>
      <c r="C26" s="1" t="s">
        <v>8</v>
      </c>
      <c r="D26" s="6"/>
      <c r="E26" s="6"/>
      <c r="F26" s="6"/>
      <c r="G26" s="6"/>
      <c r="H26" s="6"/>
      <c r="I26" s="6"/>
      <c r="J26" s="6"/>
      <c r="K26" s="6"/>
    </row>
    <row r="27" spans="2:11">
      <c r="B27" s="6"/>
      <c r="C27" s="1" t="s">
        <v>37</v>
      </c>
      <c r="D27" s="6"/>
      <c r="E27" s="6"/>
      <c r="F27" s="6"/>
      <c r="G27" s="6"/>
      <c r="H27" s="6"/>
      <c r="I27" s="6"/>
      <c r="J27" s="6"/>
      <c r="K27" s="6"/>
    </row>
    <row r="28" spans="2:11">
      <c r="B28" s="6"/>
      <c r="C28" s="1" t="s">
        <v>38</v>
      </c>
      <c r="D28" s="6"/>
      <c r="E28" s="6"/>
      <c r="F28" s="6"/>
      <c r="G28" s="6"/>
      <c r="H28" s="6"/>
      <c r="I28" s="6"/>
      <c r="J28" s="6"/>
      <c r="K28" s="6"/>
    </row>
    <row r="29" spans="2:11">
      <c r="B29" s="6" t="s">
        <v>246</v>
      </c>
      <c r="C29" s="1" t="s">
        <v>18</v>
      </c>
      <c r="D29" s="6"/>
      <c r="E29" s="6"/>
      <c r="F29" s="6"/>
      <c r="G29" s="6"/>
      <c r="H29" s="6"/>
      <c r="I29" s="6"/>
      <c r="J29" s="6"/>
      <c r="K29" s="6"/>
    </row>
    <row r="30" spans="2:11">
      <c r="B30" s="6"/>
      <c r="C30" s="6"/>
      <c r="D30" s="6"/>
      <c r="E30" s="6"/>
      <c r="F30" s="6"/>
      <c r="G30" s="6"/>
      <c r="H30" s="6"/>
      <c r="I30" s="6"/>
      <c r="J30" s="6"/>
      <c r="K30" s="6"/>
    </row>
    <row r="31" spans="2:11">
      <c r="B31" s="6"/>
      <c r="C31" s="6"/>
      <c r="D31" s="6"/>
      <c r="E31" s="6"/>
      <c r="F31" s="6"/>
      <c r="G31" s="6"/>
      <c r="H31" s="6"/>
      <c r="I31" s="6"/>
      <c r="J31" s="6"/>
      <c r="K31" s="6"/>
    </row>
    <row r="32" spans="2:11" ht="39.75">
      <c r="B32" s="6"/>
      <c r="C32" s="37" t="s">
        <v>248</v>
      </c>
      <c r="D32" s="39" t="s">
        <v>252</v>
      </c>
      <c r="E32" s="40" t="s">
        <v>151</v>
      </c>
      <c r="F32" s="6"/>
      <c r="G32" s="6"/>
      <c r="H32" s="37" t="s">
        <v>251</v>
      </c>
      <c r="I32" s="39" t="s">
        <v>252</v>
      </c>
      <c r="J32" s="6"/>
      <c r="K32" s="6"/>
    </row>
    <row r="33" spans="2:11" ht="47.25">
      <c r="B33" s="41" t="s">
        <v>148</v>
      </c>
      <c r="C33" s="1" t="s">
        <v>76</v>
      </c>
      <c r="D33" s="42" t="s">
        <v>77</v>
      </c>
      <c r="E33" s="43" t="s">
        <v>157</v>
      </c>
      <c r="F33" s="6"/>
      <c r="G33" s="6"/>
      <c r="H33" s="6" t="s">
        <v>173</v>
      </c>
      <c r="I33" s="6" t="s">
        <v>49</v>
      </c>
      <c r="J33" s="6"/>
      <c r="K33" s="6"/>
    </row>
    <row r="34" spans="2:11">
      <c r="B34" s="6"/>
      <c r="C34" s="1" t="s">
        <v>78</v>
      </c>
      <c r="D34" s="42" t="s">
        <v>79</v>
      </c>
      <c r="E34" s="43" t="s">
        <v>159</v>
      </c>
      <c r="F34" s="6"/>
      <c r="G34" s="6"/>
      <c r="H34" s="6" t="s">
        <v>174</v>
      </c>
      <c r="I34" s="6" t="s">
        <v>50</v>
      </c>
      <c r="J34" s="6"/>
      <c r="K34" s="6"/>
    </row>
    <row r="35" spans="2:11">
      <c r="B35" s="6"/>
      <c r="C35" s="1" t="s">
        <v>80</v>
      </c>
      <c r="D35" s="42" t="s">
        <v>81</v>
      </c>
      <c r="E35" s="43" t="s">
        <v>158</v>
      </c>
      <c r="F35" s="6"/>
      <c r="G35" s="6"/>
      <c r="H35" s="6" t="s">
        <v>166</v>
      </c>
      <c r="I35" s="6" t="s">
        <v>51</v>
      </c>
      <c r="J35" s="6"/>
      <c r="K35" s="6"/>
    </row>
    <row r="36" spans="2:11">
      <c r="B36" s="6"/>
      <c r="C36" s="1" t="s">
        <v>82</v>
      </c>
      <c r="D36" s="42" t="s">
        <v>83</v>
      </c>
      <c r="E36" s="43" t="s">
        <v>160</v>
      </c>
      <c r="F36" s="6"/>
      <c r="G36" s="6"/>
      <c r="H36" s="6" t="s">
        <v>175</v>
      </c>
      <c r="I36" s="6" t="s">
        <v>52</v>
      </c>
      <c r="J36" s="6"/>
      <c r="K36" s="6"/>
    </row>
    <row r="37" spans="2:11">
      <c r="B37" s="6"/>
      <c r="C37" s="1" t="s">
        <v>84</v>
      </c>
      <c r="D37" s="42" t="s">
        <v>85</v>
      </c>
      <c r="E37" s="43">
        <v>19</v>
      </c>
      <c r="F37" s="6"/>
      <c r="G37" s="6"/>
      <c r="H37" s="6" t="s">
        <v>176</v>
      </c>
      <c r="I37" s="6" t="s">
        <v>53</v>
      </c>
      <c r="J37" s="6"/>
      <c r="K37" s="6"/>
    </row>
    <row r="38" spans="2:11">
      <c r="B38" s="6"/>
      <c r="C38" s="1" t="s">
        <v>86</v>
      </c>
      <c r="D38" s="42" t="s">
        <v>87</v>
      </c>
      <c r="E38" s="43">
        <v>20</v>
      </c>
      <c r="F38" s="6"/>
      <c r="G38" s="6"/>
      <c r="H38" s="6" t="s">
        <v>177</v>
      </c>
      <c r="I38" s="6" t="s">
        <v>54</v>
      </c>
      <c r="J38" s="6"/>
      <c r="K38" s="6"/>
    </row>
    <row r="39" spans="2:11">
      <c r="B39" s="6"/>
      <c r="C39" s="1" t="s">
        <v>88</v>
      </c>
      <c r="D39" s="42" t="s">
        <v>89</v>
      </c>
      <c r="E39" s="44" t="s">
        <v>152</v>
      </c>
      <c r="F39" s="6"/>
      <c r="G39" s="6"/>
      <c r="H39" s="6" t="s">
        <v>178</v>
      </c>
      <c r="I39" s="6" t="s">
        <v>55</v>
      </c>
      <c r="J39" s="6"/>
      <c r="K39" s="6"/>
    </row>
    <row r="40" spans="2:11">
      <c r="B40" s="6"/>
      <c r="C40" s="1" t="s">
        <v>90</v>
      </c>
      <c r="D40" s="42" t="s">
        <v>91</v>
      </c>
      <c r="E40" s="43">
        <v>23</v>
      </c>
      <c r="F40" s="6"/>
      <c r="G40" s="6"/>
      <c r="H40" s="6" t="s">
        <v>179</v>
      </c>
      <c r="I40" s="6" t="s">
        <v>56</v>
      </c>
      <c r="J40" s="6"/>
      <c r="K40" s="6"/>
    </row>
    <row r="41" spans="2:11">
      <c r="B41" s="6"/>
      <c r="C41" s="1" t="s">
        <v>92</v>
      </c>
      <c r="D41" s="42" t="s">
        <v>93</v>
      </c>
      <c r="E41" s="43">
        <v>24</v>
      </c>
      <c r="F41" s="6"/>
      <c r="G41" s="6"/>
      <c r="H41" s="6" t="s">
        <v>180</v>
      </c>
      <c r="I41" s="6" t="s">
        <v>57</v>
      </c>
      <c r="J41" s="6"/>
      <c r="K41" s="6"/>
    </row>
    <row r="42" spans="2:11">
      <c r="B42" s="6"/>
      <c r="C42" s="1" t="s">
        <v>94</v>
      </c>
      <c r="D42" s="42" t="s">
        <v>95</v>
      </c>
      <c r="E42" s="43">
        <v>25</v>
      </c>
      <c r="F42" s="6"/>
      <c r="G42" s="6"/>
      <c r="H42" s="6" t="s">
        <v>181</v>
      </c>
      <c r="I42" s="6" t="s">
        <v>58</v>
      </c>
      <c r="J42" s="6"/>
      <c r="K42" s="6"/>
    </row>
    <row r="43" spans="2:11">
      <c r="B43" s="6"/>
      <c r="C43" s="1" t="s">
        <v>96</v>
      </c>
      <c r="D43" s="42" t="s">
        <v>97</v>
      </c>
      <c r="E43" s="43">
        <v>26</v>
      </c>
      <c r="F43" s="6"/>
      <c r="G43" s="6"/>
      <c r="H43" s="6" t="s">
        <v>182</v>
      </c>
      <c r="I43" s="6" t="s">
        <v>59</v>
      </c>
      <c r="J43" s="6"/>
      <c r="K43" s="6"/>
    </row>
    <row r="44" spans="2:11">
      <c r="B44" s="6"/>
      <c r="C44" s="1" t="s">
        <v>98</v>
      </c>
      <c r="D44" s="42" t="s">
        <v>99</v>
      </c>
      <c r="E44" s="43" t="s">
        <v>153</v>
      </c>
      <c r="F44" s="6"/>
      <c r="G44" s="6"/>
      <c r="H44" s="6" t="s">
        <v>167</v>
      </c>
      <c r="I44" s="6" t="s">
        <v>60</v>
      </c>
      <c r="J44" s="6"/>
      <c r="K44" s="6"/>
    </row>
    <row r="45" spans="2:11">
      <c r="B45" s="6"/>
      <c r="C45" s="1" t="s">
        <v>100</v>
      </c>
      <c r="D45" s="42" t="s">
        <v>101</v>
      </c>
      <c r="E45" s="43">
        <v>29</v>
      </c>
      <c r="F45" s="6"/>
      <c r="G45" s="6"/>
      <c r="H45" s="6" t="s">
        <v>183</v>
      </c>
      <c r="I45" s="6" t="s">
        <v>61</v>
      </c>
      <c r="J45" s="6"/>
      <c r="K45" s="6"/>
    </row>
    <row r="46" spans="2:11">
      <c r="B46" s="6"/>
      <c r="C46" s="1" t="s">
        <v>102</v>
      </c>
      <c r="D46" s="42" t="s">
        <v>103</v>
      </c>
      <c r="E46" s="45" t="s">
        <v>161</v>
      </c>
      <c r="F46" s="6"/>
      <c r="G46" s="6"/>
      <c r="H46" s="6" t="s">
        <v>168</v>
      </c>
      <c r="I46" s="6" t="s">
        <v>62</v>
      </c>
      <c r="J46" s="6"/>
      <c r="K46" s="6"/>
    </row>
    <row r="47" spans="2:11">
      <c r="B47" s="6"/>
      <c r="C47" s="1" t="s">
        <v>104</v>
      </c>
      <c r="D47" s="42" t="s">
        <v>105</v>
      </c>
      <c r="E47" s="45" t="s">
        <v>154</v>
      </c>
      <c r="F47" s="6"/>
      <c r="G47" s="6"/>
      <c r="H47" s="6" t="s">
        <v>184</v>
      </c>
      <c r="I47" s="6" t="s">
        <v>63</v>
      </c>
      <c r="J47" s="6"/>
      <c r="K47" s="6"/>
    </row>
    <row r="48" spans="2:11">
      <c r="B48" s="6"/>
      <c r="C48" s="1" t="s">
        <v>106</v>
      </c>
      <c r="D48" s="42" t="s">
        <v>107</v>
      </c>
      <c r="E48" s="45" t="s">
        <v>155</v>
      </c>
      <c r="F48" s="6"/>
      <c r="G48" s="6"/>
      <c r="H48" s="6" t="s">
        <v>169</v>
      </c>
      <c r="I48" s="6" t="s">
        <v>64</v>
      </c>
      <c r="J48" s="6"/>
      <c r="K48" s="6"/>
    </row>
    <row r="49" spans="2:11">
      <c r="B49" s="6"/>
      <c r="C49" s="1" t="s">
        <v>108</v>
      </c>
      <c r="D49" s="42" t="s">
        <v>109</v>
      </c>
      <c r="E49" s="45" t="s">
        <v>156</v>
      </c>
      <c r="F49" s="6"/>
      <c r="G49" s="6"/>
      <c r="H49" s="6" t="s">
        <v>185</v>
      </c>
      <c r="I49" s="6" t="s">
        <v>65</v>
      </c>
      <c r="J49" s="6"/>
      <c r="K49" s="6"/>
    </row>
    <row r="50" spans="2:11">
      <c r="B50" s="6"/>
      <c r="C50" s="1" t="s">
        <v>110</v>
      </c>
      <c r="D50" s="42" t="s">
        <v>111</v>
      </c>
      <c r="E50" s="43">
        <v>45</v>
      </c>
      <c r="F50" s="6"/>
      <c r="G50" s="6"/>
      <c r="H50" s="6" t="s">
        <v>192</v>
      </c>
      <c r="I50" s="6" t="s">
        <v>66</v>
      </c>
      <c r="J50" s="6"/>
      <c r="K50" s="6"/>
    </row>
    <row r="51" spans="2:11">
      <c r="B51" s="6"/>
      <c r="C51" s="1" t="s">
        <v>112</v>
      </c>
      <c r="D51" s="42" t="s">
        <v>113</v>
      </c>
      <c r="E51" s="43">
        <v>50</v>
      </c>
      <c r="F51" s="6"/>
      <c r="G51" s="6"/>
      <c r="H51" s="6" t="s">
        <v>172</v>
      </c>
      <c r="I51" s="6" t="s">
        <v>67</v>
      </c>
      <c r="J51" s="6"/>
      <c r="K51" s="6"/>
    </row>
    <row r="52" spans="2:11">
      <c r="B52" s="6"/>
      <c r="C52" s="1" t="s">
        <v>114</v>
      </c>
      <c r="D52" s="42" t="s">
        <v>115</v>
      </c>
      <c r="E52" s="43">
        <v>51</v>
      </c>
      <c r="F52" s="6"/>
      <c r="G52" s="6"/>
      <c r="H52" s="6" t="s">
        <v>186</v>
      </c>
      <c r="I52" s="6" t="s">
        <v>68</v>
      </c>
      <c r="J52" s="6"/>
      <c r="K52" s="6"/>
    </row>
    <row r="53" spans="2:11">
      <c r="B53" s="6"/>
      <c r="C53" s="1" t="s">
        <v>116</v>
      </c>
      <c r="D53" s="42" t="s">
        <v>117</v>
      </c>
      <c r="E53" s="43">
        <v>52</v>
      </c>
      <c r="F53" s="6"/>
      <c r="G53" s="6"/>
      <c r="H53" s="6" t="s">
        <v>187</v>
      </c>
      <c r="I53" s="6" t="s">
        <v>69</v>
      </c>
      <c r="J53" s="6"/>
      <c r="K53" s="6"/>
    </row>
    <row r="54" spans="2:11">
      <c r="B54" s="6"/>
      <c r="C54" s="1" t="s">
        <v>118</v>
      </c>
      <c r="D54" s="42" t="s">
        <v>119</v>
      </c>
      <c r="E54" s="43">
        <v>55</v>
      </c>
      <c r="F54" s="6"/>
      <c r="G54" s="6"/>
      <c r="H54" s="6" t="s">
        <v>170</v>
      </c>
      <c r="I54" s="6" t="s">
        <v>70</v>
      </c>
      <c r="J54" s="6"/>
      <c r="K54" s="6"/>
    </row>
    <row r="55" spans="2:11">
      <c r="B55" s="6"/>
      <c r="C55" s="1" t="s">
        <v>120</v>
      </c>
      <c r="D55" s="42" t="s">
        <v>121</v>
      </c>
      <c r="E55" s="43">
        <v>60</v>
      </c>
      <c r="F55" s="6"/>
      <c r="G55" s="6"/>
      <c r="H55" s="6" t="s">
        <v>171</v>
      </c>
      <c r="I55" s="6" t="s">
        <v>71</v>
      </c>
      <c r="J55" s="6"/>
      <c r="K55" s="6"/>
    </row>
    <row r="56" spans="2:11">
      <c r="B56" s="6"/>
      <c r="C56" s="1" t="s">
        <v>122</v>
      </c>
      <c r="D56" s="42" t="s">
        <v>123</v>
      </c>
      <c r="E56" s="43">
        <v>61</v>
      </c>
      <c r="F56" s="6"/>
      <c r="G56" s="6"/>
      <c r="H56" s="6" t="s">
        <v>188</v>
      </c>
      <c r="I56" s="6" t="s">
        <v>72</v>
      </c>
      <c r="J56" s="6"/>
      <c r="K56" s="6"/>
    </row>
    <row r="57" spans="2:11">
      <c r="B57" s="6"/>
      <c r="C57" s="1" t="s">
        <v>124</v>
      </c>
      <c r="D57" s="42" t="s">
        <v>125</v>
      </c>
      <c r="E57" s="43">
        <v>62</v>
      </c>
      <c r="F57" s="6"/>
      <c r="G57" s="6"/>
      <c r="H57" s="6" t="s">
        <v>189</v>
      </c>
      <c r="I57" s="6" t="s">
        <v>73</v>
      </c>
      <c r="J57" s="6"/>
      <c r="K57" s="6"/>
    </row>
    <row r="58" spans="2:11">
      <c r="B58" s="6"/>
      <c r="C58" s="1" t="s">
        <v>126</v>
      </c>
      <c r="D58" s="42" t="s">
        <v>127</v>
      </c>
      <c r="E58" s="43">
        <v>63</v>
      </c>
      <c r="F58" s="6"/>
      <c r="G58" s="6"/>
      <c r="H58" s="6" t="s">
        <v>190</v>
      </c>
      <c r="I58" s="6" t="s">
        <v>74</v>
      </c>
      <c r="J58" s="6"/>
      <c r="K58" s="6"/>
    </row>
    <row r="59" spans="2:11">
      <c r="B59" s="6"/>
      <c r="C59" s="1" t="s">
        <v>128</v>
      </c>
      <c r="D59" s="42" t="s">
        <v>129</v>
      </c>
      <c r="E59" s="43">
        <v>64</v>
      </c>
      <c r="F59" s="6"/>
      <c r="G59" s="6"/>
      <c r="H59" s="6" t="s">
        <v>191</v>
      </c>
      <c r="I59" s="6" t="s">
        <v>75</v>
      </c>
      <c r="J59" s="6"/>
      <c r="K59" s="6"/>
    </row>
    <row r="60" spans="2:11">
      <c r="B60" s="6"/>
      <c r="C60" s="1" t="s">
        <v>130</v>
      </c>
      <c r="D60" s="42" t="s">
        <v>131</v>
      </c>
      <c r="E60" s="45" t="s">
        <v>162</v>
      </c>
      <c r="F60" s="6"/>
      <c r="G60" s="6"/>
      <c r="H60" s="6"/>
      <c r="I60" s="6"/>
      <c r="J60" s="6"/>
      <c r="K60" s="6"/>
    </row>
    <row r="61" spans="2:11">
      <c r="B61" s="6"/>
      <c r="C61" s="1" t="s">
        <v>132</v>
      </c>
      <c r="D61" s="42" t="s">
        <v>133</v>
      </c>
      <c r="E61" s="43">
        <v>70</v>
      </c>
      <c r="F61" s="6"/>
      <c r="G61" s="6"/>
      <c r="H61" s="6"/>
      <c r="I61" s="6"/>
      <c r="J61" s="6"/>
      <c r="K61" s="6"/>
    </row>
    <row r="62" spans="2:11">
      <c r="B62" s="6"/>
      <c r="C62" s="1" t="s">
        <v>134</v>
      </c>
      <c r="D62" s="42" t="s">
        <v>135</v>
      </c>
      <c r="E62" s="45" t="s">
        <v>163</v>
      </c>
      <c r="F62" s="6"/>
      <c r="G62" s="6"/>
      <c r="H62" s="6"/>
      <c r="I62" s="6"/>
      <c r="J62" s="6"/>
      <c r="K62" s="6"/>
    </row>
    <row r="63" spans="2:11">
      <c r="B63" s="6"/>
      <c r="C63" s="1" t="s">
        <v>136</v>
      </c>
      <c r="D63" s="42" t="s">
        <v>137</v>
      </c>
      <c r="E63" s="43">
        <v>75</v>
      </c>
      <c r="F63" s="6"/>
      <c r="G63" s="6"/>
      <c r="H63" s="6"/>
      <c r="I63" s="6"/>
      <c r="J63" s="6"/>
      <c r="K63" s="6"/>
    </row>
    <row r="64" spans="2:11">
      <c r="B64" s="6"/>
      <c r="C64" s="1" t="s">
        <v>138</v>
      </c>
      <c r="D64" s="42" t="s">
        <v>139</v>
      </c>
      <c r="E64" s="43">
        <v>80</v>
      </c>
      <c r="F64" s="6"/>
      <c r="G64" s="6"/>
      <c r="H64" s="6"/>
      <c r="I64" s="6"/>
      <c r="J64" s="6"/>
      <c r="K64" s="6"/>
    </row>
    <row r="65" spans="1:11">
      <c r="B65" s="6"/>
      <c r="C65" s="1" t="s">
        <v>140</v>
      </c>
      <c r="D65" s="42" t="s">
        <v>141</v>
      </c>
      <c r="E65" s="43">
        <v>85</v>
      </c>
      <c r="F65" s="6"/>
      <c r="G65" s="6"/>
      <c r="H65" s="6"/>
      <c r="I65" s="6"/>
      <c r="J65" s="6"/>
      <c r="K65" s="6"/>
    </row>
    <row r="66" spans="1:11">
      <c r="B66" s="6"/>
      <c r="C66" s="1" t="s">
        <v>142</v>
      </c>
      <c r="D66" s="42" t="s">
        <v>143</v>
      </c>
      <c r="E66" s="45" t="s">
        <v>164</v>
      </c>
      <c r="F66" s="6"/>
      <c r="G66" s="6"/>
      <c r="H66" s="6"/>
      <c r="I66" s="6"/>
      <c r="J66" s="6"/>
      <c r="K66" s="6"/>
    </row>
    <row r="67" spans="1:11">
      <c r="B67" s="6"/>
      <c r="C67" s="1" t="s">
        <v>144</v>
      </c>
      <c r="D67" s="42" t="s">
        <v>145</v>
      </c>
      <c r="E67" s="43">
        <v>95</v>
      </c>
      <c r="F67" s="6"/>
      <c r="G67" s="6"/>
      <c r="H67" s="6"/>
      <c r="I67" s="6"/>
      <c r="J67" s="6"/>
      <c r="K67" s="6"/>
    </row>
    <row r="68" spans="1:11">
      <c r="B68" s="6"/>
      <c r="D68" s="42" t="s">
        <v>147</v>
      </c>
      <c r="E68" s="43">
        <v>99</v>
      </c>
      <c r="F68" s="6"/>
      <c r="G68" s="6"/>
      <c r="H68" s="6"/>
      <c r="I68" s="6"/>
      <c r="J68" s="6"/>
      <c r="K68" s="6"/>
    </row>
    <row r="69" spans="1:11">
      <c r="B69" s="6"/>
      <c r="C69" s="1" t="s">
        <v>146</v>
      </c>
      <c r="D69" s="42" t="s">
        <v>150</v>
      </c>
      <c r="E69" s="46" t="s">
        <v>165</v>
      </c>
      <c r="F69" s="6"/>
      <c r="G69" s="6"/>
      <c r="H69" s="6"/>
      <c r="I69" s="6"/>
      <c r="J69" s="6"/>
      <c r="K69" s="6"/>
    </row>
    <row r="70" spans="1:11">
      <c r="C70" s="42" t="s">
        <v>149</v>
      </c>
      <c r="D70" s="2"/>
      <c r="E70" s="47"/>
    </row>
    <row r="71" spans="1:11">
      <c r="D71" s="2"/>
      <c r="E71" s="8"/>
    </row>
    <row r="73" spans="1:11">
      <c r="C73" s="48" t="s">
        <v>268</v>
      </c>
    </row>
    <row r="74" spans="1:11">
      <c r="A74" s="7">
        <v>1</v>
      </c>
      <c r="B74" s="6" t="s">
        <v>193</v>
      </c>
      <c r="C74" s="597" t="s">
        <v>197</v>
      </c>
    </row>
    <row r="75" spans="1:11">
      <c r="A75" s="7">
        <v>2</v>
      </c>
      <c r="B75" s="10"/>
      <c r="C75" s="1" t="s">
        <v>198</v>
      </c>
    </row>
    <row r="76" spans="1:11">
      <c r="A76" s="7">
        <v>3</v>
      </c>
      <c r="B76" s="10"/>
      <c r="C76" s="597" t="s">
        <v>199</v>
      </c>
    </row>
    <row r="77" spans="1:11">
      <c r="A77" s="7">
        <v>4</v>
      </c>
      <c r="B77" s="10"/>
      <c r="C77" s="597" t="s">
        <v>200</v>
      </c>
    </row>
    <row r="78" spans="1:11">
      <c r="A78" s="7">
        <v>5</v>
      </c>
      <c r="B78" s="10"/>
      <c r="C78" s="1" t="s">
        <v>201</v>
      </c>
    </row>
    <row r="79" spans="1:11">
      <c r="A79" s="7">
        <v>6</v>
      </c>
      <c r="B79" s="10"/>
      <c r="C79" s="1" t="s">
        <v>202</v>
      </c>
    </row>
    <row r="80" spans="1:11">
      <c r="A80" s="7">
        <v>7</v>
      </c>
      <c r="B80" s="10"/>
      <c r="C80" s="1" t="s">
        <v>203</v>
      </c>
    </row>
    <row r="81" spans="1:3">
      <c r="A81" s="7">
        <v>8</v>
      </c>
      <c r="B81" s="10"/>
      <c r="C81" s="1" t="s">
        <v>204</v>
      </c>
    </row>
    <row r="82" spans="1:3">
      <c r="A82" s="7">
        <v>9</v>
      </c>
      <c r="B82" s="10"/>
      <c r="C82" s="1" t="s">
        <v>205</v>
      </c>
    </row>
    <row r="83" spans="1:3">
      <c r="A83" s="7">
        <v>10</v>
      </c>
      <c r="B83" s="10"/>
      <c r="C83" s="1" t="s">
        <v>206</v>
      </c>
    </row>
    <row r="84" spans="1:3">
      <c r="A84" s="7">
        <v>11</v>
      </c>
      <c r="B84" s="10"/>
      <c r="C84" s="1" t="s">
        <v>207</v>
      </c>
    </row>
    <row r="85" spans="1:3">
      <c r="A85" s="7">
        <v>12</v>
      </c>
      <c r="B85" s="6" t="s">
        <v>194</v>
      </c>
      <c r="C85" s="1" t="s">
        <v>208</v>
      </c>
    </row>
    <row r="86" spans="1:3">
      <c r="A86" s="7">
        <v>13</v>
      </c>
      <c r="B86" s="10"/>
      <c r="C86" s="1" t="s">
        <v>209</v>
      </c>
    </row>
    <row r="87" spans="1:3">
      <c r="A87" s="7">
        <v>14</v>
      </c>
      <c r="B87" s="10"/>
      <c r="C87" s="1" t="s">
        <v>210</v>
      </c>
    </row>
    <row r="88" spans="1:3">
      <c r="A88" s="7">
        <v>15</v>
      </c>
      <c r="B88" s="10"/>
      <c r="C88" s="1" t="s">
        <v>211</v>
      </c>
    </row>
    <row r="89" spans="1:3">
      <c r="A89" s="7">
        <v>16</v>
      </c>
      <c r="B89" s="10"/>
      <c r="C89" s="1" t="s">
        <v>212</v>
      </c>
    </row>
    <row r="90" spans="1:3">
      <c r="A90" s="7">
        <v>17</v>
      </c>
      <c r="B90" s="10"/>
      <c r="C90" s="1" t="s">
        <v>213</v>
      </c>
    </row>
    <row r="91" spans="1:3">
      <c r="A91" s="7">
        <v>18</v>
      </c>
      <c r="B91" s="6" t="s">
        <v>195</v>
      </c>
      <c r="C91" s="1" t="s">
        <v>214</v>
      </c>
    </row>
    <row r="92" spans="1:3">
      <c r="A92" s="7">
        <v>19</v>
      </c>
      <c r="B92" s="10"/>
      <c r="C92" s="1" t="s">
        <v>215</v>
      </c>
    </row>
    <row r="93" spans="1:3">
      <c r="A93" s="7">
        <v>20</v>
      </c>
      <c r="B93" s="6" t="s">
        <v>196</v>
      </c>
      <c r="C93" s="1" t="s">
        <v>216</v>
      </c>
    </row>
    <row r="94" spans="1:3">
      <c r="A94" s="7">
        <v>21</v>
      </c>
      <c r="B94" s="10"/>
      <c r="C94" s="1" t="s">
        <v>217</v>
      </c>
    </row>
    <row r="95" spans="1:3">
      <c r="A95" s="7">
        <v>22</v>
      </c>
      <c r="B95" s="6" t="s">
        <v>225</v>
      </c>
      <c r="C95" s="1" t="s">
        <v>218</v>
      </c>
    </row>
    <row r="96" spans="1:3">
      <c r="A96" s="7">
        <v>23</v>
      </c>
      <c r="B96" s="6"/>
      <c r="C96" s="1" t="s">
        <v>219</v>
      </c>
    </row>
    <row r="97" spans="1:3">
      <c r="A97" s="7">
        <v>24</v>
      </c>
      <c r="B97" s="6"/>
      <c r="C97" s="1" t="s">
        <v>171</v>
      </c>
    </row>
    <row r="98" spans="1:3">
      <c r="A98" s="7">
        <v>25</v>
      </c>
      <c r="B98" s="6"/>
      <c r="C98" s="1" t="s">
        <v>11</v>
      </c>
    </row>
    <row r="99" spans="1:3">
      <c r="A99" s="7">
        <v>26</v>
      </c>
      <c r="B99" s="6"/>
      <c r="C99" s="1" t="s">
        <v>220</v>
      </c>
    </row>
    <row r="100" spans="1:3">
      <c r="A100" s="7">
        <v>27</v>
      </c>
      <c r="B100" s="6"/>
      <c r="C100" s="1" t="s">
        <v>365</v>
      </c>
    </row>
    <row r="101" spans="1:3">
      <c r="A101" s="7">
        <v>28</v>
      </c>
      <c r="B101" s="1"/>
      <c r="C101" s="1" t="s">
        <v>366</v>
      </c>
    </row>
    <row r="102" spans="1:3">
      <c r="A102" s="7">
        <v>29</v>
      </c>
      <c r="B102" s="1"/>
      <c r="C102" s="1" t="s">
        <v>187</v>
      </c>
    </row>
    <row r="103" spans="1:3">
      <c r="A103" s="7">
        <v>30</v>
      </c>
      <c r="B103" s="1"/>
      <c r="C103" s="1" t="s">
        <v>222</v>
      </c>
    </row>
    <row r="104" spans="1:3">
      <c r="A104" s="7">
        <v>31</v>
      </c>
      <c r="B104" s="1"/>
      <c r="C104" s="1" t="s">
        <v>224</v>
      </c>
    </row>
    <row r="105" spans="1:3">
      <c r="A105" s="7">
        <v>32</v>
      </c>
      <c r="B105" s="1"/>
      <c r="C105" s="1" t="s">
        <v>223</v>
      </c>
    </row>
    <row r="106" spans="1:3">
      <c r="A106" s="7">
        <v>33</v>
      </c>
      <c r="B106" s="1"/>
      <c r="C106" s="1" t="s">
        <v>221</v>
      </c>
    </row>
    <row r="107" spans="1:3">
      <c r="B107" s="1"/>
      <c r="C107" s="6"/>
    </row>
    <row r="108" spans="1:3">
      <c r="B108" s="1"/>
    </row>
    <row r="109" spans="1:3">
      <c r="B109" s="1"/>
    </row>
    <row r="110" spans="1:3">
      <c r="B110" s="1"/>
    </row>
    <row r="111" spans="1:3">
      <c r="B111" s="1"/>
    </row>
    <row r="113" spans="2:3">
      <c r="B113" s="6" t="s">
        <v>269</v>
      </c>
      <c r="C113" s="1" t="s">
        <v>241</v>
      </c>
    </row>
    <row r="114" spans="2:3">
      <c r="B114" s="6"/>
      <c r="C114" s="1" t="s">
        <v>212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44"/>
  <sheetViews>
    <sheetView workbookViewId="0">
      <selection activeCell="F28" sqref="F28"/>
    </sheetView>
  </sheetViews>
  <sheetFormatPr baseColWidth="10" defaultColWidth="11" defaultRowHeight="15"/>
  <cols>
    <col min="1" max="3" width="11" style="151"/>
    <col min="4" max="4" width="14.875" style="151" customWidth="1"/>
    <col min="5" max="5" width="19.875" style="151" bestFit="1" customWidth="1"/>
    <col min="6" max="16384" width="11" style="151"/>
  </cols>
  <sheetData>
    <row r="1" spans="1:12" ht="16.5" thickBot="1">
      <c r="A1" s="150" t="s">
        <v>423</v>
      </c>
      <c r="J1" s="150" t="s">
        <v>424</v>
      </c>
    </row>
    <row r="2" spans="1:12" ht="15.75" thickBot="1">
      <c r="A2" s="152" t="s">
        <v>425</v>
      </c>
      <c r="B2" s="153" t="s">
        <v>426</v>
      </c>
      <c r="C2" s="153" t="s">
        <v>427</v>
      </c>
      <c r="D2" s="153" t="s">
        <v>428</v>
      </c>
      <c r="E2" s="153" t="s">
        <v>429</v>
      </c>
      <c r="F2" s="154" t="s">
        <v>430</v>
      </c>
      <c r="G2" s="155" t="s">
        <v>431</v>
      </c>
      <c r="H2" s="155" t="s">
        <v>432</v>
      </c>
      <c r="J2" s="156" t="s">
        <v>433</v>
      </c>
      <c r="K2" s="157" t="s">
        <v>434</v>
      </c>
      <c r="L2" s="157" t="s">
        <v>435</v>
      </c>
    </row>
    <row r="3" spans="1:12">
      <c r="A3" s="158" t="s">
        <v>436</v>
      </c>
      <c r="B3" s="159">
        <v>1</v>
      </c>
      <c r="C3" s="160" t="s">
        <v>437</v>
      </c>
      <c r="D3" s="159" t="s">
        <v>438</v>
      </c>
      <c r="E3" s="159" t="s">
        <v>439</v>
      </c>
      <c r="F3" s="161" t="s">
        <v>440</v>
      </c>
      <c r="G3" s="162"/>
      <c r="H3" s="162"/>
      <c r="J3" s="163" t="s">
        <v>441</v>
      </c>
      <c r="K3" s="164">
        <v>0.4047</v>
      </c>
      <c r="L3" s="165" t="s">
        <v>442</v>
      </c>
    </row>
    <row r="4" spans="1:12">
      <c r="A4" s="158" t="s">
        <v>443</v>
      </c>
      <c r="B4" s="166">
        <v>3600000</v>
      </c>
      <c r="C4" s="159">
        <v>1</v>
      </c>
      <c r="D4" s="166">
        <v>3413</v>
      </c>
      <c r="E4" s="159">
        <v>860</v>
      </c>
      <c r="F4" s="161" t="s">
        <v>444</v>
      </c>
      <c r="G4" s="162"/>
      <c r="H4" s="162"/>
      <c r="J4" s="163" t="s">
        <v>445</v>
      </c>
      <c r="K4" s="167">
        <v>8760</v>
      </c>
      <c r="L4" s="165" t="s">
        <v>446</v>
      </c>
    </row>
    <row r="5" spans="1:12">
      <c r="A5" s="158" t="s">
        <v>447</v>
      </c>
      <c r="B5" s="168">
        <v>1054.79</v>
      </c>
      <c r="C5" s="159" t="s">
        <v>448</v>
      </c>
      <c r="D5" s="159">
        <v>1</v>
      </c>
      <c r="E5" s="159">
        <v>0.252</v>
      </c>
      <c r="F5" s="161" t="s">
        <v>449</v>
      </c>
      <c r="G5" s="162"/>
      <c r="H5" s="162"/>
      <c r="J5" s="163" t="s">
        <v>450</v>
      </c>
      <c r="K5" s="164">
        <v>1.0333000000000001</v>
      </c>
      <c r="L5" s="165" t="s">
        <v>451</v>
      </c>
    </row>
    <row r="6" spans="1:12">
      <c r="A6" s="158" t="s">
        <v>452</v>
      </c>
      <c r="B6" s="168">
        <v>4186.05</v>
      </c>
      <c r="C6" s="159" t="s">
        <v>453</v>
      </c>
      <c r="D6" s="159">
        <v>3.9685999999999999</v>
      </c>
      <c r="E6" s="159">
        <v>1</v>
      </c>
      <c r="F6" s="161" t="s">
        <v>454</v>
      </c>
      <c r="G6" s="162"/>
      <c r="H6" s="162"/>
      <c r="J6" s="163" t="s">
        <v>450</v>
      </c>
      <c r="K6" s="164">
        <v>14.7</v>
      </c>
      <c r="L6" s="165" t="s">
        <v>455</v>
      </c>
    </row>
    <row r="7" spans="1:12" ht="15.75" thickBot="1">
      <c r="A7" s="169" t="s">
        <v>456</v>
      </c>
      <c r="B7" s="170" t="s">
        <v>457</v>
      </c>
      <c r="C7" s="171">
        <v>24000</v>
      </c>
      <c r="D7" s="170" t="s">
        <v>458</v>
      </c>
      <c r="E7" s="170" t="s">
        <v>459</v>
      </c>
      <c r="F7" s="172">
        <v>1</v>
      </c>
      <c r="G7" s="162"/>
      <c r="H7" s="162"/>
      <c r="J7" s="163" t="s">
        <v>460</v>
      </c>
      <c r="K7" s="164">
        <v>0.9869</v>
      </c>
      <c r="L7" s="165" t="s">
        <v>450</v>
      </c>
    </row>
    <row r="8" spans="1:12">
      <c r="A8" s="158" t="s">
        <v>461</v>
      </c>
      <c r="B8" s="173"/>
      <c r="C8" s="173"/>
      <c r="D8" s="173"/>
      <c r="E8" s="173"/>
      <c r="F8" s="173"/>
      <c r="G8" s="173">
        <v>0.27777777780000001</v>
      </c>
      <c r="H8" s="173">
        <v>948451.38280892</v>
      </c>
      <c r="J8" s="163" t="s">
        <v>460</v>
      </c>
      <c r="K8" s="164">
        <v>14.5</v>
      </c>
      <c r="L8" s="165" t="s">
        <v>455</v>
      </c>
    </row>
    <row r="9" spans="1:12">
      <c r="J9" s="163" t="s">
        <v>460</v>
      </c>
      <c r="K9" s="164">
        <v>1.0197000000000001</v>
      </c>
      <c r="L9" s="165" t="s">
        <v>451</v>
      </c>
    </row>
    <row r="10" spans="1:12">
      <c r="A10" s="173"/>
      <c r="B10" s="173" t="s">
        <v>462</v>
      </c>
      <c r="D10" s="151" t="s">
        <v>517</v>
      </c>
      <c r="E10" s="180" t="s">
        <v>518</v>
      </c>
      <c r="F10" s="151" t="s">
        <v>519</v>
      </c>
      <c r="J10" s="163" t="s">
        <v>463</v>
      </c>
      <c r="K10" s="164">
        <v>42</v>
      </c>
      <c r="L10" s="165" t="s">
        <v>464</v>
      </c>
    </row>
    <row r="11" spans="1:12">
      <c r="A11" s="174" t="s">
        <v>465</v>
      </c>
      <c r="B11" s="180">
        <v>1000</v>
      </c>
      <c r="D11" s="151" t="s">
        <v>524</v>
      </c>
      <c r="E11" s="180">
        <v>1000000</v>
      </c>
      <c r="F11" s="151" t="s">
        <v>519</v>
      </c>
      <c r="J11" s="163" t="s">
        <v>463</v>
      </c>
      <c r="K11" s="164">
        <v>158.98699999999999</v>
      </c>
      <c r="L11" s="165" t="s">
        <v>466</v>
      </c>
    </row>
    <row r="12" spans="1:12">
      <c r="A12" s="174" t="s">
        <v>467</v>
      </c>
      <c r="B12" s="180">
        <v>1000000</v>
      </c>
      <c r="D12" s="151" t="s">
        <v>520</v>
      </c>
      <c r="E12" s="180">
        <v>1000000000</v>
      </c>
      <c r="F12" s="151" t="s">
        <v>519</v>
      </c>
      <c r="J12" s="163" t="s">
        <v>463</v>
      </c>
      <c r="K12" s="164">
        <v>0.15898699999999999</v>
      </c>
      <c r="L12" s="165" t="s">
        <v>468</v>
      </c>
    </row>
    <row r="13" spans="1:12">
      <c r="A13" s="174" t="s">
        <v>469</v>
      </c>
      <c r="B13" s="180">
        <v>1000000000</v>
      </c>
      <c r="D13" s="151" t="s">
        <v>523</v>
      </c>
      <c r="E13" s="180">
        <v>1000000000000</v>
      </c>
      <c r="F13" s="151" t="s">
        <v>519</v>
      </c>
      <c r="J13" s="163" t="s">
        <v>470</v>
      </c>
      <c r="K13" s="164">
        <v>0.21390000000000001</v>
      </c>
      <c r="L13" s="165" t="s">
        <v>471</v>
      </c>
    </row>
    <row r="14" spans="1:12">
      <c r="D14" s="151" t="s">
        <v>521</v>
      </c>
      <c r="E14" s="180">
        <v>1000000000000000</v>
      </c>
      <c r="F14" s="151" t="s">
        <v>519</v>
      </c>
      <c r="J14" s="163" t="s">
        <v>472</v>
      </c>
      <c r="K14" s="164">
        <v>0.33789999999999998</v>
      </c>
      <c r="L14" s="165" t="s">
        <v>473</v>
      </c>
    </row>
    <row r="15" spans="1:12">
      <c r="D15" s="151" t="s">
        <v>522</v>
      </c>
      <c r="E15" s="180">
        <v>1E+18</v>
      </c>
      <c r="F15" s="151" t="s">
        <v>519</v>
      </c>
      <c r="J15" s="163" t="s">
        <v>472</v>
      </c>
      <c r="K15" s="164">
        <v>1.4148000000000001</v>
      </c>
      <c r="L15" s="165" t="s">
        <v>474</v>
      </c>
    </row>
    <row r="16" spans="1:12">
      <c r="A16" s="151">
        <v>2013</v>
      </c>
      <c r="B16" s="151" t="s">
        <v>475</v>
      </c>
      <c r="J16" s="163" t="s">
        <v>476</v>
      </c>
      <c r="K16" s="164">
        <v>0.25197999999999998</v>
      </c>
      <c r="L16" s="165" t="s">
        <v>473</v>
      </c>
    </row>
    <row r="17" spans="1:12">
      <c r="A17" s="174" t="s">
        <v>477</v>
      </c>
      <c r="B17" s="151">
        <v>13</v>
      </c>
      <c r="J17" s="163" t="s">
        <v>476</v>
      </c>
      <c r="K17" s="164">
        <v>1.0548</v>
      </c>
      <c r="L17" s="165" t="s">
        <v>474</v>
      </c>
    </row>
    <row r="18" spans="1:12">
      <c r="J18" s="163" t="s">
        <v>478</v>
      </c>
      <c r="K18" s="164">
        <v>0.55549999999999999</v>
      </c>
      <c r="L18" s="165" t="s">
        <v>479</v>
      </c>
    </row>
    <row r="19" spans="1:12">
      <c r="J19" s="163" t="s">
        <v>478</v>
      </c>
      <c r="K19" s="164">
        <v>2.3256000000000001</v>
      </c>
      <c r="L19" s="165" t="s">
        <v>480</v>
      </c>
    </row>
    <row r="20" spans="1:12" ht="25.5">
      <c r="A20" s="289" t="s">
        <v>512</v>
      </c>
      <c r="J20" s="163" t="s">
        <v>481</v>
      </c>
      <c r="K20" s="164" t="s">
        <v>482</v>
      </c>
      <c r="L20" s="165" t="s">
        <v>483</v>
      </c>
    </row>
    <row r="21" spans="1:12">
      <c r="J21" s="163" t="s">
        <v>481</v>
      </c>
      <c r="K21" s="164" t="s">
        <v>484</v>
      </c>
      <c r="L21" s="165" t="s">
        <v>485</v>
      </c>
    </row>
    <row r="22" spans="1:12">
      <c r="A22" s="151" t="s">
        <v>513</v>
      </c>
      <c r="B22" s="151" t="s">
        <v>514</v>
      </c>
      <c r="C22" s="151" t="s">
        <v>515</v>
      </c>
      <c r="D22" s="151" t="s">
        <v>516</v>
      </c>
      <c r="J22" s="163" t="s">
        <v>486</v>
      </c>
      <c r="K22" s="164">
        <v>3.785412</v>
      </c>
      <c r="L22" s="165" t="s">
        <v>466</v>
      </c>
    </row>
    <row r="23" spans="1:12">
      <c r="A23" s="151">
        <v>1</v>
      </c>
      <c r="B23" s="151">
        <v>37.938591099999996</v>
      </c>
      <c r="C23" s="151">
        <v>35958.846100000002</v>
      </c>
      <c r="D23" s="151">
        <v>6.2898099999999998E-3</v>
      </c>
      <c r="J23" s="163" t="s">
        <v>487</v>
      </c>
      <c r="K23" s="164">
        <v>0.74570000000000003</v>
      </c>
      <c r="L23" s="165" t="s">
        <v>488</v>
      </c>
    </row>
    <row r="24" spans="1:12" ht="25.5">
      <c r="J24" s="163" t="s">
        <v>489</v>
      </c>
      <c r="K24" s="164" t="s">
        <v>490</v>
      </c>
      <c r="L24" s="165" t="s">
        <v>451</v>
      </c>
    </row>
    <row r="25" spans="1:12" ht="25.5">
      <c r="J25" s="175" t="s">
        <v>491</v>
      </c>
      <c r="K25" s="164" t="s">
        <v>492</v>
      </c>
      <c r="L25" s="165" t="s">
        <v>451</v>
      </c>
    </row>
    <row r="26" spans="1:12" ht="25.5">
      <c r="J26" s="175" t="s">
        <v>491</v>
      </c>
      <c r="K26" s="164" t="s">
        <v>493</v>
      </c>
      <c r="L26" s="165" t="s">
        <v>455</v>
      </c>
    </row>
    <row r="27" spans="1:12">
      <c r="J27" s="163" t="s">
        <v>494</v>
      </c>
      <c r="K27" s="164">
        <v>2.2046000000000001</v>
      </c>
      <c r="L27" s="165" t="s">
        <v>495</v>
      </c>
    </row>
    <row r="28" spans="1:12" ht="25.5">
      <c r="J28" s="163" t="s">
        <v>494</v>
      </c>
      <c r="K28" s="164" t="s">
        <v>496</v>
      </c>
      <c r="L28" s="165" t="s">
        <v>497</v>
      </c>
    </row>
    <row r="29" spans="1:12" ht="25.5">
      <c r="J29" s="163" t="s">
        <v>494</v>
      </c>
      <c r="K29" s="164" t="s">
        <v>498</v>
      </c>
      <c r="L29" s="165" t="s">
        <v>499</v>
      </c>
    </row>
    <row r="30" spans="1:12">
      <c r="J30" s="163" t="s">
        <v>500</v>
      </c>
      <c r="K30" s="164">
        <v>0.45358999999999999</v>
      </c>
      <c r="L30" s="165" t="s">
        <v>501</v>
      </c>
    </row>
    <row r="31" spans="1:12">
      <c r="J31" s="163" t="s">
        <v>466</v>
      </c>
      <c r="K31" s="164">
        <v>0.26419999999999999</v>
      </c>
      <c r="L31" s="165" t="s">
        <v>464</v>
      </c>
    </row>
    <row r="32" spans="1:12">
      <c r="J32" s="163" t="s">
        <v>466</v>
      </c>
      <c r="K32" s="164">
        <v>3.5310000000000001E-2</v>
      </c>
      <c r="L32" s="165" t="s">
        <v>502</v>
      </c>
    </row>
    <row r="33" spans="10:12">
      <c r="J33" s="163" t="s">
        <v>503</v>
      </c>
      <c r="K33" s="167">
        <v>1000</v>
      </c>
      <c r="L33" s="165" t="s">
        <v>466</v>
      </c>
    </row>
    <row r="34" spans="10:12">
      <c r="J34" s="163" t="s">
        <v>502</v>
      </c>
      <c r="K34" s="164">
        <v>2.8316999999999998E-2</v>
      </c>
      <c r="L34" s="165" t="s">
        <v>468</v>
      </c>
    </row>
    <row r="35" spans="10:12" ht="25.5">
      <c r="J35" s="163" t="s">
        <v>504</v>
      </c>
      <c r="K35" s="164">
        <v>907.18499999999995</v>
      </c>
      <c r="L35" s="165" t="s">
        <v>501</v>
      </c>
    </row>
    <row r="36" spans="10:12" ht="25.5">
      <c r="J36" s="163" t="s">
        <v>505</v>
      </c>
      <c r="K36" s="176">
        <v>1016.06</v>
      </c>
      <c r="L36" s="165" t="s">
        <v>501</v>
      </c>
    </row>
    <row r="37" spans="10:12" ht="38.25">
      <c r="J37" s="163" t="s">
        <v>506</v>
      </c>
      <c r="K37" s="164">
        <v>8.1410000000000007E-3</v>
      </c>
      <c r="L37" s="165" t="s">
        <v>507</v>
      </c>
    </row>
    <row r="38" spans="10:12" ht="25.5">
      <c r="J38" s="163" t="s">
        <v>508</v>
      </c>
      <c r="K38" s="164">
        <v>1.163E-2</v>
      </c>
      <c r="L38" s="165" t="s">
        <v>507</v>
      </c>
    </row>
    <row r="39" spans="10:12">
      <c r="J39" s="163" t="s">
        <v>426</v>
      </c>
      <c r="K39" s="164" t="s">
        <v>509</v>
      </c>
      <c r="L39" s="165" t="s">
        <v>427</v>
      </c>
    </row>
    <row r="40" spans="10:12">
      <c r="J40" s="163" t="s">
        <v>426</v>
      </c>
      <c r="K40" s="164" t="s">
        <v>510</v>
      </c>
      <c r="L40" s="165" t="s">
        <v>428</v>
      </c>
    </row>
    <row r="41" spans="10:12">
      <c r="J41" s="163" t="s">
        <v>426</v>
      </c>
      <c r="K41" s="164" t="s">
        <v>511</v>
      </c>
      <c r="L41" s="165" t="s">
        <v>429</v>
      </c>
    </row>
    <row r="42" spans="10:12">
      <c r="J42" s="163" t="s">
        <v>427</v>
      </c>
      <c r="K42" s="164">
        <v>3413</v>
      </c>
      <c r="L42" s="165" t="s">
        <v>428</v>
      </c>
    </row>
    <row r="43" spans="10:12">
      <c r="J43" s="163" t="s">
        <v>427</v>
      </c>
      <c r="K43" s="164">
        <v>860</v>
      </c>
      <c r="L43" s="165" t="s">
        <v>429</v>
      </c>
    </row>
    <row r="44" spans="10:12" ht="15.75" thickBot="1">
      <c r="J44" s="177" t="s">
        <v>428</v>
      </c>
      <c r="K44" s="178">
        <v>0.252</v>
      </c>
      <c r="L44" s="179" t="s">
        <v>429</v>
      </c>
    </row>
  </sheetData>
  <hyperlinks>
    <hyperlink ref="A2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M69"/>
  <sheetViews>
    <sheetView zoomScaleNormal="100" workbookViewId="0">
      <selection activeCell="Q80" sqref="Q80"/>
    </sheetView>
  </sheetViews>
  <sheetFormatPr baseColWidth="10" defaultColWidth="9.5" defaultRowHeight="12.75"/>
  <cols>
    <col min="1" max="1" width="40.625" style="449" customWidth="1"/>
    <col min="2" max="256" width="7.625" style="449" customWidth="1"/>
    <col min="257" max="16384" width="9.5" style="449"/>
  </cols>
  <sheetData>
    <row r="1" spans="1:12">
      <c r="A1" s="448" t="s">
        <v>589</v>
      </c>
    </row>
    <row r="2" spans="1:12">
      <c r="A2" s="448" t="s">
        <v>590</v>
      </c>
    </row>
    <row r="3" spans="1:12">
      <c r="A3" s="448" t="s">
        <v>591</v>
      </c>
    </row>
    <row r="4" spans="1:12">
      <c r="A4" s="448" t="s">
        <v>853</v>
      </c>
    </row>
    <row r="5" spans="1:12">
      <c r="A5" s="449" t="s">
        <v>854</v>
      </c>
    </row>
    <row r="7" spans="1:12">
      <c r="B7" s="448" t="s">
        <v>594</v>
      </c>
      <c r="C7" s="448" t="s">
        <v>855</v>
      </c>
      <c r="D7" s="448" t="s">
        <v>855</v>
      </c>
      <c r="E7" s="448" t="s">
        <v>855</v>
      </c>
      <c r="F7" s="448" t="s">
        <v>855</v>
      </c>
      <c r="G7" s="448" t="s">
        <v>855</v>
      </c>
      <c r="H7" s="448" t="s">
        <v>855</v>
      </c>
      <c r="I7" s="448" t="s">
        <v>855</v>
      </c>
      <c r="J7" s="448" t="s">
        <v>855</v>
      </c>
    </row>
    <row r="8" spans="1:12">
      <c r="B8" s="448" t="s">
        <v>856</v>
      </c>
      <c r="C8" s="448" t="s">
        <v>857</v>
      </c>
      <c r="D8" s="448" t="s">
        <v>858</v>
      </c>
      <c r="E8" s="448" t="s">
        <v>859</v>
      </c>
      <c r="F8" s="448" t="s">
        <v>860</v>
      </c>
      <c r="G8" s="448" t="s">
        <v>861</v>
      </c>
      <c r="H8" s="448" t="s">
        <v>862</v>
      </c>
      <c r="I8" s="448" t="s">
        <v>863</v>
      </c>
      <c r="J8" s="448" t="s">
        <v>864</v>
      </c>
    </row>
    <row r="9" spans="1:12">
      <c r="A9" s="449" t="s">
        <v>855</v>
      </c>
    </row>
    <row r="10" spans="1:12">
      <c r="A10" s="448" t="s">
        <v>865</v>
      </c>
      <c r="B10" s="450">
        <v>269.29972243766201</v>
      </c>
      <c r="C10" s="450">
        <v>267.75388910309198</v>
      </c>
      <c r="D10" s="450">
        <v>275.56750022045395</v>
      </c>
      <c r="E10" s="450">
        <v>292.14305578926997</v>
      </c>
      <c r="F10" s="450">
        <v>296.39583357045001</v>
      </c>
      <c r="G10" s="450">
        <v>297.11805579324999</v>
      </c>
      <c r="H10" s="450">
        <v>303.31583357598595</v>
      </c>
      <c r="I10" s="450">
        <v>310.349722470502</v>
      </c>
      <c r="J10" s="450">
        <v>320.34472247849794</v>
      </c>
      <c r="K10" s="451">
        <f>SUM(J11:J14)</f>
        <v>320.34472247849794</v>
      </c>
      <c r="L10" s="449" t="s">
        <v>866</v>
      </c>
    </row>
    <row r="11" spans="1:12">
      <c r="A11" s="449" t="s">
        <v>867</v>
      </c>
      <c r="B11" s="451">
        <v>159.86500012789199</v>
      </c>
      <c r="C11" s="451">
        <v>156.97500012557998</v>
      </c>
      <c r="D11" s="451">
        <v>162.80750013024598</v>
      </c>
      <c r="E11" s="451">
        <v>174.21166680603599</v>
      </c>
      <c r="F11" s="451">
        <v>179.02166680988398</v>
      </c>
      <c r="G11" s="451">
        <v>172.76722236043599</v>
      </c>
      <c r="H11" s="451">
        <v>172.54138902692199</v>
      </c>
      <c r="I11" s="451">
        <v>171.98416680425399</v>
      </c>
      <c r="J11" s="451">
        <v>174.71805569532998</v>
      </c>
    </row>
    <row r="12" spans="1:12">
      <c r="A12" s="449" t="s">
        <v>868</v>
      </c>
      <c r="B12" s="451">
        <v>76.00694450524999</v>
      </c>
      <c r="C12" s="451">
        <v>78.131111173615992</v>
      </c>
      <c r="D12" s="451">
        <v>79.728888952671994</v>
      </c>
      <c r="E12" s="451">
        <v>85.195555623711996</v>
      </c>
      <c r="F12" s="451">
        <v>83.219444511019987</v>
      </c>
      <c r="G12" s="451">
        <v>85.845555624231991</v>
      </c>
      <c r="H12" s="451">
        <v>87.596388958965989</v>
      </c>
      <c r="I12" s="451">
        <v>90.491111183503989</v>
      </c>
      <c r="J12" s="451">
        <v>90.32944451670798</v>
      </c>
    </row>
    <row r="13" spans="1:12">
      <c r="A13" s="449" t="s">
        <v>869</v>
      </c>
      <c r="B13" s="451">
        <v>33.427777804519998</v>
      </c>
      <c r="C13" s="451">
        <v>32.647777803895998</v>
      </c>
      <c r="D13" s="451">
        <v>33.031111137536001</v>
      </c>
      <c r="E13" s="451">
        <v>32.735833359521997</v>
      </c>
      <c r="F13" s="451">
        <v>34.154722249545998</v>
      </c>
      <c r="G13" s="451">
        <v>38.505277808581994</v>
      </c>
      <c r="H13" s="451">
        <v>43.178055590097998</v>
      </c>
      <c r="I13" s="451">
        <v>47.874444482743996</v>
      </c>
      <c r="J13" s="451">
        <v>54.393333376847998</v>
      </c>
    </row>
    <row r="14" spans="1:12">
      <c r="A14" s="449" t="s">
        <v>870</v>
      </c>
      <c r="B14" s="451" t="s">
        <v>228</v>
      </c>
      <c r="C14" s="451" t="s">
        <v>228</v>
      </c>
      <c r="D14" s="451" t="s">
        <v>228</v>
      </c>
      <c r="E14" s="451" t="s">
        <v>228</v>
      </c>
      <c r="F14" s="451" t="s">
        <v>228</v>
      </c>
      <c r="G14" s="451" t="s">
        <v>228</v>
      </c>
      <c r="H14" s="451" t="s">
        <v>228</v>
      </c>
      <c r="I14" s="451" t="s">
        <v>228</v>
      </c>
      <c r="J14" s="451">
        <v>0.90388888961199987</v>
      </c>
    </row>
    <row r="15" spans="1:12">
      <c r="A15" s="449" t="s">
        <v>871</v>
      </c>
      <c r="B15" s="451">
        <v>0.39583333364999995</v>
      </c>
      <c r="C15" s="451">
        <v>0.38555555586399992</v>
      </c>
      <c r="D15" s="451">
        <v>0.43638888923799996</v>
      </c>
      <c r="E15" s="451">
        <v>0.65527777830199996</v>
      </c>
      <c r="F15" s="451">
        <v>2.342222224096</v>
      </c>
      <c r="G15" s="451">
        <v>1.650555556876</v>
      </c>
      <c r="H15" s="451">
        <v>2.5391666686979999</v>
      </c>
      <c r="I15" s="451">
        <v>2.4430555575099997</v>
      </c>
      <c r="J15" s="451">
        <v>3.4619444472139995</v>
      </c>
    </row>
    <row r="16" spans="1:12">
      <c r="A16" s="449" t="s">
        <v>843</v>
      </c>
      <c r="B16" s="451">
        <v>8.4011111178319986</v>
      </c>
      <c r="C16" s="451">
        <v>7.8391666729379992</v>
      </c>
      <c r="D16" s="451">
        <v>6.0611111159599993</v>
      </c>
      <c r="E16" s="451">
        <v>6.1813888938339998</v>
      </c>
      <c r="F16" s="451">
        <v>6.5816666719319992</v>
      </c>
      <c r="G16" s="451">
        <v>7.3555555614399992</v>
      </c>
      <c r="H16" s="451">
        <v>9.4036111186340001</v>
      </c>
      <c r="I16" s="451">
        <v>9.1602777851059987</v>
      </c>
      <c r="J16" s="451">
        <v>8.6122222291119996</v>
      </c>
    </row>
    <row r="17" spans="1:13">
      <c r="A17" s="449" t="s">
        <v>855</v>
      </c>
      <c r="B17" s="451"/>
      <c r="C17" s="451"/>
      <c r="D17" s="451"/>
      <c r="E17" s="451"/>
      <c r="F17" s="451"/>
      <c r="G17" s="451"/>
      <c r="H17" s="451"/>
      <c r="I17" s="451"/>
      <c r="J17" s="451"/>
    </row>
    <row r="18" spans="1:13">
      <c r="A18" s="448" t="s">
        <v>872</v>
      </c>
      <c r="B18" s="450">
        <v>261.29444465347996</v>
      </c>
      <c r="C18" s="450">
        <v>260.30027798601799</v>
      </c>
      <c r="D18" s="450">
        <v>269.94277799373197</v>
      </c>
      <c r="E18" s="450">
        <v>286.61694467373798</v>
      </c>
      <c r="F18" s="450">
        <v>292.15638912261403</v>
      </c>
      <c r="G18" s="450">
        <v>291.41305578868599</v>
      </c>
      <c r="H18" s="450">
        <v>296.45138912604995</v>
      </c>
      <c r="I18" s="450">
        <v>303.63250024290596</v>
      </c>
      <c r="J18" s="450">
        <v>315.19444469659999</v>
      </c>
      <c r="K18" s="451">
        <f>SUM(J11:J14)-J16+J15</f>
        <v>315.19444469659999</v>
      </c>
      <c r="L18" s="449" t="s">
        <v>873</v>
      </c>
    </row>
    <row r="19" spans="1:13">
      <c r="A19" s="449" t="s">
        <v>855</v>
      </c>
      <c r="B19" s="451"/>
      <c r="C19" s="451"/>
      <c r="D19" s="451"/>
      <c r="E19" s="451"/>
      <c r="F19" s="451"/>
      <c r="G19" s="451"/>
      <c r="H19" s="451"/>
      <c r="I19" s="451"/>
      <c r="J19" s="451"/>
    </row>
    <row r="20" spans="1:13">
      <c r="A20" s="448" t="s">
        <v>874</v>
      </c>
      <c r="B20" s="450" t="s">
        <v>228</v>
      </c>
      <c r="C20" s="450" t="s">
        <v>228</v>
      </c>
      <c r="D20" s="450" t="s">
        <v>228</v>
      </c>
      <c r="E20" s="450" t="s">
        <v>228</v>
      </c>
      <c r="F20" s="450" t="s">
        <v>228</v>
      </c>
      <c r="G20" s="450" t="s">
        <v>228</v>
      </c>
      <c r="H20" s="450" t="s">
        <v>228</v>
      </c>
      <c r="I20" s="450" t="s">
        <v>228</v>
      </c>
      <c r="J20" s="450" t="s">
        <v>228</v>
      </c>
    </row>
    <row r="21" spans="1:13">
      <c r="A21" s="449" t="s">
        <v>855</v>
      </c>
      <c r="B21" s="451"/>
      <c r="C21" s="451"/>
      <c r="D21" s="451"/>
      <c r="E21" s="451"/>
      <c r="F21" s="451"/>
      <c r="G21" s="451"/>
      <c r="H21" s="451"/>
      <c r="I21" s="451"/>
      <c r="J21" s="451"/>
    </row>
    <row r="22" spans="1:13">
      <c r="A22" s="448" t="s">
        <v>875</v>
      </c>
      <c r="B22" s="450">
        <v>261.29444465348001</v>
      </c>
      <c r="C22" s="450">
        <v>260.29972243046194</v>
      </c>
      <c r="D22" s="450">
        <v>269.94277799373197</v>
      </c>
      <c r="E22" s="450">
        <v>286.61694467373798</v>
      </c>
      <c r="F22" s="450">
        <v>292.15638912261397</v>
      </c>
      <c r="G22" s="450">
        <v>291.41277801090797</v>
      </c>
      <c r="H22" s="450">
        <v>296.45111134827198</v>
      </c>
      <c r="I22" s="450">
        <v>303.632222465128</v>
      </c>
      <c r="J22" s="450">
        <v>315.19472247437795</v>
      </c>
      <c r="L22" s="449">
        <f>(G24+G26)/G22</f>
        <v>0.19310047031415919</v>
      </c>
    </row>
    <row r="23" spans="1:13">
      <c r="A23" s="449" t="s">
        <v>855</v>
      </c>
      <c r="B23" s="451"/>
      <c r="C23" s="451"/>
      <c r="D23" s="451"/>
      <c r="E23" s="451"/>
      <c r="F23" s="451"/>
      <c r="G23" s="451"/>
      <c r="H23" s="451"/>
      <c r="I23" s="451"/>
      <c r="J23" s="451"/>
    </row>
    <row r="24" spans="1:13">
      <c r="A24" s="449" t="s">
        <v>876</v>
      </c>
      <c r="B24" s="451">
        <v>41.408888922015997</v>
      </c>
      <c r="C24" s="451">
        <v>42.451944478405998</v>
      </c>
      <c r="D24" s="451">
        <v>44.251944479845996</v>
      </c>
      <c r="E24" s="451">
        <v>45.601944480925994</v>
      </c>
      <c r="F24" s="451">
        <v>44.050000035239997</v>
      </c>
      <c r="G24" s="451">
        <v>42.520000034016</v>
      </c>
      <c r="H24" s="451">
        <v>41.321388921945996</v>
      </c>
      <c r="I24" s="451">
        <v>40.640000032511999</v>
      </c>
      <c r="J24" s="451">
        <v>40.378611143413998</v>
      </c>
    </row>
    <row r="25" spans="1:13">
      <c r="A25" s="449" t="s">
        <v>855</v>
      </c>
      <c r="B25" s="451"/>
      <c r="C25" s="451"/>
      <c r="D25" s="451"/>
      <c r="E25" s="451"/>
      <c r="F25" s="451"/>
      <c r="G25" s="451"/>
      <c r="H25" s="451"/>
      <c r="I25" s="451"/>
      <c r="J25" s="451"/>
    </row>
    <row r="26" spans="1:13">
      <c r="A26" s="449" t="s">
        <v>877</v>
      </c>
      <c r="B26" s="451">
        <v>12.649166676785999</v>
      </c>
      <c r="C26" s="451">
        <v>12.592500010073998</v>
      </c>
      <c r="D26" s="451">
        <v>12.916666676999998</v>
      </c>
      <c r="E26" s="451">
        <v>13.660277788705999</v>
      </c>
      <c r="F26" s="451">
        <v>14.800000011839998</v>
      </c>
      <c r="G26" s="451">
        <v>13.751944455445997</v>
      </c>
      <c r="H26" s="451">
        <v>13.933055566701999</v>
      </c>
      <c r="I26" s="451">
        <v>14.253611122514</v>
      </c>
      <c r="J26" s="451">
        <v>14.764166678478</v>
      </c>
    </row>
    <row r="27" spans="1:13">
      <c r="A27" s="449" t="s">
        <v>855</v>
      </c>
      <c r="B27" s="451"/>
      <c r="C27" s="451"/>
      <c r="D27" s="451"/>
      <c r="E27" s="451"/>
      <c r="F27" s="451"/>
      <c r="G27" s="451"/>
      <c r="H27" s="451"/>
      <c r="I27" s="451"/>
      <c r="J27" s="451"/>
      <c r="L27" s="449">
        <v>2016</v>
      </c>
      <c r="M27" s="449">
        <v>2013</v>
      </c>
    </row>
    <row r="28" spans="1:13">
      <c r="A28" s="449" t="s">
        <v>878</v>
      </c>
      <c r="B28" s="452">
        <v>207.236389054678</v>
      </c>
      <c r="C28" s="452">
        <v>205.25527794198197</v>
      </c>
      <c r="D28" s="452">
        <v>212.77416683688597</v>
      </c>
      <c r="E28" s="452">
        <v>227.35472240410598</v>
      </c>
      <c r="F28" s="452">
        <v>233.30638907553399</v>
      </c>
      <c r="G28" s="452">
        <v>235.14083352144596</v>
      </c>
      <c r="H28" s="452">
        <v>241.19666685962397</v>
      </c>
      <c r="I28" s="452">
        <v>248.73861131010196</v>
      </c>
      <c r="J28" s="452">
        <v>260.05194465248599</v>
      </c>
      <c r="L28" s="453">
        <f>J28/$J$28</f>
        <v>1</v>
      </c>
      <c r="M28" s="453">
        <f>G28/$G$28</f>
        <v>1</v>
      </c>
    </row>
    <row r="29" spans="1:13">
      <c r="A29" s="449" t="s">
        <v>855</v>
      </c>
      <c r="B29" s="451"/>
      <c r="C29" s="451"/>
      <c r="D29" s="451"/>
      <c r="E29" s="451"/>
      <c r="F29" s="451"/>
      <c r="G29" s="451"/>
      <c r="H29" s="451"/>
      <c r="I29" s="451"/>
      <c r="J29" s="451"/>
      <c r="L29" s="453"/>
      <c r="M29" s="453"/>
    </row>
    <row r="30" spans="1:13">
      <c r="A30" s="449" t="s">
        <v>879</v>
      </c>
      <c r="B30" s="451">
        <v>207.236389054678</v>
      </c>
      <c r="C30" s="451">
        <v>205.25527794198197</v>
      </c>
      <c r="D30" s="451">
        <v>212.77416683688597</v>
      </c>
      <c r="E30" s="451">
        <v>227.35472240410598</v>
      </c>
      <c r="F30" s="451">
        <v>233.30638907553399</v>
      </c>
      <c r="G30" s="451">
        <v>235.14083352144596</v>
      </c>
      <c r="H30" s="451">
        <v>241.19666685962397</v>
      </c>
      <c r="I30" s="451">
        <v>248.73861131010196</v>
      </c>
      <c r="J30" s="451">
        <v>260.05194465248599</v>
      </c>
      <c r="L30" s="453">
        <f t="shared" ref="L30:L42" si="0">J30/$J$28</f>
        <v>1</v>
      </c>
      <c r="M30" s="453">
        <f t="shared" ref="M30:M42" si="1">G30/$G$28</f>
        <v>1</v>
      </c>
    </row>
    <row r="31" spans="1:13">
      <c r="A31" s="449" t="s">
        <v>855</v>
      </c>
      <c r="B31" s="451"/>
      <c r="C31" s="451"/>
      <c r="D31" s="451"/>
      <c r="E31" s="451"/>
      <c r="F31" s="451"/>
      <c r="G31" s="451"/>
      <c r="H31" s="451"/>
      <c r="I31" s="451"/>
      <c r="J31" s="451"/>
      <c r="L31" s="453"/>
      <c r="M31" s="453"/>
    </row>
    <row r="32" spans="1:13">
      <c r="A32" s="449" t="s">
        <v>281</v>
      </c>
      <c r="B32" s="451">
        <v>47.451111149071998</v>
      </c>
      <c r="C32" s="451">
        <v>49.213055594925997</v>
      </c>
      <c r="D32" s="451">
        <v>49.406944483970001</v>
      </c>
      <c r="E32" s="451">
        <v>52.505000042003992</v>
      </c>
      <c r="F32" s="451">
        <v>52.771111153327993</v>
      </c>
      <c r="G32" s="451">
        <v>53.094166709142002</v>
      </c>
      <c r="H32" s="451">
        <v>54.617500043693994</v>
      </c>
      <c r="I32" s="451">
        <v>56.596388934166001</v>
      </c>
      <c r="J32" s="451">
        <v>58.965555602727996</v>
      </c>
      <c r="L32" s="453">
        <f t="shared" si="0"/>
        <v>0.22674529768091203</v>
      </c>
      <c r="M32" s="453">
        <f t="shared" si="1"/>
        <v>0.22579730586988653</v>
      </c>
    </row>
    <row r="33" spans="1:13">
      <c r="A33" s="449" t="s">
        <v>298</v>
      </c>
      <c r="B33" s="451">
        <v>13.750000010999999</v>
      </c>
      <c r="C33" s="451">
        <v>13.628055566457999</v>
      </c>
      <c r="D33" s="451">
        <v>13.139722232733998</v>
      </c>
      <c r="E33" s="451">
        <v>13.745000010995998</v>
      </c>
      <c r="F33" s="451">
        <v>14.078333344595999</v>
      </c>
      <c r="G33" s="451">
        <v>13.911388900018</v>
      </c>
      <c r="H33" s="451">
        <v>18.875000015099999</v>
      </c>
      <c r="I33" s="451">
        <v>21.958333350899998</v>
      </c>
      <c r="J33" s="451">
        <v>23.994722241418</v>
      </c>
      <c r="L33" s="453">
        <f t="shared" si="0"/>
        <v>9.2268959086165475E-2</v>
      </c>
      <c r="M33" s="453">
        <f t="shared" si="1"/>
        <v>5.916194431942088E-2</v>
      </c>
    </row>
    <row r="34" spans="1:13">
      <c r="A34" s="449" t="s">
        <v>297</v>
      </c>
      <c r="B34" s="451">
        <v>7.0738888945479994</v>
      </c>
      <c r="C34" s="451">
        <v>7.8030555617979998</v>
      </c>
      <c r="D34" s="451">
        <v>7.7230555617339993</v>
      </c>
      <c r="E34" s="451">
        <v>8.0888888953600002</v>
      </c>
      <c r="F34" s="451">
        <v>8.3880555622659987</v>
      </c>
      <c r="G34" s="451">
        <v>9.2852777852059987</v>
      </c>
      <c r="H34" s="451">
        <v>8.9986111183100004</v>
      </c>
      <c r="I34" s="451">
        <v>8.9908333405259988</v>
      </c>
      <c r="J34" s="451">
        <v>8.6722222291599991</v>
      </c>
      <c r="L34" s="453">
        <f t="shared" si="0"/>
        <v>3.334803837267554E-2</v>
      </c>
      <c r="M34" s="453">
        <f t="shared" si="1"/>
        <v>3.9488155443487181E-2</v>
      </c>
    </row>
    <row r="35" spans="1:13">
      <c r="A35" s="449" t="s">
        <v>855</v>
      </c>
      <c r="B35" s="451"/>
      <c r="C35" s="451"/>
      <c r="D35" s="451"/>
      <c r="E35" s="451"/>
      <c r="F35" s="451"/>
      <c r="G35" s="451"/>
      <c r="H35" s="451"/>
      <c r="I35" s="451"/>
      <c r="J35" s="451"/>
      <c r="L35" s="453"/>
      <c r="M35" s="453"/>
    </row>
    <row r="36" spans="1:13">
      <c r="A36" s="448" t="s">
        <v>48</v>
      </c>
      <c r="B36" s="450">
        <v>1.1111111119999999</v>
      </c>
      <c r="C36" s="450">
        <v>1.110000000888</v>
      </c>
      <c r="D36" s="450">
        <v>1.1905555565079997</v>
      </c>
      <c r="E36" s="450">
        <v>1.1225000008979999</v>
      </c>
      <c r="F36" s="450">
        <v>1.1300000009039999</v>
      </c>
      <c r="G36" s="450">
        <v>1.1744444453839997</v>
      </c>
      <c r="H36" s="450">
        <v>1.145000000916</v>
      </c>
      <c r="I36" s="450">
        <v>1.1336111120179999</v>
      </c>
      <c r="J36" s="450">
        <v>1.1400000009119999</v>
      </c>
      <c r="L36" s="453">
        <f t="shared" si="0"/>
        <v>4.3837395733971954E-3</v>
      </c>
      <c r="M36" s="453">
        <f t="shared" si="1"/>
        <v>4.9946426904916323E-3</v>
      </c>
    </row>
    <row r="37" spans="1:13">
      <c r="A37" s="449" t="s">
        <v>880</v>
      </c>
      <c r="B37" s="451">
        <v>1.0733333341919999</v>
      </c>
      <c r="C37" s="451">
        <v>1.0716666675239999</v>
      </c>
      <c r="D37" s="451">
        <v>1.1505555564759999</v>
      </c>
      <c r="E37" s="451">
        <v>1.0791666675299998</v>
      </c>
      <c r="F37" s="451">
        <v>1.0858333342019999</v>
      </c>
      <c r="G37" s="451">
        <v>1.1294444453479999</v>
      </c>
      <c r="H37" s="451">
        <v>1.1025000008819998</v>
      </c>
      <c r="I37" s="451">
        <v>1.08194444531</v>
      </c>
      <c r="J37" s="451">
        <v>1.0900000008719999</v>
      </c>
      <c r="L37" s="453"/>
      <c r="M37" s="453"/>
    </row>
    <row r="38" spans="1:13">
      <c r="A38" s="449" t="s">
        <v>881</v>
      </c>
      <c r="B38" s="451">
        <v>3.7777777807999999E-2</v>
      </c>
      <c r="C38" s="451">
        <v>3.8333333364000001E-2</v>
      </c>
      <c r="D38" s="451">
        <v>4.0000000031999994E-2</v>
      </c>
      <c r="E38" s="451">
        <v>4.3611111145999998E-2</v>
      </c>
      <c r="F38" s="451">
        <v>4.4444444479999998E-2</v>
      </c>
      <c r="G38" s="451">
        <v>4.4722222257999995E-2</v>
      </c>
      <c r="H38" s="451">
        <v>4.2500000033999993E-2</v>
      </c>
      <c r="I38" s="451">
        <v>5.1388888929999994E-2</v>
      </c>
      <c r="J38" s="451">
        <v>5.0000000039999992E-2</v>
      </c>
      <c r="L38" s="453"/>
      <c r="M38" s="453"/>
    </row>
    <row r="39" spans="1:13">
      <c r="A39" s="449" t="s">
        <v>855</v>
      </c>
      <c r="B39" s="451"/>
      <c r="C39" s="451"/>
      <c r="D39" s="451"/>
      <c r="E39" s="451"/>
      <c r="F39" s="451"/>
      <c r="G39" s="451"/>
      <c r="H39" s="451"/>
      <c r="I39" s="451"/>
      <c r="J39" s="451"/>
      <c r="L39" s="453"/>
      <c r="M39" s="453"/>
    </row>
    <row r="40" spans="1:13">
      <c r="A40" s="449" t="s">
        <v>227</v>
      </c>
      <c r="B40" s="451">
        <v>8.1100000064879989</v>
      </c>
      <c r="C40" s="451">
        <v>9.301111118551999</v>
      </c>
      <c r="D40" s="451">
        <v>8.6013888957699987</v>
      </c>
      <c r="E40" s="451">
        <v>10.975833342113999</v>
      </c>
      <c r="F40" s="451">
        <v>10.820555564211999</v>
      </c>
      <c r="G40" s="451">
        <v>10.285555563783999</v>
      </c>
      <c r="H40" s="451">
        <v>10.032500008025998</v>
      </c>
      <c r="I40" s="451">
        <v>10.067500008053999</v>
      </c>
      <c r="J40" s="451">
        <v>11.335000009067999</v>
      </c>
      <c r="L40" s="453">
        <f t="shared" si="0"/>
        <v>4.3587445670576493E-2</v>
      </c>
      <c r="M40" s="453">
        <f t="shared" si="1"/>
        <v>4.3742107271410639E-2</v>
      </c>
    </row>
    <row r="41" spans="1:13">
      <c r="A41" s="449" t="s">
        <v>855</v>
      </c>
      <c r="B41" s="451"/>
      <c r="C41" s="451"/>
      <c r="D41" s="451"/>
      <c r="E41" s="451"/>
      <c r="F41" s="451"/>
      <c r="G41" s="451"/>
      <c r="H41" s="451"/>
      <c r="I41" s="451"/>
      <c r="J41" s="451"/>
      <c r="L41" s="453"/>
      <c r="M41" s="453"/>
    </row>
    <row r="42" spans="1:13">
      <c r="A42" s="448" t="s">
        <v>47</v>
      </c>
      <c r="B42" s="450">
        <v>129.740000103792</v>
      </c>
      <c r="C42" s="450">
        <v>124.20027787713798</v>
      </c>
      <c r="D42" s="450">
        <v>132.71222232839199</v>
      </c>
      <c r="E42" s="450">
        <v>140.91694455717797</v>
      </c>
      <c r="F42" s="450">
        <v>146.11861122800599</v>
      </c>
      <c r="G42" s="450">
        <v>147.390000117912</v>
      </c>
      <c r="H42" s="450">
        <v>147.528055673578</v>
      </c>
      <c r="I42" s="450">
        <v>149.99222234221597</v>
      </c>
      <c r="J42" s="450">
        <v>155.94444456919999</v>
      </c>
      <c r="L42" s="453">
        <f t="shared" si="0"/>
        <v>0.59966651961627326</v>
      </c>
      <c r="M42" s="453">
        <f t="shared" si="1"/>
        <v>0.62681584440530336</v>
      </c>
    </row>
    <row r="43" spans="1:13">
      <c r="A43" s="449" t="s">
        <v>882</v>
      </c>
      <c r="B43" s="451">
        <v>7.6044444505279998</v>
      </c>
      <c r="C43" s="451">
        <v>7.2511111169119991</v>
      </c>
      <c r="D43" s="451">
        <v>6.0647222270739993</v>
      </c>
      <c r="E43" s="451">
        <v>6.0505555603959991</v>
      </c>
      <c r="F43" s="451">
        <v>6.4858333385219993</v>
      </c>
      <c r="G43" s="451">
        <v>5.9950000047959993</v>
      </c>
      <c r="H43" s="451">
        <v>5.5152777821899992</v>
      </c>
      <c r="I43" s="451">
        <v>5.3394444487159998</v>
      </c>
      <c r="J43" s="451">
        <v>5.7308333379179999</v>
      </c>
      <c r="L43" s="454"/>
    </row>
    <row r="44" spans="1:13">
      <c r="A44" s="449" t="s">
        <v>883</v>
      </c>
      <c r="B44" s="451">
        <v>4.4775000035819996</v>
      </c>
      <c r="C44" s="451">
        <v>5.363055559845999</v>
      </c>
      <c r="D44" s="451">
        <v>4.9700000039759997</v>
      </c>
      <c r="E44" s="451">
        <v>4.9616666706359993</v>
      </c>
      <c r="F44" s="451">
        <v>4.7255555593359997</v>
      </c>
      <c r="G44" s="451">
        <v>4.7569444482499996</v>
      </c>
      <c r="H44" s="451">
        <v>4.7394444482360001</v>
      </c>
      <c r="I44" s="451">
        <v>4.6336111148179997</v>
      </c>
      <c r="J44" s="451">
        <v>4.684444448192</v>
      </c>
      <c r="L44" s="454"/>
    </row>
    <row r="45" spans="1:13">
      <c r="A45" s="449" t="s">
        <v>884</v>
      </c>
      <c r="B45" s="451">
        <v>0.83750000066999997</v>
      </c>
      <c r="C45" s="451">
        <v>0.74833333393199997</v>
      </c>
      <c r="D45" s="451">
        <v>0.75611111171599987</v>
      </c>
      <c r="E45" s="451">
        <v>0.79194444507799988</v>
      </c>
      <c r="F45" s="451">
        <v>0.84416666734199997</v>
      </c>
      <c r="G45" s="451">
        <v>1.1513888898099998</v>
      </c>
      <c r="H45" s="451">
        <v>0.97472222300199984</v>
      </c>
      <c r="I45" s="451">
        <v>0.98666666745599996</v>
      </c>
      <c r="J45" s="451">
        <v>1.0536111119539999</v>
      </c>
      <c r="L45" s="454"/>
    </row>
    <row r="46" spans="1:13">
      <c r="A46" s="449" t="s">
        <v>885</v>
      </c>
      <c r="B46" s="451">
        <v>1.3727777788759998</v>
      </c>
      <c r="C46" s="451">
        <v>1.3755555566559998</v>
      </c>
      <c r="D46" s="451">
        <v>1.3675000010939999</v>
      </c>
      <c r="E46" s="451">
        <v>1.3911111122239999</v>
      </c>
      <c r="F46" s="451">
        <v>1.3288888899519997</v>
      </c>
      <c r="G46" s="451">
        <v>1.4213888900259999</v>
      </c>
      <c r="H46" s="451">
        <v>1.3869444455539999</v>
      </c>
      <c r="I46" s="451">
        <v>1.3036111121539997</v>
      </c>
      <c r="J46" s="451">
        <v>1.1919444453979999</v>
      </c>
      <c r="L46" s="454"/>
    </row>
    <row r="47" spans="1:13">
      <c r="A47" s="449" t="s">
        <v>886</v>
      </c>
      <c r="B47" s="451">
        <v>9.6088888965759995</v>
      </c>
      <c r="C47" s="451">
        <v>9.2483333407319979</v>
      </c>
      <c r="D47" s="451">
        <v>8.4697222289979983</v>
      </c>
      <c r="E47" s="451">
        <v>8.762222229232</v>
      </c>
      <c r="F47" s="451">
        <v>9.3497222297019995</v>
      </c>
      <c r="G47" s="451">
        <v>10.036944452474</v>
      </c>
      <c r="H47" s="451">
        <v>9.1702777851139992</v>
      </c>
      <c r="I47" s="451">
        <v>9.6861111188599978</v>
      </c>
      <c r="J47" s="451">
        <v>10.355277786062</v>
      </c>
      <c r="L47" s="454"/>
    </row>
    <row r="48" spans="1:13">
      <c r="A48" s="449" t="s">
        <v>887</v>
      </c>
      <c r="B48" s="451">
        <v>5.7297222268059995</v>
      </c>
      <c r="C48" s="451">
        <v>5.340833337606</v>
      </c>
      <c r="D48" s="451">
        <v>7.3116666725159991</v>
      </c>
      <c r="E48" s="451">
        <v>7.2963888947259994</v>
      </c>
      <c r="F48" s="451">
        <v>8.5788888957519998</v>
      </c>
      <c r="G48" s="451">
        <v>10.081666674731999</v>
      </c>
      <c r="H48" s="451">
        <v>9.5413888965219975</v>
      </c>
      <c r="I48" s="451">
        <v>10.587222230691998</v>
      </c>
      <c r="J48" s="451">
        <v>11.286388897917998</v>
      </c>
      <c r="L48" s="454"/>
    </row>
    <row r="49" spans="1:12">
      <c r="A49" s="449" t="s">
        <v>888</v>
      </c>
      <c r="B49" s="451">
        <v>2.5072222242279998</v>
      </c>
      <c r="C49" s="451">
        <v>2.8225000022579998</v>
      </c>
      <c r="D49" s="451">
        <v>2.6802777799219997</v>
      </c>
      <c r="E49" s="451">
        <v>2.6675000021339996</v>
      </c>
      <c r="F49" s="451">
        <v>2.7875000022299998</v>
      </c>
      <c r="G49" s="451">
        <v>2.8600000022879994</v>
      </c>
      <c r="H49" s="451">
        <v>2.9383333356839998</v>
      </c>
      <c r="I49" s="451">
        <v>3.0280555579779995</v>
      </c>
      <c r="J49" s="451">
        <v>3.3144444470959997</v>
      </c>
      <c r="L49" s="454"/>
    </row>
    <row r="50" spans="1:12">
      <c r="A50" s="449" t="s">
        <v>889</v>
      </c>
      <c r="B50" s="451">
        <v>1.1833333342799999</v>
      </c>
      <c r="C50" s="451">
        <v>1.1158333342260001</v>
      </c>
      <c r="D50" s="451">
        <v>1.5405555567879998</v>
      </c>
      <c r="E50" s="451">
        <v>1.7083333347</v>
      </c>
      <c r="F50" s="451">
        <v>1.1913888898419998</v>
      </c>
      <c r="G50" s="451">
        <v>1.1605555564839998</v>
      </c>
      <c r="H50" s="451">
        <v>1.1797222231659998</v>
      </c>
      <c r="I50" s="451">
        <v>1.2463888898859998</v>
      </c>
      <c r="J50" s="451">
        <v>1.3325000010659998</v>
      </c>
      <c r="L50" s="454"/>
    </row>
    <row r="51" spans="1:12">
      <c r="A51" s="449" t="s">
        <v>890</v>
      </c>
      <c r="B51" s="451">
        <v>0.89777777849599993</v>
      </c>
      <c r="C51" s="451">
        <v>0.85888888957599996</v>
      </c>
      <c r="D51" s="451">
        <v>0.91166666739599989</v>
      </c>
      <c r="E51" s="451">
        <v>0.82166666732399996</v>
      </c>
      <c r="F51" s="451">
        <v>1.01250000081</v>
      </c>
      <c r="G51" s="451">
        <v>1.0227777785959999</v>
      </c>
      <c r="H51" s="451">
        <v>1.0561111119559998</v>
      </c>
      <c r="I51" s="451">
        <v>1.1002777786579998</v>
      </c>
      <c r="J51" s="451">
        <v>1.2044444454079999</v>
      </c>
      <c r="L51" s="454"/>
    </row>
    <row r="52" spans="1:12">
      <c r="A52" s="449" t="s">
        <v>891</v>
      </c>
      <c r="B52" s="451">
        <v>0.15416666678999999</v>
      </c>
      <c r="C52" s="451">
        <v>0.13888888899999999</v>
      </c>
      <c r="D52" s="451">
        <v>0.13638888899799997</v>
      </c>
      <c r="E52" s="451">
        <v>0.14416666678199999</v>
      </c>
      <c r="F52" s="451">
        <v>0.13527777788599998</v>
      </c>
      <c r="G52" s="451">
        <v>0.13194444454999998</v>
      </c>
      <c r="H52" s="451">
        <v>0.20138888904999996</v>
      </c>
      <c r="I52" s="451">
        <v>0.20555555571999998</v>
      </c>
      <c r="J52" s="451">
        <v>0.20777777794399999</v>
      </c>
      <c r="L52" s="454"/>
    </row>
    <row r="53" spans="1:12">
      <c r="A53" s="449" t="s">
        <v>892</v>
      </c>
      <c r="B53" s="451">
        <v>1.959444446012</v>
      </c>
      <c r="C53" s="451">
        <v>1.8522222237039998</v>
      </c>
      <c r="D53" s="451">
        <v>1.9830555571419999</v>
      </c>
      <c r="E53" s="451">
        <v>2.1141666683579996</v>
      </c>
      <c r="F53" s="451">
        <v>2.1261111128119996</v>
      </c>
      <c r="G53" s="451">
        <v>2.1875000017499997</v>
      </c>
      <c r="H53" s="451">
        <v>2.3686111130059997</v>
      </c>
      <c r="I53" s="451">
        <v>2.55833333538</v>
      </c>
      <c r="J53" s="451">
        <v>2.6730555576939996</v>
      </c>
      <c r="L53" s="454"/>
    </row>
    <row r="54" spans="1:12">
      <c r="A54" s="449" t="s">
        <v>893</v>
      </c>
      <c r="B54" s="451">
        <v>0.84833333401199984</v>
      </c>
      <c r="C54" s="451">
        <v>0.80444444508799995</v>
      </c>
      <c r="D54" s="451">
        <v>0.76833333394799996</v>
      </c>
      <c r="E54" s="451">
        <v>0.81416666731799991</v>
      </c>
      <c r="F54" s="451">
        <v>0.84250000067399988</v>
      </c>
      <c r="G54" s="451">
        <v>0.85083333401399996</v>
      </c>
      <c r="H54" s="451">
        <v>0.87861111181399987</v>
      </c>
      <c r="I54" s="451">
        <v>0.91555555628799989</v>
      </c>
      <c r="J54" s="451">
        <v>1.001944445246</v>
      </c>
      <c r="L54" s="454"/>
    </row>
    <row r="55" spans="1:12">
      <c r="A55" s="449" t="s">
        <v>894</v>
      </c>
      <c r="B55" s="451">
        <v>0.47361111148999996</v>
      </c>
      <c r="C55" s="451">
        <v>0.45472222258599998</v>
      </c>
      <c r="D55" s="451">
        <v>0.45916666703399994</v>
      </c>
      <c r="E55" s="451">
        <v>0.47750000038199997</v>
      </c>
      <c r="F55" s="451">
        <v>0.49583333372999994</v>
      </c>
      <c r="G55" s="451">
        <v>0.49250000039399994</v>
      </c>
      <c r="H55" s="451">
        <v>0.51194444485399992</v>
      </c>
      <c r="I55" s="451">
        <v>0.51944444485999997</v>
      </c>
      <c r="J55" s="451">
        <v>0.55527777822199997</v>
      </c>
      <c r="L55" s="454"/>
    </row>
    <row r="56" spans="1:12">
      <c r="A56" s="449" t="s">
        <v>895</v>
      </c>
      <c r="B56" s="451">
        <v>0.38861111142199994</v>
      </c>
      <c r="C56" s="451">
        <v>0.35138888916999994</v>
      </c>
      <c r="D56" s="451">
        <v>0.39888888920799997</v>
      </c>
      <c r="E56" s="451">
        <v>0.42555555589599997</v>
      </c>
      <c r="F56" s="451">
        <v>0.46083333370199997</v>
      </c>
      <c r="G56" s="451">
        <v>0.45777777814399995</v>
      </c>
      <c r="H56" s="451">
        <v>0.48166666705199995</v>
      </c>
      <c r="I56" s="451">
        <v>0.50555555596000001</v>
      </c>
      <c r="J56" s="451">
        <v>0.54250000043399993</v>
      </c>
      <c r="L56" s="454"/>
    </row>
    <row r="57" spans="1:12">
      <c r="A57" s="449" t="s">
        <v>896</v>
      </c>
      <c r="B57" s="451" t="s">
        <v>228</v>
      </c>
      <c r="C57" s="451" t="s">
        <v>228</v>
      </c>
      <c r="D57" s="451" t="s">
        <v>228</v>
      </c>
      <c r="E57" s="451" t="s">
        <v>228</v>
      </c>
      <c r="F57" s="451" t="s">
        <v>228</v>
      </c>
      <c r="G57" s="451" t="s">
        <v>228</v>
      </c>
      <c r="H57" s="451" t="s">
        <v>228</v>
      </c>
      <c r="I57" s="451" t="s">
        <v>228</v>
      </c>
      <c r="J57" s="451" t="s">
        <v>228</v>
      </c>
      <c r="L57" s="454"/>
    </row>
    <row r="58" spans="1:12">
      <c r="A58" s="449" t="s">
        <v>897</v>
      </c>
      <c r="B58" s="451">
        <v>6.1388888937999993E-2</v>
      </c>
      <c r="C58" s="451">
        <v>6.1666666715999997E-2</v>
      </c>
      <c r="D58" s="451">
        <v>6.1944444493999995E-2</v>
      </c>
      <c r="E58" s="451">
        <v>6.4722222273999999E-2</v>
      </c>
      <c r="F58" s="451">
        <v>6.6388888941999985E-2</v>
      </c>
      <c r="G58" s="451">
        <v>6.7222222275999999E-2</v>
      </c>
      <c r="H58" s="451">
        <v>6.9444444499999994E-2</v>
      </c>
      <c r="I58" s="451">
        <v>7.2222222279999998E-2</v>
      </c>
      <c r="J58" s="451">
        <v>7.9166666729999988E-2</v>
      </c>
      <c r="L58" s="454"/>
    </row>
    <row r="59" spans="1:12">
      <c r="A59" s="449" t="s">
        <v>898</v>
      </c>
      <c r="B59" s="451">
        <v>91.635555628863983</v>
      </c>
      <c r="C59" s="451">
        <v>86.412777846908</v>
      </c>
      <c r="D59" s="451">
        <v>94.832500075865994</v>
      </c>
      <c r="E59" s="451">
        <v>102.425555637496</v>
      </c>
      <c r="F59" s="451">
        <v>105.68750008455</v>
      </c>
      <c r="G59" s="451">
        <v>104.71527786154999</v>
      </c>
      <c r="H59" s="451">
        <v>106.51416675187799</v>
      </c>
      <c r="I59" s="451">
        <v>107.304444530288</v>
      </c>
      <c r="J59" s="451">
        <v>110.73055564413998</v>
      </c>
      <c r="L59" s="454"/>
    </row>
    <row r="60" spans="1:12">
      <c r="A60" s="449" t="s">
        <v>855</v>
      </c>
    </row>
    <row r="61" spans="1:12">
      <c r="A61" s="448" t="s">
        <v>899</v>
      </c>
    </row>
    <row r="62" spans="1:12">
      <c r="A62" s="449" t="s">
        <v>900</v>
      </c>
    </row>
    <row r="63" spans="1:12">
      <c r="A63" s="449" t="s">
        <v>901</v>
      </c>
    </row>
    <row r="64" spans="1:12">
      <c r="A64" s="449" t="s">
        <v>902</v>
      </c>
    </row>
    <row r="65" spans="1:1">
      <c r="A65" s="449" t="s">
        <v>903</v>
      </c>
    </row>
    <row r="66" spans="1:1">
      <c r="A66" s="449" t="s">
        <v>904</v>
      </c>
    </row>
    <row r="67" spans="1:1">
      <c r="A67" s="449" t="s">
        <v>612</v>
      </c>
    </row>
    <row r="68" spans="1:1">
      <c r="A68" s="449" t="s">
        <v>855</v>
      </c>
    </row>
    <row r="69" spans="1:1">
      <c r="A69" s="449" t="s">
        <v>905</v>
      </c>
    </row>
  </sheetData>
  <pageMargins left="0" right="0" top="1" bottom="1"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V177"/>
  <sheetViews>
    <sheetView zoomScaleNormal="100" workbookViewId="0">
      <selection activeCell="L40" sqref="L40"/>
    </sheetView>
  </sheetViews>
  <sheetFormatPr baseColWidth="10" defaultColWidth="11" defaultRowHeight="12.75"/>
  <cols>
    <col min="1" max="1" width="14.125" style="390" customWidth="1"/>
    <col min="2" max="3" width="11" style="390"/>
    <col min="4" max="4" width="15.375" style="390" customWidth="1"/>
    <col min="5" max="6" width="11" style="390"/>
    <col min="7" max="7" width="11.375" style="390" customWidth="1"/>
    <col min="8" max="16384" width="11" style="390"/>
  </cols>
  <sheetData>
    <row r="2" spans="1:22" ht="26.1" customHeight="1">
      <c r="A2" s="388" t="s">
        <v>745</v>
      </c>
      <c r="B2" s="389"/>
      <c r="C2" s="389"/>
      <c r="D2" s="389"/>
      <c r="E2" s="389"/>
      <c r="F2" s="389"/>
      <c r="G2" s="389"/>
      <c r="H2" s="389"/>
      <c r="I2" s="389"/>
      <c r="J2" s="389"/>
      <c r="K2" s="389"/>
      <c r="L2" s="389"/>
      <c r="M2" s="389"/>
      <c r="S2" s="666" t="s">
        <v>746</v>
      </c>
      <c r="T2" s="666"/>
      <c r="U2" s="666"/>
      <c r="V2" s="666"/>
    </row>
    <row r="3" spans="1:22" ht="24.75" thickBot="1">
      <c r="A3" s="391" t="s">
        <v>747</v>
      </c>
      <c r="B3" s="389"/>
      <c r="C3" s="389"/>
      <c r="D3" s="389"/>
      <c r="E3" s="389"/>
      <c r="F3" s="392"/>
      <c r="G3" s="389"/>
      <c r="H3" s="389"/>
      <c r="I3" s="389"/>
      <c r="J3" s="389"/>
      <c r="K3" s="389"/>
      <c r="L3" s="389"/>
      <c r="M3" s="389"/>
      <c r="S3" s="393" t="s">
        <v>747</v>
      </c>
      <c r="T3" s="394"/>
      <c r="U3" s="394"/>
      <c r="V3" s="394"/>
    </row>
    <row r="4" spans="1:22" ht="35.1" customHeight="1" thickBot="1">
      <c r="A4" s="395" t="s">
        <v>527</v>
      </c>
      <c r="B4" s="395" t="s">
        <v>748</v>
      </c>
      <c r="C4" s="395" t="s">
        <v>749</v>
      </c>
      <c r="D4" s="395" t="s">
        <v>750</v>
      </c>
      <c r="E4" s="395" t="s">
        <v>751</v>
      </c>
      <c r="F4" s="395" t="s">
        <v>752</v>
      </c>
      <c r="G4" s="395" t="s">
        <v>753</v>
      </c>
      <c r="H4" s="395" t="s">
        <v>754</v>
      </c>
      <c r="I4" s="395" t="s">
        <v>755</v>
      </c>
      <c r="J4" s="395" t="s">
        <v>756</v>
      </c>
      <c r="K4" s="395" t="s">
        <v>757</v>
      </c>
      <c r="L4" s="395" t="s">
        <v>758</v>
      </c>
      <c r="M4" s="395" t="s">
        <v>759</v>
      </c>
      <c r="S4" s="396" t="s">
        <v>760</v>
      </c>
      <c r="T4" s="397" t="s">
        <v>761</v>
      </c>
      <c r="U4" s="397" t="s">
        <v>762</v>
      </c>
      <c r="V4" s="396" t="s">
        <v>763</v>
      </c>
    </row>
    <row r="5" spans="1:22" ht="13.5" thickBot="1">
      <c r="A5" s="398">
        <v>2004</v>
      </c>
      <c r="B5" s="399">
        <v>47255</v>
      </c>
      <c r="C5" s="399">
        <v>34634</v>
      </c>
      <c r="D5" s="399">
        <v>45177</v>
      </c>
      <c r="E5" s="399">
        <v>14609</v>
      </c>
      <c r="F5" s="399">
        <v>17200.28</v>
      </c>
      <c r="G5" s="399">
        <v>37279</v>
      </c>
      <c r="H5" s="399">
        <v>7019.52</v>
      </c>
      <c r="I5" s="399">
        <v>10252</v>
      </c>
      <c r="J5" s="399">
        <v>1332.9999999999998</v>
      </c>
      <c r="K5" s="399">
        <v>95.7</v>
      </c>
      <c r="L5" s="399">
        <v>203173.8</v>
      </c>
      <c r="M5" s="399">
        <v>214854.5</v>
      </c>
      <c r="S5" s="400" t="s">
        <v>764</v>
      </c>
      <c r="T5" s="401">
        <v>53649.121304147746</v>
      </c>
      <c r="U5" s="401">
        <v>59102.642976763709</v>
      </c>
      <c r="V5" s="402">
        <v>10.16516494594355</v>
      </c>
    </row>
    <row r="6" spans="1:22" ht="13.5" thickBot="1">
      <c r="A6" s="398">
        <v>2005</v>
      </c>
      <c r="B6" s="399">
        <v>49129</v>
      </c>
      <c r="C6" s="399">
        <v>36208</v>
      </c>
      <c r="D6" s="399">
        <v>47734</v>
      </c>
      <c r="E6" s="399">
        <v>15506</v>
      </c>
      <c r="F6" s="399">
        <v>18254</v>
      </c>
      <c r="G6" s="399">
        <v>38630</v>
      </c>
      <c r="H6" s="399">
        <v>7218.0399999999991</v>
      </c>
      <c r="I6" s="399">
        <v>10466</v>
      </c>
      <c r="J6" s="399">
        <v>1453</v>
      </c>
      <c r="K6" s="399">
        <v>98.740000000000009</v>
      </c>
      <c r="L6" s="399">
        <v>212679.04000000001</v>
      </c>
      <c r="M6" s="399">
        <v>224696.78</v>
      </c>
      <c r="S6" s="400" t="s">
        <v>765</v>
      </c>
      <c r="T6" s="401">
        <v>46587.115837690355</v>
      </c>
      <c r="U6" s="401">
        <v>47641.9921629733</v>
      </c>
      <c r="V6" s="402">
        <v>2.2643091471000965</v>
      </c>
    </row>
    <row r="7" spans="1:22" ht="13.5" thickBot="1">
      <c r="A7" s="398">
        <v>2006</v>
      </c>
      <c r="B7" s="399">
        <v>50523.3</v>
      </c>
      <c r="C7" s="399">
        <v>37452</v>
      </c>
      <c r="D7" s="399">
        <v>49239</v>
      </c>
      <c r="E7" s="399">
        <v>15966</v>
      </c>
      <c r="F7" s="399">
        <v>18751.925999999999</v>
      </c>
      <c r="G7" s="399">
        <v>40205</v>
      </c>
      <c r="H7" s="399">
        <v>7720.9939999999997</v>
      </c>
      <c r="I7" s="399">
        <v>11088</v>
      </c>
      <c r="J7" s="399">
        <v>1605</v>
      </c>
      <c r="K7" s="399">
        <v>106.733</v>
      </c>
      <c r="L7" s="399">
        <v>219858.22</v>
      </c>
      <c r="M7" s="399">
        <v>232657.95300000001</v>
      </c>
      <c r="S7" s="400" t="s">
        <v>766</v>
      </c>
      <c r="T7" s="401">
        <v>65219.670901059108</v>
      </c>
      <c r="U7" s="401">
        <v>63406.602568711511</v>
      </c>
      <c r="V7" s="402">
        <v>-2.7799409400548702</v>
      </c>
    </row>
    <row r="8" spans="1:22" ht="13.5" thickBot="1">
      <c r="A8" s="398">
        <v>2007</v>
      </c>
      <c r="B8" s="399">
        <v>51953</v>
      </c>
      <c r="C8" s="399">
        <v>38322</v>
      </c>
      <c r="D8" s="399">
        <v>51603</v>
      </c>
      <c r="E8" s="399">
        <v>16616</v>
      </c>
      <c r="F8" s="399">
        <v>19416.444</v>
      </c>
      <c r="G8" s="399">
        <v>41068</v>
      </c>
      <c r="H8" s="399">
        <v>8353.34</v>
      </c>
      <c r="I8" s="399">
        <v>11272</v>
      </c>
      <c r="J8" s="399">
        <v>1722</v>
      </c>
      <c r="K8" s="399">
        <v>119.05799999999999</v>
      </c>
      <c r="L8" s="399">
        <v>227331.78399999999</v>
      </c>
      <c r="M8" s="399">
        <v>240444.84199999998</v>
      </c>
      <c r="S8" s="400" t="s">
        <v>767</v>
      </c>
      <c r="T8" s="401">
        <v>21642.364635698341</v>
      </c>
      <c r="U8" s="401">
        <v>23388.609765898003</v>
      </c>
      <c r="V8" s="402">
        <v>8.0686429583544328</v>
      </c>
    </row>
    <row r="9" spans="1:22" ht="13.5" thickBot="1">
      <c r="A9" s="398">
        <v>2008</v>
      </c>
      <c r="B9" s="399">
        <v>52429.663854395018</v>
      </c>
      <c r="C9" s="399">
        <v>39106.826910621188</v>
      </c>
      <c r="D9" s="399">
        <v>52404.632592133275</v>
      </c>
      <c r="E9" s="399">
        <v>16690.357318999999</v>
      </c>
      <c r="F9" s="399">
        <v>19346.520989224133</v>
      </c>
      <c r="G9" s="399">
        <v>41824.074117021395</v>
      </c>
      <c r="H9" s="399">
        <v>8853.6265610000009</v>
      </c>
      <c r="I9" s="399">
        <v>11418.156000000001</v>
      </c>
      <c r="J9" s="399">
        <v>1932.9650000000004</v>
      </c>
      <c r="K9" s="399">
        <v>134.773</v>
      </c>
      <c r="L9" s="399">
        <v>230655.70234339504</v>
      </c>
      <c r="M9" s="399">
        <v>244141.59634339504</v>
      </c>
      <c r="S9" s="400" t="s">
        <v>768</v>
      </c>
      <c r="T9" s="401">
        <v>23734.427122595531</v>
      </c>
      <c r="U9" s="401">
        <v>24696.078034525901</v>
      </c>
      <c r="V9" s="402">
        <v>4.0517131800281048</v>
      </c>
    </row>
    <row r="10" spans="1:22" ht="13.5" thickBot="1">
      <c r="A10" s="398">
        <v>2009</v>
      </c>
      <c r="B10" s="399">
        <v>52158.193564902511</v>
      </c>
      <c r="C10" s="399">
        <v>39096.231780779686</v>
      </c>
      <c r="D10" s="399">
        <v>52179.285975420091</v>
      </c>
      <c r="E10" s="399">
        <v>16996.994453645562</v>
      </c>
      <c r="F10" s="399">
        <v>19436.712414084097</v>
      </c>
      <c r="G10" s="399">
        <v>41469.969546325752</v>
      </c>
      <c r="H10" s="399">
        <v>9216.0480670937559</v>
      </c>
      <c r="I10" s="399">
        <v>11099.57850072628</v>
      </c>
      <c r="J10" s="399">
        <v>1988.8927306057187</v>
      </c>
      <c r="K10" s="399">
        <v>132.16552300031012</v>
      </c>
      <c r="L10" s="399">
        <v>230553.43580225145</v>
      </c>
      <c r="M10" s="399">
        <v>243774.07255658376</v>
      </c>
      <c r="S10" s="400" t="s">
        <v>769</v>
      </c>
      <c r="T10" s="401">
        <v>50114.456984899611</v>
      </c>
      <c r="U10" s="401">
        <v>52297.239044134396</v>
      </c>
      <c r="V10" s="402">
        <v>4.3555935563514003</v>
      </c>
    </row>
    <row r="11" spans="1:22" ht="13.5" thickBot="1">
      <c r="A11" s="398">
        <v>2010</v>
      </c>
      <c r="B11" s="399">
        <v>54227.410299428637</v>
      </c>
      <c r="C11" s="399">
        <v>40097.942209129338</v>
      </c>
      <c r="D11" s="399">
        <v>55602.013430078616</v>
      </c>
      <c r="E11" s="399">
        <v>17338.60896221071</v>
      </c>
      <c r="F11" s="399">
        <v>20403.175950689318</v>
      </c>
      <c r="G11" s="399">
        <v>43441.976673351892</v>
      </c>
      <c r="H11" s="399">
        <v>9205.9227737828369</v>
      </c>
      <c r="I11" s="399">
        <v>10991.194168759523</v>
      </c>
      <c r="J11" s="399">
        <v>2015.552203</v>
      </c>
      <c r="K11" s="399">
        <v>136.39029099999999</v>
      </c>
      <c r="L11" s="399">
        <v>240317.05029867135</v>
      </c>
      <c r="M11" s="399">
        <v>253460.18696143085</v>
      </c>
      <c r="S11" s="400" t="s">
        <v>770</v>
      </c>
      <c r="T11" s="401">
        <v>11609.883416999999</v>
      </c>
      <c r="U11" s="401">
        <v>12128.915975</v>
      </c>
      <c r="V11" s="402">
        <v>4.470609560471539</v>
      </c>
    </row>
    <row r="12" spans="1:22" ht="13.5" thickBot="1">
      <c r="A12" s="398">
        <v>2011</v>
      </c>
      <c r="B12" s="399">
        <v>55107.598141109993</v>
      </c>
      <c r="C12" s="399">
        <v>42447.497781202197</v>
      </c>
      <c r="D12" s="399">
        <v>60066.284497109926</v>
      </c>
      <c r="E12" s="399">
        <v>19251.027031999998</v>
      </c>
      <c r="F12" s="399">
        <v>22116.179492999996</v>
      </c>
      <c r="G12" s="399">
        <v>47379.359973000021</v>
      </c>
      <c r="H12" s="399">
        <v>9734.5739619999986</v>
      </c>
      <c r="I12" s="399">
        <v>11426.457462570001</v>
      </c>
      <c r="J12" s="399">
        <v>2164.5295360000005</v>
      </c>
      <c r="K12" s="399">
        <v>137.88864909999998</v>
      </c>
      <c r="L12" s="399">
        <v>256102.52087942214</v>
      </c>
      <c r="M12" s="399">
        <v>269831.39652709215</v>
      </c>
      <c r="S12" s="403" t="s">
        <v>758</v>
      </c>
      <c r="T12" s="404">
        <v>272557.0402030907</v>
      </c>
      <c r="U12" s="404">
        <v>282662.08052800683</v>
      </c>
      <c r="V12" s="405">
        <v>3.707495619040535</v>
      </c>
    </row>
    <row r="13" spans="1:22" ht="13.5" thickBot="1">
      <c r="A13" s="398">
        <v>2012</v>
      </c>
      <c r="B13" s="399">
        <v>54866.334497106727</v>
      </c>
      <c r="C13" s="399">
        <v>43835.246796846506</v>
      </c>
      <c r="D13" s="399">
        <v>61664.6367152733</v>
      </c>
      <c r="E13" s="399">
        <v>20097.016313999997</v>
      </c>
      <c r="F13" s="399">
        <v>22483.567883956399</v>
      </c>
      <c r="G13" s="399">
        <v>47776.47391375999</v>
      </c>
      <c r="H13" s="399">
        <v>9937.6969269999991</v>
      </c>
      <c r="I13" s="399">
        <v>12020.430468017599</v>
      </c>
      <c r="J13" s="399">
        <v>2209.3872519023403</v>
      </c>
      <c r="K13" s="399">
        <v>143.124223432924</v>
      </c>
      <c r="L13" s="399">
        <v>260660.97304794294</v>
      </c>
      <c r="M13" s="399">
        <v>275033.91499129584</v>
      </c>
      <c r="S13" s="400" t="s">
        <v>771</v>
      </c>
      <c r="T13" s="401">
        <v>13122.157332572999</v>
      </c>
      <c r="U13" s="401">
        <v>13437.693751460301</v>
      </c>
      <c r="V13" s="402">
        <v>2.4046078010667493</v>
      </c>
    </row>
    <row r="14" spans="1:22" ht="13.5" thickBot="1">
      <c r="A14" s="406">
        <v>2013</v>
      </c>
      <c r="B14" s="407">
        <v>53891.086712574004</v>
      </c>
      <c r="C14" s="407">
        <v>44224.273716416006</v>
      </c>
      <c r="D14" s="407">
        <v>61974.129628419701</v>
      </c>
      <c r="E14" s="407">
        <v>20465.606630977869</v>
      </c>
      <c r="F14" s="407">
        <v>22678.647954167012</v>
      </c>
      <c r="G14" s="407">
        <v>47581.092986245239</v>
      </c>
      <c r="H14" s="407">
        <v>10299.991437000053</v>
      </c>
      <c r="I14" s="407">
        <v>11996.208940271927</v>
      </c>
      <c r="J14" s="407">
        <v>2239.4071252401145</v>
      </c>
      <c r="K14" s="407">
        <v>146.55003079999997</v>
      </c>
      <c r="L14" s="407">
        <v>261114.82906579986</v>
      </c>
      <c r="M14" s="407">
        <v>275496.99516211188</v>
      </c>
      <c r="S14" s="400" t="s">
        <v>772</v>
      </c>
      <c r="T14" s="401">
        <v>2400</v>
      </c>
      <c r="U14" s="401">
        <v>2541</v>
      </c>
      <c r="V14" s="402">
        <v>5.875000000000008</v>
      </c>
    </row>
    <row r="15" spans="1:22" ht="13.5" thickBot="1">
      <c r="A15" s="398">
        <v>2014</v>
      </c>
      <c r="B15" s="399">
        <v>53227.874664332419</v>
      </c>
      <c r="C15" s="399">
        <v>44901.049547986579</v>
      </c>
      <c r="D15" s="399">
        <v>63539.82065515461</v>
      </c>
      <c r="E15" s="399">
        <v>21088.570950583406</v>
      </c>
      <c r="F15" s="399">
        <v>23149.820125645401</v>
      </c>
      <c r="G15" s="399">
        <v>48558.955502289478</v>
      </c>
      <c r="H15" s="399">
        <v>10635.238358000002</v>
      </c>
      <c r="I15" s="399">
        <v>12598.428930193</v>
      </c>
      <c r="J15" s="399">
        <v>2309.7019563139961</v>
      </c>
      <c r="K15" s="399">
        <v>150.68933257602001</v>
      </c>
      <c r="L15" s="399">
        <v>265101.32980399189</v>
      </c>
      <c r="M15" s="399">
        <v>280160.15002307494</v>
      </c>
      <c r="S15" s="400" t="s">
        <v>773</v>
      </c>
      <c r="T15" s="401">
        <v>146</v>
      </c>
      <c r="U15" s="401">
        <v>151</v>
      </c>
      <c r="V15" s="402">
        <v>3.4246575342465668</v>
      </c>
    </row>
    <row r="16" spans="1:22" ht="13.5" thickBot="1">
      <c r="A16" s="398">
        <v>2015</v>
      </c>
      <c r="B16" s="399">
        <v>53649</v>
      </c>
      <c r="C16" s="399">
        <v>46587</v>
      </c>
      <c r="D16" s="399">
        <v>65220</v>
      </c>
      <c r="E16" s="399">
        <v>21642.364635698301</v>
      </c>
      <c r="F16" s="399">
        <v>23734.427122595531</v>
      </c>
      <c r="G16" s="399">
        <v>50114.456984899611</v>
      </c>
      <c r="H16" s="399">
        <v>11609.883416999999</v>
      </c>
      <c r="I16" s="399">
        <v>13122.157332572999</v>
      </c>
      <c r="J16" s="399">
        <v>2400</v>
      </c>
      <c r="K16" s="399">
        <v>146</v>
      </c>
      <c r="L16" s="399">
        <v>272557.0402030907</v>
      </c>
      <c r="M16" s="399">
        <v>288224.78666741366</v>
      </c>
      <c r="S16" s="403" t="s">
        <v>759</v>
      </c>
      <c r="T16" s="404">
        <v>288225.19753566373</v>
      </c>
      <c r="U16" s="404">
        <v>298791.77427946712</v>
      </c>
      <c r="V16" s="405">
        <v>3.6660836159184029</v>
      </c>
    </row>
    <row r="17" spans="1:22" ht="18.95" customHeight="1" thickBot="1">
      <c r="A17" s="408" t="s">
        <v>774</v>
      </c>
      <c r="B17" s="409">
        <v>59102.642976763702</v>
      </c>
      <c r="C17" s="409">
        <v>47641.9921629733</v>
      </c>
      <c r="D17" s="410">
        <v>63406.602568711511</v>
      </c>
      <c r="E17" s="409">
        <v>23388.609765898003</v>
      </c>
      <c r="F17" s="409">
        <v>24696.078034525901</v>
      </c>
      <c r="G17" s="409">
        <v>52297.239044134396</v>
      </c>
      <c r="H17" s="409">
        <v>12128.915975</v>
      </c>
      <c r="I17" s="409">
        <v>13437.693751460301</v>
      </c>
      <c r="J17" s="409">
        <v>2540.8754159999999</v>
      </c>
      <c r="K17" s="409">
        <v>151.07721498670006</v>
      </c>
      <c r="L17" s="409">
        <v>282662.08052800677</v>
      </c>
      <c r="M17" s="399">
        <v>298791.72691045381</v>
      </c>
      <c r="S17" s="667" t="s">
        <v>775</v>
      </c>
      <c r="T17" s="667"/>
      <c r="U17" s="667"/>
      <c r="V17" s="667"/>
    </row>
    <row r="18" spans="1:22" ht="27" customHeight="1">
      <c r="A18" s="411" t="s">
        <v>776</v>
      </c>
      <c r="B18" s="389"/>
      <c r="C18" s="389"/>
      <c r="D18" s="389"/>
      <c r="E18" s="389"/>
      <c r="F18" s="389"/>
      <c r="G18" s="389"/>
      <c r="H18" s="389"/>
      <c r="I18" s="389"/>
      <c r="J18" s="389"/>
      <c r="K18" s="389"/>
      <c r="L18" s="389"/>
      <c r="M18" s="389"/>
      <c r="S18" s="668" t="s">
        <v>777</v>
      </c>
      <c r="T18" s="668"/>
      <c r="U18" s="668"/>
      <c r="V18" s="668"/>
    </row>
    <row r="19" spans="1:22" ht="12.95" customHeight="1">
      <c r="A19" s="411" t="s">
        <v>778</v>
      </c>
      <c r="B19" s="389"/>
      <c r="C19" s="389"/>
      <c r="D19" s="389"/>
      <c r="E19" s="389"/>
      <c r="F19" s="389"/>
      <c r="G19" s="389"/>
      <c r="H19" s="389"/>
      <c r="I19" s="389"/>
      <c r="J19" s="389"/>
      <c r="K19" s="389"/>
      <c r="L19" s="389"/>
      <c r="M19" s="389"/>
    </row>
    <row r="22" spans="1:22" ht="13.5">
      <c r="A22" s="388" t="s">
        <v>779</v>
      </c>
      <c r="B22" s="389"/>
      <c r="C22" s="389"/>
      <c r="D22" s="389"/>
      <c r="E22" s="389"/>
      <c r="F22" s="389"/>
      <c r="G22" s="389"/>
      <c r="H22" s="389"/>
      <c r="I22" s="389"/>
      <c r="J22" s="389"/>
      <c r="K22" s="389"/>
      <c r="L22" s="389"/>
      <c r="M22" s="389"/>
      <c r="N22" s="389"/>
      <c r="O22" s="389"/>
      <c r="P22" s="389"/>
    </row>
    <row r="23" spans="1:22" ht="13.5" thickBot="1">
      <c r="A23" s="391" t="s">
        <v>780</v>
      </c>
      <c r="B23" s="389"/>
      <c r="C23" s="389"/>
      <c r="D23" s="389"/>
      <c r="E23" s="389"/>
      <c r="F23" s="392"/>
      <c r="G23" s="389"/>
      <c r="H23" s="389"/>
      <c r="I23" s="389"/>
      <c r="J23" s="389"/>
      <c r="K23" s="389"/>
      <c r="L23" s="389"/>
      <c r="M23" s="389"/>
      <c r="N23" s="389"/>
      <c r="O23" s="389"/>
      <c r="P23" s="389"/>
    </row>
    <row r="24" spans="1:22" ht="13.5" thickBot="1">
      <c r="A24" s="663" t="s">
        <v>527</v>
      </c>
      <c r="B24" s="665" t="s">
        <v>781</v>
      </c>
      <c r="C24" s="665"/>
      <c r="D24" s="665" t="s">
        <v>782</v>
      </c>
      <c r="E24" s="665"/>
      <c r="F24" s="665" t="s">
        <v>783</v>
      </c>
      <c r="G24" s="665"/>
      <c r="H24" s="665" t="s">
        <v>784</v>
      </c>
      <c r="I24" s="665"/>
      <c r="J24" s="665" t="s">
        <v>785</v>
      </c>
      <c r="K24" s="665"/>
      <c r="L24" s="665" t="s">
        <v>786</v>
      </c>
      <c r="M24" s="665"/>
      <c r="N24" s="665" t="s">
        <v>787</v>
      </c>
      <c r="O24" s="665"/>
      <c r="P24" s="389"/>
    </row>
    <row r="25" spans="1:22" ht="23.25" thickBot="1">
      <c r="A25" s="664"/>
      <c r="B25" s="395" t="s">
        <v>788</v>
      </c>
      <c r="C25" s="395" t="s">
        <v>789</v>
      </c>
      <c r="D25" s="395" t="s">
        <v>788</v>
      </c>
      <c r="E25" s="395" t="s">
        <v>789</v>
      </c>
      <c r="F25" s="395" t="s">
        <v>788</v>
      </c>
      <c r="G25" s="395" t="s">
        <v>789</v>
      </c>
      <c r="H25" s="395" t="s">
        <v>788</v>
      </c>
      <c r="I25" s="395" t="s">
        <v>789</v>
      </c>
      <c r="J25" s="395" t="s">
        <v>788</v>
      </c>
      <c r="K25" s="395" t="s">
        <v>789</v>
      </c>
      <c r="L25" s="395" t="s">
        <v>788</v>
      </c>
      <c r="M25" s="395" t="s">
        <v>789</v>
      </c>
      <c r="N25" s="395" t="s">
        <v>788</v>
      </c>
      <c r="O25" s="395" t="s">
        <v>789</v>
      </c>
      <c r="P25" s="389"/>
    </row>
    <row r="26" spans="1:22" ht="13.5" thickBot="1">
      <c r="A26" s="412">
        <v>2004</v>
      </c>
      <c r="B26" s="413">
        <v>260</v>
      </c>
      <c r="C26" s="413">
        <v>1455</v>
      </c>
      <c r="D26" s="413">
        <v>331</v>
      </c>
      <c r="E26" s="413">
        <v>1770</v>
      </c>
      <c r="F26" s="413">
        <v>218</v>
      </c>
      <c r="G26" s="413">
        <v>1813</v>
      </c>
      <c r="H26" s="413">
        <v>111</v>
      </c>
      <c r="I26" s="413">
        <v>718</v>
      </c>
      <c r="J26" s="413">
        <v>93</v>
      </c>
      <c r="K26" s="413">
        <v>604</v>
      </c>
      <c r="L26" s="413">
        <v>303</v>
      </c>
      <c r="M26" s="413">
        <v>1858</v>
      </c>
      <c r="N26" s="413">
        <v>31</v>
      </c>
      <c r="O26" s="413">
        <v>232</v>
      </c>
      <c r="P26" s="389"/>
    </row>
    <row r="27" spans="1:22" ht="13.5" thickBot="1">
      <c r="A27" s="412">
        <v>2005</v>
      </c>
      <c r="B27" s="413">
        <v>260</v>
      </c>
      <c r="C27" s="413">
        <v>1252</v>
      </c>
      <c r="D27" s="413">
        <v>328</v>
      </c>
      <c r="E27" s="413">
        <v>1755</v>
      </c>
      <c r="F27" s="413">
        <v>477</v>
      </c>
      <c r="G27" s="413">
        <v>2376</v>
      </c>
      <c r="H27" s="413">
        <v>96</v>
      </c>
      <c r="I27" s="413">
        <v>732</v>
      </c>
      <c r="J27" s="413">
        <v>75</v>
      </c>
      <c r="K27" s="413">
        <v>548</v>
      </c>
      <c r="L27" s="413">
        <v>308</v>
      </c>
      <c r="M27" s="413">
        <v>1891</v>
      </c>
      <c r="N27" s="413">
        <v>36</v>
      </c>
      <c r="O27" s="413">
        <v>244</v>
      </c>
      <c r="P27" s="389"/>
    </row>
    <row r="28" spans="1:22" ht="13.5" thickBot="1">
      <c r="A28" s="412">
        <v>2006</v>
      </c>
      <c r="B28" s="413">
        <v>260</v>
      </c>
      <c r="C28" s="413">
        <v>1150</v>
      </c>
      <c r="D28" s="413">
        <v>312</v>
      </c>
      <c r="E28" s="413">
        <v>1669</v>
      </c>
      <c r="F28" s="413">
        <v>476</v>
      </c>
      <c r="G28" s="413">
        <v>2335</v>
      </c>
      <c r="H28" s="413">
        <v>106</v>
      </c>
      <c r="I28" s="413">
        <v>717</v>
      </c>
      <c r="J28" s="413">
        <v>84</v>
      </c>
      <c r="K28" s="413">
        <v>509</v>
      </c>
      <c r="L28" s="413">
        <v>267</v>
      </c>
      <c r="M28" s="413">
        <v>1638</v>
      </c>
      <c r="N28" s="413">
        <v>28</v>
      </c>
      <c r="O28" s="413">
        <v>221</v>
      </c>
      <c r="P28" s="389"/>
    </row>
    <row r="29" spans="1:22" ht="13.5" thickBot="1">
      <c r="A29" s="412">
        <v>2007</v>
      </c>
      <c r="B29" s="413">
        <v>222</v>
      </c>
      <c r="C29" s="413">
        <v>1188</v>
      </c>
      <c r="D29" s="413">
        <v>290</v>
      </c>
      <c r="E29" s="413">
        <v>2022</v>
      </c>
      <c r="F29" s="413">
        <v>412</v>
      </c>
      <c r="G29" s="413">
        <v>2680</v>
      </c>
      <c r="H29" s="413">
        <v>136</v>
      </c>
      <c r="I29" s="413">
        <v>703</v>
      </c>
      <c r="J29" s="413">
        <v>99</v>
      </c>
      <c r="K29" s="413">
        <v>527</v>
      </c>
      <c r="L29" s="413">
        <v>314</v>
      </c>
      <c r="M29" s="413">
        <v>1799</v>
      </c>
      <c r="N29" s="413">
        <v>43</v>
      </c>
      <c r="O29" s="413">
        <v>176</v>
      </c>
      <c r="P29" s="389"/>
    </row>
    <row r="30" spans="1:22" ht="13.5" thickBot="1">
      <c r="A30" s="412">
        <v>2008</v>
      </c>
      <c r="B30" s="413">
        <v>195</v>
      </c>
      <c r="C30" s="413">
        <v>1209.29</v>
      </c>
      <c r="D30" s="413">
        <v>278</v>
      </c>
      <c r="E30" s="413">
        <v>1769.49</v>
      </c>
      <c r="F30" s="413">
        <v>341</v>
      </c>
      <c r="G30" s="413">
        <v>2214.5700000000002</v>
      </c>
      <c r="H30" s="413">
        <v>128</v>
      </c>
      <c r="I30" s="413">
        <v>698.33</v>
      </c>
      <c r="J30" s="413">
        <v>89</v>
      </c>
      <c r="K30" s="413">
        <v>518.33000000000004</v>
      </c>
      <c r="L30" s="413">
        <v>303</v>
      </c>
      <c r="M30" s="413">
        <v>1870.93</v>
      </c>
      <c r="N30" s="413">
        <v>28</v>
      </c>
      <c r="O30" s="413">
        <v>180.78</v>
      </c>
      <c r="P30" s="389"/>
    </row>
    <row r="31" spans="1:22" ht="13.5" thickBot="1">
      <c r="A31" s="412">
        <v>2009</v>
      </c>
      <c r="B31" s="413">
        <v>213.97783769896841</v>
      </c>
      <c r="C31" s="413">
        <v>1250.0544088971496</v>
      </c>
      <c r="D31" s="413">
        <v>261.50881565269469</v>
      </c>
      <c r="E31" s="413">
        <v>1685.0270754333872</v>
      </c>
      <c r="F31" s="413">
        <v>338.32088985137494</v>
      </c>
      <c r="G31" s="413">
        <v>2274.0361281738369</v>
      </c>
      <c r="H31" s="413">
        <v>142.39314274875636</v>
      </c>
      <c r="I31" s="413">
        <v>736.75965221850015</v>
      </c>
      <c r="J31" s="413">
        <v>86.436691677098153</v>
      </c>
      <c r="K31" s="413">
        <v>517.02549694786171</v>
      </c>
      <c r="L31" s="413">
        <v>302.35457330627412</v>
      </c>
      <c r="M31" s="413">
        <v>1822.0662012897299</v>
      </c>
      <c r="N31" s="413">
        <v>30.848899443429683</v>
      </c>
      <c r="O31" s="413">
        <v>201.80066922805923</v>
      </c>
      <c r="P31" s="389"/>
    </row>
    <row r="32" spans="1:22" ht="13.5" thickBot="1">
      <c r="A32" s="412">
        <v>2010</v>
      </c>
      <c r="B32" s="413">
        <v>224.34390848014689</v>
      </c>
      <c r="C32" s="413">
        <v>1351.1316219977684</v>
      </c>
      <c r="D32" s="413">
        <v>277.5955702322442</v>
      </c>
      <c r="E32" s="413">
        <v>1751.2604047644484</v>
      </c>
      <c r="F32" s="413">
        <v>369.79173373304303</v>
      </c>
      <c r="G32" s="413">
        <v>2515.1272104411878</v>
      </c>
      <c r="H32" s="413">
        <v>170.03487821304412</v>
      </c>
      <c r="I32" s="413">
        <v>815.08660859084694</v>
      </c>
      <c r="J32" s="413">
        <v>80.294401312330635</v>
      </c>
      <c r="K32" s="413">
        <v>483.7754126893152</v>
      </c>
      <c r="L32" s="413">
        <v>301.78519123524552</v>
      </c>
      <c r="M32" s="413">
        <v>1854.3345456866446</v>
      </c>
      <c r="N32" s="413">
        <v>33.689481989887632</v>
      </c>
      <c r="O32" s="413">
        <v>203.91886007026568</v>
      </c>
      <c r="P32" s="389"/>
    </row>
    <row r="33" spans="1:16" ht="13.5" thickBot="1">
      <c r="A33" s="412">
        <v>2011</v>
      </c>
      <c r="B33" s="413">
        <v>233</v>
      </c>
      <c r="C33" s="413">
        <v>1451.3437941094912</v>
      </c>
      <c r="D33" s="413">
        <v>292</v>
      </c>
      <c r="E33" s="413">
        <v>1881.4255407758037</v>
      </c>
      <c r="F33" s="413">
        <v>368</v>
      </c>
      <c r="G33" s="413">
        <v>2547.3787372714655</v>
      </c>
      <c r="H33" s="413">
        <v>181</v>
      </c>
      <c r="I33" s="413">
        <v>924.62890008568445</v>
      </c>
      <c r="J33" s="413">
        <v>83</v>
      </c>
      <c r="K33" s="413">
        <v>495.75903014793363</v>
      </c>
      <c r="L33" s="413">
        <v>332</v>
      </c>
      <c r="M33" s="413">
        <v>2072.1801943666433</v>
      </c>
      <c r="N33" s="413">
        <v>40</v>
      </c>
      <c r="O33" s="413">
        <v>252.44632261749825</v>
      </c>
      <c r="P33" s="389"/>
    </row>
    <row r="34" spans="1:16" ht="13.5" thickBot="1">
      <c r="A34" s="412">
        <v>2012</v>
      </c>
      <c r="B34" s="413">
        <v>221.78174229263311</v>
      </c>
      <c r="C34" s="413">
        <v>1531.5598469897227</v>
      </c>
      <c r="D34" s="413">
        <v>322.49723896023522</v>
      </c>
      <c r="E34" s="413">
        <v>2071.7839206255071</v>
      </c>
      <c r="F34" s="413">
        <v>450</v>
      </c>
      <c r="G34" s="413">
        <v>2861.1804524337522</v>
      </c>
      <c r="H34" s="413">
        <v>180</v>
      </c>
      <c r="I34" s="413">
        <v>1060.3635395135466</v>
      </c>
      <c r="J34" s="413">
        <v>135</v>
      </c>
      <c r="K34" s="413">
        <v>549.14185388300848</v>
      </c>
      <c r="L34" s="413">
        <v>467.24527675977373</v>
      </c>
      <c r="M34" s="413">
        <v>2095.641050677872</v>
      </c>
      <c r="N34" s="413">
        <v>78</v>
      </c>
      <c r="O34" s="413">
        <v>265.70493728166906</v>
      </c>
      <c r="P34" s="389"/>
    </row>
    <row r="35" spans="1:16" ht="13.5" thickBot="1">
      <c r="A35" s="412">
        <v>2013</v>
      </c>
      <c r="B35" s="413">
        <v>206.06697118355069</v>
      </c>
      <c r="C35" s="413">
        <v>1321.7461036284094</v>
      </c>
      <c r="D35" s="413">
        <v>329.77610659853366</v>
      </c>
      <c r="E35" s="413">
        <v>1866.2944161203634</v>
      </c>
      <c r="F35" s="413">
        <v>450.58011359978036</v>
      </c>
      <c r="G35" s="413">
        <v>2782.9041845018182</v>
      </c>
      <c r="H35" s="413">
        <v>194.07973536844497</v>
      </c>
      <c r="I35" s="413">
        <v>938.25064681287586</v>
      </c>
      <c r="J35" s="413">
        <v>112.11282108726331</v>
      </c>
      <c r="K35" s="413">
        <v>580.22550898018062</v>
      </c>
      <c r="L35" s="413">
        <v>285.48316837392071</v>
      </c>
      <c r="M35" s="413">
        <v>1873.0187715015995</v>
      </c>
      <c r="N35" s="413">
        <v>59.881878908776741</v>
      </c>
      <c r="O35" s="413">
        <v>265.77092699999997</v>
      </c>
      <c r="P35" s="389"/>
    </row>
    <row r="36" spans="1:16" ht="13.5" thickBot="1">
      <c r="A36" s="412">
        <v>2014</v>
      </c>
      <c r="B36" s="413">
        <v>171.78750371856245</v>
      </c>
      <c r="C36" s="413">
        <v>1278.5632701026268</v>
      </c>
      <c r="D36" s="413">
        <v>342.32832399452417</v>
      </c>
      <c r="E36" s="413">
        <v>1899.0279840600126</v>
      </c>
      <c r="F36" s="413">
        <v>425.23384717846125</v>
      </c>
      <c r="G36" s="413">
        <v>2766.1552431213345</v>
      </c>
      <c r="H36" s="413">
        <v>184.68028204516219</v>
      </c>
      <c r="I36" s="413">
        <v>992.38132006455805</v>
      </c>
      <c r="J36" s="413">
        <v>144.57390037606655</v>
      </c>
      <c r="K36" s="413">
        <v>529.87541569922109</v>
      </c>
      <c r="L36" s="413">
        <v>253.37448688976787</v>
      </c>
      <c r="M36" s="413">
        <v>1896.9179623340729</v>
      </c>
      <c r="N36" s="413">
        <v>73.656133985909094</v>
      </c>
      <c r="O36" s="413">
        <v>269.53356200000002</v>
      </c>
      <c r="P36" s="389"/>
    </row>
    <row r="37" spans="1:16" ht="13.5" thickBot="1">
      <c r="A37" s="412">
        <v>2015</v>
      </c>
      <c r="B37" s="413">
        <v>158.55613984345695</v>
      </c>
      <c r="C37" s="413">
        <v>939.59415598151145</v>
      </c>
      <c r="D37" s="413">
        <v>173.69854855419544</v>
      </c>
      <c r="E37" s="413">
        <v>1048.4760789743273</v>
      </c>
      <c r="F37" s="413">
        <v>345.40413472934233</v>
      </c>
      <c r="G37" s="413">
        <v>2117.2373968110001</v>
      </c>
      <c r="H37" s="413">
        <v>123.90816208446358</v>
      </c>
      <c r="I37" s="413">
        <v>612.48551810000004</v>
      </c>
      <c r="J37" s="413">
        <v>83.28344124721049</v>
      </c>
      <c r="K37" s="413">
        <v>352.49066792450003</v>
      </c>
      <c r="L37" s="413">
        <v>252.67033228621767</v>
      </c>
      <c r="M37" s="413">
        <v>1742.1704096244002</v>
      </c>
      <c r="N37" s="413">
        <v>31.099383581171196</v>
      </c>
      <c r="O37" s="413">
        <v>123.43318599999999</v>
      </c>
      <c r="P37" s="389"/>
    </row>
    <row r="38" spans="1:16" ht="13.5" thickBot="1">
      <c r="A38" s="412" t="s">
        <v>774</v>
      </c>
      <c r="B38" s="413">
        <v>373.58757911559042</v>
      </c>
      <c r="C38" s="413">
        <v>2203.5361060935761</v>
      </c>
      <c r="D38" s="413">
        <v>155.39790402711242</v>
      </c>
      <c r="E38" s="413">
        <v>1017.6690193029921</v>
      </c>
      <c r="F38" s="413">
        <v>148.14171663094021</v>
      </c>
      <c r="G38" s="413">
        <v>915.01049386800014</v>
      </c>
      <c r="H38" s="413">
        <v>117.26783884428642</v>
      </c>
      <c r="I38" s="413">
        <v>630.07393689999992</v>
      </c>
      <c r="J38" s="413">
        <v>68.285803093643153</v>
      </c>
      <c r="K38" s="413">
        <v>369.62360623860002</v>
      </c>
      <c r="L38" s="413">
        <v>257.87620519300071</v>
      </c>
      <c r="M38" s="413">
        <v>1635.4870958472995</v>
      </c>
      <c r="N38" s="413">
        <v>21.91247140313817</v>
      </c>
      <c r="O38" s="413">
        <v>148.079654</v>
      </c>
      <c r="P38" s="389"/>
    </row>
    <row r="39" spans="1:16" ht="15">
      <c r="A39" s="414"/>
      <c r="B39" s="414"/>
      <c r="C39" s="414"/>
      <c r="D39" s="414"/>
      <c r="E39" s="414"/>
      <c r="F39" s="414"/>
      <c r="G39" s="414"/>
      <c r="H39" s="414"/>
      <c r="I39" s="414"/>
      <c r="J39" s="414"/>
      <c r="K39" s="414"/>
      <c r="L39" s="414"/>
      <c r="M39" s="414"/>
      <c r="N39" s="414"/>
      <c r="O39" s="414"/>
      <c r="P39" s="389"/>
    </row>
    <row r="40" spans="1:16" ht="15.75" thickBot="1">
      <c r="A40" s="414"/>
      <c r="B40" s="414"/>
      <c r="C40" s="414"/>
      <c r="D40" s="414"/>
      <c r="E40" s="414"/>
      <c r="F40" s="414"/>
      <c r="G40" s="414"/>
      <c r="H40" s="414"/>
      <c r="I40" s="414"/>
      <c r="J40" s="414"/>
      <c r="K40" s="414"/>
      <c r="L40" s="414"/>
      <c r="M40" s="414"/>
      <c r="N40" s="414"/>
      <c r="O40" s="414"/>
      <c r="P40" s="389"/>
    </row>
    <row r="41" spans="1:16" ht="15.75" thickBot="1">
      <c r="A41" s="663" t="s">
        <v>527</v>
      </c>
      <c r="B41" s="658" t="s">
        <v>790</v>
      </c>
      <c r="C41" s="659"/>
      <c r="D41" s="658" t="s">
        <v>791</v>
      </c>
      <c r="E41" s="659"/>
      <c r="F41" s="658" t="s">
        <v>792</v>
      </c>
      <c r="G41" s="659"/>
      <c r="H41" s="665" t="s">
        <v>758</v>
      </c>
      <c r="I41" s="665"/>
      <c r="J41" s="658" t="s">
        <v>759</v>
      </c>
      <c r="K41" s="659"/>
      <c r="L41" s="414"/>
      <c r="M41" s="414"/>
      <c r="N41" s="414"/>
      <c r="O41" s="414"/>
      <c r="P41" s="389"/>
    </row>
    <row r="42" spans="1:16" ht="23.25" thickBot="1">
      <c r="A42" s="664"/>
      <c r="B42" s="395" t="s">
        <v>788</v>
      </c>
      <c r="C42" s="395" t="s">
        <v>789</v>
      </c>
      <c r="D42" s="395" t="s">
        <v>788</v>
      </c>
      <c r="E42" s="395" t="s">
        <v>789</v>
      </c>
      <c r="F42" s="395" t="s">
        <v>788</v>
      </c>
      <c r="G42" s="395" t="s">
        <v>789</v>
      </c>
      <c r="H42" s="395" t="s">
        <v>788</v>
      </c>
      <c r="I42" s="395" t="s">
        <v>789</v>
      </c>
      <c r="J42" s="395" t="s">
        <v>788</v>
      </c>
      <c r="K42" s="395" t="s">
        <v>789</v>
      </c>
      <c r="L42" s="414"/>
      <c r="M42" s="414"/>
      <c r="N42" s="414"/>
      <c r="O42" s="414"/>
      <c r="P42" s="389"/>
    </row>
    <row r="43" spans="1:16" ht="15.75" thickBot="1">
      <c r="A43" s="412">
        <v>2004</v>
      </c>
      <c r="B43" s="413">
        <v>47</v>
      </c>
      <c r="C43" s="413">
        <v>358</v>
      </c>
      <c r="D43" s="413">
        <v>11</v>
      </c>
      <c r="E43" s="413">
        <v>81</v>
      </c>
      <c r="F43" s="413">
        <v>1.49</v>
      </c>
      <c r="G43" s="413">
        <v>10.28</v>
      </c>
      <c r="H43" s="413">
        <v>1347</v>
      </c>
      <c r="I43" s="413">
        <v>8450</v>
      </c>
      <c r="J43" s="413">
        <v>1406.49</v>
      </c>
      <c r="K43" s="413">
        <v>8899.2800000000007</v>
      </c>
      <c r="L43" s="414"/>
      <c r="M43" s="414"/>
      <c r="N43" s="414"/>
      <c r="O43" s="414"/>
      <c r="P43" s="389"/>
    </row>
    <row r="44" spans="1:16" ht="15.75" thickBot="1">
      <c r="A44" s="412">
        <v>2005</v>
      </c>
      <c r="B44" s="413">
        <v>60</v>
      </c>
      <c r="C44" s="413">
        <v>433</v>
      </c>
      <c r="D44" s="413">
        <v>13</v>
      </c>
      <c r="E44" s="413">
        <v>88</v>
      </c>
      <c r="F44" s="413">
        <v>1.6</v>
      </c>
      <c r="G44" s="413">
        <v>10.76</v>
      </c>
      <c r="H44" s="413">
        <v>1580</v>
      </c>
      <c r="I44" s="413">
        <v>8798</v>
      </c>
      <c r="J44" s="413">
        <v>1654.6</v>
      </c>
      <c r="K44" s="413">
        <v>9329.76</v>
      </c>
      <c r="L44" s="414"/>
      <c r="M44" s="414"/>
      <c r="N44" s="414"/>
      <c r="O44" s="414"/>
      <c r="P44" s="389"/>
    </row>
    <row r="45" spans="1:16" ht="15.75" thickBot="1">
      <c r="A45" s="412">
        <v>2006</v>
      </c>
      <c r="B45" s="413">
        <v>56</v>
      </c>
      <c r="C45" s="413">
        <v>412</v>
      </c>
      <c r="D45" s="413">
        <v>14</v>
      </c>
      <c r="E45" s="413">
        <v>89</v>
      </c>
      <c r="F45" s="413">
        <v>1.55</v>
      </c>
      <c r="G45" s="413">
        <v>10.44</v>
      </c>
      <c r="H45" s="413">
        <v>1533</v>
      </c>
      <c r="I45" s="413">
        <v>8239</v>
      </c>
      <c r="J45" s="413">
        <v>1604.55</v>
      </c>
      <c r="K45" s="413">
        <v>8750.44</v>
      </c>
      <c r="L45" s="414"/>
      <c r="M45" s="414"/>
      <c r="N45" s="414"/>
      <c r="O45" s="414"/>
      <c r="P45" s="389"/>
    </row>
    <row r="46" spans="1:16" ht="15.75" thickBot="1">
      <c r="A46" s="412">
        <v>2007</v>
      </c>
      <c r="B46" s="413">
        <v>56</v>
      </c>
      <c r="C46" s="413">
        <v>423</v>
      </c>
      <c r="D46" s="413">
        <v>16</v>
      </c>
      <c r="E46" s="413">
        <v>96</v>
      </c>
      <c r="F46" s="413">
        <v>1.78</v>
      </c>
      <c r="G46" s="413">
        <v>11.96</v>
      </c>
      <c r="H46" s="413">
        <v>1516</v>
      </c>
      <c r="I46" s="413">
        <v>9095</v>
      </c>
      <c r="J46" s="413">
        <v>1589.78</v>
      </c>
      <c r="K46" s="413">
        <v>9625.9599999999991</v>
      </c>
      <c r="L46" s="414"/>
      <c r="M46" s="414"/>
      <c r="N46" s="414"/>
      <c r="O46" s="414"/>
      <c r="P46" s="389"/>
    </row>
    <row r="47" spans="1:16" ht="15.75" thickBot="1">
      <c r="A47" s="412">
        <v>2008</v>
      </c>
      <c r="B47" s="413">
        <v>76</v>
      </c>
      <c r="C47" s="413">
        <v>414.17</v>
      </c>
      <c r="D47" s="413">
        <v>17</v>
      </c>
      <c r="E47" s="413">
        <v>98.42</v>
      </c>
      <c r="F47" s="413">
        <v>2.91</v>
      </c>
      <c r="G47" s="413">
        <v>14.02</v>
      </c>
      <c r="H47" s="413">
        <v>1362</v>
      </c>
      <c r="I47" s="413">
        <v>8461.7200000000012</v>
      </c>
      <c r="J47" s="413">
        <v>1457.91</v>
      </c>
      <c r="K47" s="413">
        <v>8988.3300000000017</v>
      </c>
      <c r="L47" s="414"/>
      <c r="M47" s="414"/>
      <c r="N47" s="414"/>
      <c r="O47" s="414"/>
      <c r="P47" s="389"/>
    </row>
    <row r="48" spans="1:16" ht="15.75" thickBot="1">
      <c r="A48" s="412">
        <v>2009</v>
      </c>
      <c r="B48" s="413">
        <v>73.062364331570379</v>
      </c>
      <c r="C48" s="413">
        <v>414.67797474599996</v>
      </c>
      <c r="D48" s="413">
        <v>18.599773315564274</v>
      </c>
      <c r="E48" s="413">
        <v>102.75820538400001</v>
      </c>
      <c r="F48" s="413">
        <v>2.6606123331281952</v>
      </c>
      <c r="G48" s="413">
        <v>14.007844999999998</v>
      </c>
      <c r="H48" s="413">
        <v>1375.8408503785963</v>
      </c>
      <c r="I48" s="413">
        <v>8486.7696321885251</v>
      </c>
      <c r="J48" s="413">
        <v>1470.163600358859</v>
      </c>
      <c r="K48" s="413">
        <v>9018.2136573185253</v>
      </c>
      <c r="L48" s="414"/>
      <c r="M48" s="414"/>
      <c r="N48" s="414"/>
      <c r="O48" s="414"/>
      <c r="P48" s="389"/>
    </row>
    <row r="49" spans="1:16" ht="15.75" thickBot="1">
      <c r="A49" s="412">
        <v>2010</v>
      </c>
      <c r="B49" s="413">
        <v>81.855739439777068</v>
      </c>
      <c r="C49" s="413">
        <v>403.63047375952289</v>
      </c>
      <c r="D49" s="413">
        <v>18.692777790583474</v>
      </c>
      <c r="E49" s="413">
        <v>102.38116699999999</v>
      </c>
      <c r="F49" s="413">
        <v>2.8847773021894993</v>
      </c>
      <c r="G49" s="413">
        <v>13.853695000000002</v>
      </c>
      <c r="H49" s="413">
        <v>1457.5351651959418</v>
      </c>
      <c r="I49" s="413">
        <v>8974.6346642404787</v>
      </c>
      <c r="J49" s="413">
        <v>1560.968459728492</v>
      </c>
      <c r="K49" s="413">
        <v>9494.5000000000018</v>
      </c>
      <c r="L49" s="414"/>
      <c r="M49" s="414"/>
      <c r="N49" s="414"/>
      <c r="O49" s="414"/>
      <c r="P49" s="389"/>
    </row>
    <row r="50" spans="1:16" ht="15.75" thickBot="1">
      <c r="A50" s="412">
        <v>2011</v>
      </c>
      <c r="B50" s="413">
        <v>78</v>
      </c>
      <c r="C50" s="413">
        <v>396.78867868648058</v>
      </c>
      <c r="D50" s="413">
        <v>17</v>
      </c>
      <c r="E50" s="413">
        <v>95.177829962000004</v>
      </c>
      <c r="F50" s="413">
        <v>3.1018228755489798</v>
      </c>
      <c r="G50" s="413">
        <v>14.437661976999999</v>
      </c>
      <c r="H50" s="413">
        <v>1529</v>
      </c>
      <c r="I50" s="413">
        <v>9625.1625193745185</v>
      </c>
      <c r="J50" s="413">
        <v>1627.101822875549</v>
      </c>
      <c r="K50" s="413">
        <v>10131.566689999998</v>
      </c>
      <c r="L50" s="414"/>
      <c r="M50" s="414"/>
      <c r="N50" s="414"/>
      <c r="O50" s="414"/>
      <c r="P50" s="389"/>
    </row>
    <row r="51" spans="1:16" ht="15.75" thickBot="1">
      <c r="A51" s="412">
        <v>2012</v>
      </c>
      <c r="B51" s="413">
        <v>97</v>
      </c>
      <c r="C51" s="413">
        <v>424.8164299530228</v>
      </c>
      <c r="D51" s="413">
        <v>18</v>
      </c>
      <c r="E51" s="413">
        <v>112.55091087599999</v>
      </c>
      <c r="F51" s="413">
        <v>3.5813461962762836</v>
      </c>
      <c r="G51" s="413">
        <v>15.878343279000001</v>
      </c>
      <c r="H51" s="413">
        <v>1854.5242580126421</v>
      </c>
      <c r="I51" s="413">
        <v>10435.375601405078</v>
      </c>
      <c r="J51" s="413">
        <v>1973.1056042089183</v>
      </c>
      <c r="K51" s="413">
        <v>10988.621285513102</v>
      </c>
      <c r="L51" s="414"/>
      <c r="M51" s="414"/>
      <c r="N51" s="414"/>
      <c r="O51" s="414"/>
      <c r="P51" s="389"/>
    </row>
    <row r="52" spans="1:16" ht="15.75" thickBot="1">
      <c r="A52" s="415">
        <v>2013</v>
      </c>
      <c r="B52" s="416">
        <v>87.937046641793643</v>
      </c>
      <c r="C52" s="416">
        <v>400.64052924376801</v>
      </c>
      <c r="D52" s="416">
        <v>18.674073605507008</v>
      </c>
      <c r="E52" s="416">
        <v>103.07226298500001</v>
      </c>
      <c r="F52" s="416">
        <v>3.2437695405639988</v>
      </c>
      <c r="G52" s="416">
        <v>15.447783328999998</v>
      </c>
      <c r="H52" s="416">
        <v>1637.9807951202704</v>
      </c>
      <c r="I52" s="416">
        <v>9628.2105585452464</v>
      </c>
      <c r="J52" s="416">
        <v>1747.8356849081349</v>
      </c>
      <c r="K52" s="416">
        <v>10147.371134103016</v>
      </c>
      <c r="L52" s="414"/>
      <c r="M52" s="414"/>
      <c r="N52" s="414"/>
      <c r="O52" s="414"/>
      <c r="P52" s="389"/>
    </row>
    <row r="53" spans="1:16" ht="15.75" thickBot="1">
      <c r="A53" s="412">
        <v>2014</v>
      </c>
      <c r="B53" s="413">
        <v>93.823483534629702</v>
      </c>
      <c r="C53" s="413">
        <v>449.33209262377989</v>
      </c>
      <c r="D53" s="413">
        <v>19.015644611844454</v>
      </c>
      <c r="E53" s="413">
        <v>106.61525935647117</v>
      </c>
      <c r="F53" s="413">
        <v>3.794249699826385</v>
      </c>
      <c r="G53" s="413">
        <v>15.611015662892232</v>
      </c>
      <c r="H53" s="413">
        <v>1595.6344781884536</v>
      </c>
      <c r="I53" s="413">
        <v>9632.4547573818254</v>
      </c>
      <c r="J53" s="413">
        <v>1712.2678560347542</v>
      </c>
      <c r="K53" s="413">
        <v>10204.013125024969</v>
      </c>
      <c r="L53" s="414"/>
      <c r="M53" s="414"/>
      <c r="N53" s="414"/>
      <c r="O53" s="414"/>
      <c r="P53" s="389"/>
    </row>
    <row r="54" spans="1:16" ht="15.75" thickBot="1">
      <c r="A54" s="412">
        <v>2015</v>
      </c>
      <c r="B54" s="413">
        <v>80.997262192703602</v>
      </c>
      <c r="C54" s="413">
        <v>405.12781700000005</v>
      </c>
      <c r="D54" s="413">
        <v>19.782479470237089</v>
      </c>
      <c r="E54" s="413">
        <v>104.848462728</v>
      </c>
      <c r="F54" s="413">
        <v>2.5872418295733333</v>
      </c>
      <c r="G54" s="413">
        <v>13.860224087000002</v>
      </c>
      <c r="H54" s="413">
        <v>1168.6201423260577</v>
      </c>
      <c r="I54" s="413">
        <v>6935.8874134157386</v>
      </c>
      <c r="J54" s="413">
        <v>1271.9871258185717</v>
      </c>
      <c r="K54" s="413">
        <v>7459.7239172307382</v>
      </c>
      <c r="L54" s="414"/>
      <c r="M54" s="414"/>
      <c r="N54" s="414"/>
      <c r="O54" s="414"/>
      <c r="P54" s="389"/>
    </row>
    <row r="55" spans="1:16" ht="15.75" thickBot="1">
      <c r="A55" s="412" t="s">
        <v>774</v>
      </c>
      <c r="B55" s="413">
        <v>74.556172974231686</v>
      </c>
      <c r="C55" s="413">
        <v>375.0975123553618</v>
      </c>
      <c r="D55" s="413">
        <v>19.2</v>
      </c>
      <c r="E55" s="413">
        <v>106.98319941699999</v>
      </c>
      <c r="F55" s="413">
        <v>2.613114247869067</v>
      </c>
      <c r="G55" s="413">
        <v>13.6089504773333</v>
      </c>
      <c r="H55" s="413">
        <v>1055.6297537600258</v>
      </c>
      <c r="I55" s="413">
        <v>6919.4799122504674</v>
      </c>
      <c r="J55" s="413">
        <v>1151.9990409821266</v>
      </c>
      <c r="K55" s="413">
        <v>7415.1695745001625</v>
      </c>
      <c r="L55" s="414"/>
      <c r="M55" s="414"/>
      <c r="N55" s="414"/>
      <c r="O55" s="414"/>
      <c r="P55" s="389"/>
    </row>
    <row r="56" spans="1:16">
      <c r="A56" s="411" t="s">
        <v>793</v>
      </c>
      <c r="B56" s="389"/>
      <c r="C56" s="389"/>
      <c r="D56" s="389"/>
      <c r="E56" s="389"/>
      <c r="F56" s="389"/>
      <c r="G56" s="389"/>
      <c r="H56" s="389"/>
      <c r="I56" s="389"/>
      <c r="J56" s="389"/>
      <c r="K56" s="389"/>
      <c r="L56" s="389"/>
      <c r="M56" s="389"/>
      <c r="N56" s="389"/>
      <c r="O56" s="389"/>
      <c r="P56" s="389"/>
    </row>
    <row r="57" spans="1:16">
      <c r="A57" s="411" t="s">
        <v>778</v>
      </c>
      <c r="B57" s="389"/>
      <c r="C57" s="389"/>
      <c r="D57" s="389"/>
      <c r="E57" s="389"/>
      <c r="F57" s="389"/>
      <c r="G57" s="389"/>
      <c r="H57" s="389"/>
      <c r="I57" s="389"/>
      <c r="J57" s="389"/>
      <c r="K57" s="389"/>
      <c r="L57" s="389"/>
      <c r="M57" s="389"/>
      <c r="N57" s="389"/>
      <c r="O57" s="389"/>
      <c r="P57" s="389"/>
    </row>
    <row r="58" spans="1:16">
      <c r="A58" s="389"/>
      <c r="B58" s="389"/>
      <c r="C58" s="389"/>
      <c r="D58" s="389"/>
      <c r="E58" s="389"/>
      <c r="F58" s="389"/>
      <c r="G58" s="389"/>
      <c r="H58" s="389"/>
      <c r="I58" s="389"/>
      <c r="J58" s="389"/>
      <c r="K58" s="389"/>
      <c r="L58" s="389"/>
      <c r="M58" s="389"/>
      <c r="N58" s="389"/>
      <c r="O58" s="389"/>
      <c r="P58" s="389"/>
    </row>
    <row r="61" spans="1:16" ht="14.25">
      <c r="A61" s="388" t="s">
        <v>794</v>
      </c>
      <c r="B61" s="389"/>
      <c r="C61" s="389"/>
      <c r="D61" s="389"/>
      <c r="E61" s="389"/>
      <c r="F61" s="389"/>
      <c r="G61" s="389"/>
      <c r="H61" s="389"/>
      <c r="I61" s="389"/>
      <c r="J61" s="389"/>
      <c r="K61" s="389"/>
      <c r="L61" s="389"/>
      <c r="M61" s="389"/>
    </row>
    <row r="62" spans="1:16">
      <c r="A62" s="391" t="s">
        <v>747</v>
      </c>
      <c r="B62" s="389"/>
      <c r="C62" s="389"/>
      <c r="D62" s="389"/>
      <c r="E62" s="389"/>
      <c r="F62" s="392"/>
      <c r="G62" s="389"/>
      <c r="H62" s="389"/>
      <c r="I62" s="389"/>
      <c r="J62" s="389"/>
      <c r="K62" s="389"/>
      <c r="L62" s="389"/>
      <c r="M62" s="389"/>
    </row>
    <row r="63" spans="1:16" ht="45.75" thickBot="1">
      <c r="A63" s="417" t="s">
        <v>527</v>
      </c>
      <c r="B63" s="417" t="s">
        <v>748</v>
      </c>
      <c r="C63" s="417" t="s">
        <v>749</v>
      </c>
      <c r="D63" s="417" t="s">
        <v>750</v>
      </c>
      <c r="E63" s="417" t="s">
        <v>751</v>
      </c>
      <c r="F63" s="417" t="s">
        <v>752</v>
      </c>
      <c r="G63" s="417" t="s">
        <v>753</v>
      </c>
      <c r="H63" s="417" t="s">
        <v>754</v>
      </c>
      <c r="I63" s="417" t="s">
        <v>755</v>
      </c>
      <c r="J63" s="417" t="s">
        <v>795</v>
      </c>
      <c r="K63" s="417" t="s">
        <v>757</v>
      </c>
      <c r="L63" s="417" t="s">
        <v>758</v>
      </c>
      <c r="M63" s="417" t="s">
        <v>759</v>
      </c>
    </row>
    <row r="64" spans="1:16" ht="13.5" thickBot="1">
      <c r="A64" s="412">
        <v>2004</v>
      </c>
      <c r="B64" s="413">
        <v>32479</v>
      </c>
      <c r="C64" s="413">
        <v>26746</v>
      </c>
      <c r="D64" s="413">
        <v>37558</v>
      </c>
      <c r="E64" s="413">
        <v>12318</v>
      </c>
      <c r="F64" s="413">
        <v>14390</v>
      </c>
      <c r="G64" s="413">
        <v>31641</v>
      </c>
      <c r="H64" s="413">
        <v>5777</v>
      </c>
      <c r="I64" s="413">
        <v>8921</v>
      </c>
      <c r="J64" s="413">
        <v>1130.9999999999998</v>
      </c>
      <c r="K64" s="413">
        <v>82.140000000000015</v>
      </c>
      <c r="L64" s="413">
        <v>160909</v>
      </c>
      <c r="M64" s="413">
        <v>171043.14</v>
      </c>
    </row>
    <row r="65" spans="1:13" ht="13.5" thickBot="1">
      <c r="A65" s="412">
        <v>2005</v>
      </c>
      <c r="B65" s="413">
        <v>33275</v>
      </c>
      <c r="C65" s="413">
        <v>28159</v>
      </c>
      <c r="D65" s="413">
        <v>39396</v>
      </c>
      <c r="E65" s="413">
        <v>12975</v>
      </c>
      <c r="F65" s="413">
        <v>15434.369999999999</v>
      </c>
      <c r="G65" s="413">
        <v>32478</v>
      </c>
      <c r="H65" s="413">
        <v>5927</v>
      </c>
      <c r="I65" s="413">
        <v>8981</v>
      </c>
      <c r="J65" s="413">
        <v>1239</v>
      </c>
      <c r="K65" s="413">
        <v>81.699999999999989</v>
      </c>
      <c r="L65" s="413">
        <v>167644.37</v>
      </c>
      <c r="M65" s="413">
        <v>177946.07</v>
      </c>
    </row>
    <row r="66" spans="1:13" ht="13.5" thickBot="1">
      <c r="A66" s="412">
        <v>2006</v>
      </c>
      <c r="B66" s="413">
        <v>33517</v>
      </c>
      <c r="C66" s="413">
        <v>29236</v>
      </c>
      <c r="D66" s="413">
        <v>40577</v>
      </c>
      <c r="E66" s="413">
        <v>13365</v>
      </c>
      <c r="F66" s="413">
        <v>15860.326000000001</v>
      </c>
      <c r="G66" s="413">
        <v>34314</v>
      </c>
      <c r="H66" s="413">
        <v>6365.8339999999998</v>
      </c>
      <c r="I66" s="413">
        <v>9622</v>
      </c>
      <c r="J66" s="413">
        <v>1365</v>
      </c>
      <c r="K66" s="413">
        <v>85.723000000000013</v>
      </c>
      <c r="L66" s="413">
        <v>173235.16</v>
      </c>
      <c r="M66" s="413">
        <v>184307.883</v>
      </c>
    </row>
    <row r="67" spans="1:13" ht="13.5" thickBot="1">
      <c r="A67" s="412">
        <v>2007</v>
      </c>
      <c r="B67" s="413">
        <v>33879</v>
      </c>
      <c r="C67" s="413">
        <v>30257</v>
      </c>
      <c r="D67" s="413">
        <v>42836</v>
      </c>
      <c r="E67" s="413">
        <v>13920</v>
      </c>
      <c r="F67" s="413">
        <v>16321.423999999999</v>
      </c>
      <c r="G67" s="413">
        <v>34775</v>
      </c>
      <c r="H67" s="413">
        <v>6992.4400000000005</v>
      </c>
      <c r="I67" s="413">
        <v>9755</v>
      </c>
      <c r="J67" s="413">
        <v>1481</v>
      </c>
      <c r="K67" s="413">
        <v>98.298000000000002</v>
      </c>
      <c r="L67" s="413">
        <v>178980.864</v>
      </c>
      <c r="M67" s="413">
        <v>190315.16200000001</v>
      </c>
    </row>
    <row r="68" spans="1:13" ht="13.5" thickBot="1">
      <c r="A68" s="412">
        <v>2008</v>
      </c>
      <c r="B68" s="413">
        <v>34372.044854395019</v>
      </c>
      <c r="C68" s="413">
        <v>31005.356910621194</v>
      </c>
      <c r="D68" s="413">
        <v>43585.682592133278</v>
      </c>
      <c r="E68" s="413">
        <v>13971.886318999999</v>
      </c>
      <c r="F68" s="413">
        <v>16241.058989224131</v>
      </c>
      <c r="G68" s="413">
        <v>35369.518117021391</v>
      </c>
      <c r="H68" s="413">
        <v>7483.2432610000005</v>
      </c>
      <c r="I68" s="413">
        <v>9943.59</v>
      </c>
      <c r="J68" s="413">
        <v>1665.308</v>
      </c>
      <c r="K68" s="413">
        <v>106.723</v>
      </c>
      <c r="L68" s="413">
        <v>182028.791043395</v>
      </c>
      <c r="M68" s="413">
        <v>193744.41204339499</v>
      </c>
    </row>
    <row r="69" spans="1:13" ht="13.5" thickBot="1">
      <c r="A69" s="412">
        <v>2009</v>
      </c>
      <c r="B69" s="413">
        <v>34199.360156005358</v>
      </c>
      <c r="C69" s="413">
        <v>31049.968705346299</v>
      </c>
      <c r="D69" s="413">
        <v>42681.186847246252</v>
      </c>
      <c r="E69" s="413">
        <v>14199.544801427062</v>
      </c>
      <c r="F69" s="413">
        <v>16246.175981136235</v>
      </c>
      <c r="G69" s="413">
        <v>34658.706345036022</v>
      </c>
      <c r="H69" s="413">
        <v>7721.193230865696</v>
      </c>
      <c r="I69" s="413">
        <v>9720.0985259802801</v>
      </c>
      <c r="J69" s="413">
        <v>1718.6335252217186</v>
      </c>
      <c r="K69" s="413">
        <v>108.77106142931011</v>
      </c>
      <c r="L69" s="413">
        <v>180756.13606706291</v>
      </c>
      <c r="M69" s="413">
        <v>192303.63917969423</v>
      </c>
    </row>
    <row r="70" spans="1:13" ht="13.5" thickBot="1">
      <c r="A70" s="412">
        <v>2010</v>
      </c>
      <c r="B70" s="413">
        <v>34788.609677430868</v>
      </c>
      <c r="C70" s="413">
        <v>31734.442804364888</v>
      </c>
      <c r="D70" s="413">
        <v>45143.576219637427</v>
      </c>
      <c r="E70" s="413">
        <v>14567.052353619865</v>
      </c>
      <c r="F70" s="413">
        <v>17052.049497</v>
      </c>
      <c r="G70" s="413">
        <v>37261.117127665246</v>
      </c>
      <c r="H70" s="413">
        <v>7732.0229137125707</v>
      </c>
      <c r="I70" s="413">
        <v>9605.4156949999997</v>
      </c>
      <c r="J70" s="413">
        <v>1722.4250359999999</v>
      </c>
      <c r="K70" s="413">
        <v>107.207596</v>
      </c>
      <c r="L70" s="413">
        <v>188278.87059343085</v>
      </c>
      <c r="M70" s="413">
        <v>199713.91892043085</v>
      </c>
    </row>
    <row r="71" spans="1:13" ht="13.5" thickBot="1">
      <c r="A71" s="412">
        <v>2011</v>
      </c>
      <c r="B71" s="413">
        <v>36540.020805507338</v>
      </c>
      <c r="C71" s="413">
        <v>33567.12304138441</v>
      </c>
      <c r="D71" s="413">
        <v>48599.068325482018</v>
      </c>
      <c r="E71" s="413">
        <v>16264.2529254</v>
      </c>
      <c r="F71" s="413">
        <v>18339.691733631855</v>
      </c>
      <c r="G71" s="413">
        <v>40608.064869856047</v>
      </c>
      <c r="H71" s="413">
        <v>8141.56378700191</v>
      </c>
      <c r="I71" s="413">
        <v>10044.10094</v>
      </c>
      <c r="J71" s="413">
        <v>1882.0473739999995</v>
      </c>
      <c r="K71" s="413">
        <v>111.5517796</v>
      </c>
      <c r="L71" s="413">
        <v>202059.78548826359</v>
      </c>
      <c r="M71" s="413">
        <v>214097.48558186358</v>
      </c>
    </row>
    <row r="72" spans="1:13" ht="13.5" thickBot="1">
      <c r="A72" s="412">
        <v>2012</v>
      </c>
      <c r="B72" s="413">
        <v>37792.447925499997</v>
      </c>
      <c r="C72" s="413">
        <v>34835.623348729474</v>
      </c>
      <c r="D72" s="413">
        <v>49959.477330468035</v>
      </c>
      <c r="E72" s="413">
        <v>16894.99396</v>
      </c>
      <c r="F72" s="413">
        <v>18655.988375356574</v>
      </c>
      <c r="G72" s="413">
        <v>40941.162463872926</v>
      </c>
      <c r="H72" s="413">
        <v>8353.7601369999993</v>
      </c>
      <c r="I72" s="413">
        <v>10513.867529000001</v>
      </c>
      <c r="J72" s="413">
        <v>1932.3011510000001</v>
      </c>
      <c r="K72" s="413">
        <v>115.225324</v>
      </c>
      <c r="L72" s="413">
        <v>207433.453540927</v>
      </c>
      <c r="M72" s="413">
        <v>219994.847544927</v>
      </c>
    </row>
    <row r="73" spans="1:13" ht="13.5" thickBot="1">
      <c r="A73" s="415">
        <v>2013</v>
      </c>
      <c r="B73" s="416">
        <v>38818.218953065909</v>
      </c>
      <c r="C73" s="416">
        <v>35292.423739585473</v>
      </c>
      <c r="D73" s="416">
        <v>50427.83425609074</v>
      </c>
      <c r="E73" s="416">
        <v>17262.706020266833</v>
      </c>
      <c r="F73" s="416">
        <v>18742.502761576601</v>
      </c>
      <c r="G73" s="416">
        <v>40988.73048821892</v>
      </c>
      <c r="H73" s="416">
        <v>8659.8016004304118</v>
      </c>
      <c r="I73" s="416">
        <v>10554.009274</v>
      </c>
      <c r="J73" s="416">
        <v>1964.7983550000001</v>
      </c>
      <c r="K73" s="416">
        <v>118.366524</v>
      </c>
      <c r="L73" s="416">
        <v>210192.21781923488</v>
      </c>
      <c r="M73" s="416">
        <v>222829.39197223491</v>
      </c>
    </row>
    <row r="74" spans="1:13" ht="13.5" thickBot="1">
      <c r="A74" s="412">
        <v>2014</v>
      </c>
      <c r="B74" s="413">
        <v>39064.012713101896</v>
      </c>
      <c r="C74" s="413">
        <v>35986.148756227456</v>
      </c>
      <c r="D74" s="413">
        <v>51951.534099900833</v>
      </c>
      <c r="E74" s="413">
        <v>17796.485680469101</v>
      </c>
      <c r="F74" s="413">
        <v>19596.14862715645</v>
      </c>
      <c r="G74" s="413">
        <v>41946.820629000002</v>
      </c>
      <c r="H74" s="413">
        <v>9031.7352690000007</v>
      </c>
      <c r="I74" s="413">
        <v>11121.94414</v>
      </c>
      <c r="J74" s="413">
        <v>2015.955432</v>
      </c>
      <c r="K74" s="413">
        <v>123.77581699999999</v>
      </c>
      <c r="L74" s="413">
        <v>215372.88577485573</v>
      </c>
      <c r="M74" s="413">
        <v>228634.56116385572</v>
      </c>
    </row>
    <row r="75" spans="1:13" ht="13.5" thickBot="1">
      <c r="A75" s="412">
        <v>2015</v>
      </c>
      <c r="B75" s="413">
        <v>40363.937622400001</v>
      </c>
      <c r="C75" s="413">
        <v>37285.963306600002</v>
      </c>
      <c r="D75" s="413">
        <v>53883.824818852008</v>
      </c>
      <c r="E75" s="413">
        <v>18497.038582000001</v>
      </c>
      <c r="F75" s="413">
        <v>20367.627277</v>
      </c>
      <c r="G75" s="413">
        <v>43231.328815000001</v>
      </c>
      <c r="H75" s="413">
        <v>9730.4204590000008</v>
      </c>
      <c r="I75" s="413">
        <v>11617.889118999999</v>
      </c>
      <c r="J75" s="413">
        <v>2097.7083419999999</v>
      </c>
      <c r="K75" s="413">
        <v>123.672203</v>
      </c>
      <c r="L75" s="413">
        <v>223360.14088085201</v>
      </c>
      <c r="M75" s="413">
        <v>237199.41054485203</v>
      </c>
    </row>
    <row r="76" spans="1:13" ht="13.5" thickBot="1">
      <c r="A76" s="412" t="s">
        <v>796</v>
      </c>
      <c r="B76" s="413">
        <v>44977.561721200007</v>
      </c>
      <c r="C76" s="413">
        <v>38419.398450799999</v>
      </c>
      <c r="D76" s="413">
        <v>54339.879417999997</v>
      </c>
      <c r="E76" s="413">
        <v>20016.630803</v>
      </c>
      <c r="F76" s="413">
        <v>21231.292374000001</v>
      </c>
      <c r="G76" s="413">
        <v>44498.183797999998</v>
      </c>
      <c r="H76" s="413">
        <v>10342.088315999999</v>
      </c>
      <c r="I76" s="413">
        <v>12004.642964000002</v>
      </c>
      <c r="J76" s="413">
        <v>2239.0993659999999</v>
      </c>
      <c r="K76" s="413">
        <v>123.17010099999999</v>
      </c>
      <c r="L76" s="413">
        <v>233825.034881</v>
      </c>
      <c r="M76" s="413">
        <v>248191.947312</v>
      </c>
    </row>
    <row r="77" spans="1:13">
      <c r="A77" s="411" t="s">
        <v>797</v>
      </c>
      <c r="B77" s="389"/>
      <c r="C77" s="389"/>
      <c r="D77" s="389"/>
      <c r="E77" s="389"/>
      <c r="F77" s="389"/>
      <c r="G77" s="389"/>
      <c r="H77" s="389"/>
      <c r="I77" s="389"/>
      <c r="J77" s="389"/>
      <c r="K77" s="389"/>
      <c r="L77" s="389"/>
      <c r="M77" s="389"/>
    </row>
    <row r="78" spans="1:13">
      <c r="A78" s="411" t="s">
        <v>778</v>
      </c>
      <c r="B78" s="389"/>
      <c r="C78" s="389"/>
      <c r="D78" s="389"/>
      <c r="E78" s="389"/>
      <c r="F78" s="389"/>
      <c r="G78" s="389"/>
      <c r="H78" s="389"/>
      <c r="I78" s="389"/>
      <c r="J78" s="389"/>
      <c r="K78" s="389"/>
      <c r="L78" s="389"/>
      <c r="M78" s="389"/>
    </row>
    <row r="79" spans="1:13">
      <c r="A79" s="389"/>
      <c r="B79" s="389"/>
      <c r="C79" s="389"/>
      <c r="D79" s="389"/>
      <c r="E79" s="389"/>
      <c r="F79" s="389"/>
      <c r="G79" s="389"/>
      <c r="H79" s="389"/>
      <c r="I79" s="389"/>
      <c r="J79" s="389"/>
      <c r="K79" s="389"/>
      <c r="L79" s="389"/>
      <c r="M79" s="389"/>
    </row>
    <row r="80" spans="1:13">
      <c r="A80" s="389"/>
      <c r="B80" s="389"/>
      <c r="C80" s="389"/>
      <c r="D80" s="389"/>
      <c r="E80" s="389"/>
      <c r="F80" s="389"/>
      <c r="G80" s="389"/>
      <c r="H80" s="389"/>
      <c r="I80" s="389"/>
      <c r="J80" s="389"/>
      <c r="K80" s="389"/>
      <c r="L80" s="389"/>
      <c r="M80" s="389"/>
    </row>
    <row r="83" spans="1:13" ht="13.5">
      <c r="A83" s="388" t="s">
        <v>798</v>
      </c>
      <c r="B83" s="389"/>
      <c r="C83" s="389"/>
      <c r="D83" s="389"/>
      <c r="E83" s="389"/>
      <c r="F83" s="389"/>
      <c r="G83" s="389"/>
      <c r="H83" s="389"/>
      <c r="I83" s="389"/>
      <c r="J83" s="389"/>
      <c r="K83" s="389"/>
      <c r="L83" s="389"/>
      <c r="M83" s="389"/>
    </row>
    <row r="84" spans="1:13">
      <c r="A84" s="391" t="s">
        <v>747</v>
      </c>
      <c r="B84" s="389"/>
      <c r="C84" s="389"/>
      <c r="D84" s="389"/>
      <c r="E84" s="389"/>
      <c r="F84" s="392"/>
      <c r="G84" s="389"/>
      <c r="H84" s="389"/>
      <c r="I84" s="389"/>
      <c r="J84" s="389"/>
      <c r="K84" s="389"/>
      <c r="L84" s="389"/>
      <c r="M84" s="389"/>
    </row>
    <row r="85" spans="1:13" ht="45.75" thickBot="1">
      <c r="A85" s="417" t="s">
        <v>527</v>
      </c>
      <c r="B85" s="417" t="s">
        <v>748</v>
      </c>
      <c r="C85" s="417" t="s">
        <v>749</v>
      </c>
      <c r="D85" s="417" t="s">
        <v>750</v>
      </c>
      <c r="E85" s="417" t="s">
        <v>751</v>
      </c>
      <c r="F85" s="417" t="s">
        <v>752</v>
      </c>
      <c r="G85" s="417" t="s">
        <v>753</v>
      </c>
      <c r="H85" s="417" t="s">
        <v>754</v>
      </c>
      <c r="I85" s="417" t="s">
        <v>755</v>
      </c>
      <c r="J85" s="417" t="s">
        <v>756</v>
      </c>
      <c r="K85" s="417" t="s">
        <v>757</v>
      </c>
      <c r="L85" s="417" t="s">
        <v>758</v>
      </c>
      <c r="M85" s="417" t="s">
        <v>759</v>
      </c>
    </row>
    <row r="86" spans="1:13" ht="13.5" thickBot="1">
      <c r="A86" s="412">
        <v>2004</v>
      </c>
      <c r="B86" s="413">
        <v>1319</v>
      </c>
      <c r="C86" s="413">
        <v>770</v>
      </c>
      <c r="D86" s="413">
        <v>1353</v>
      </c>
      <c r="E86" s="413">
        <v>6</v>
      </c>
      <c r="F86" s="413">
        <v>977</v>
      </c>
      <c r="G86" s="413">
        <v>3666</v>
      </c>
      <c r="H86" s="413">
        <v>36</v>
      </c>
      <c r="I86" s="413">
        <v>53</v>
      </c>
      <c r="J86" s="413">
        <v>0</v>
      </c>
      <c r="K86" s="413">
        <v>0</v>
      </c>
      <c r="L86" s="413">
        <v>8127</v>
      </c>
      <c r="M86" s="413">
        <v>8180</v>
      </c>
    </row>
    <row r="87" spans="1:13" ht="13.5" thickBot="1">
      <c r="A87" s="412">
        <v>2005</v>
      </c>
      <c r="B87" s="413">
        <v>1479</v>
      </c>
      <c r="C87" s="413">
        <v>855</v>
      </c>
      <c r="D87" s="413">
        <v>1811</v>
      </c>
      <c r="E87" s="413">
        <v>1</v>
      </c>
      <c r="F87" s="413">
        <v>1314</v>
      </c>
      <c r="G87" s="413">
        <v>3393</v>
      </c>
      <c r="H87" s="413">
        <v>34</v>
      </c>
      <c r="I87" s="413">
        <v>0</v>
      </c>
      <c r="J87" s="413">
        <v>0</v>
      </c>
      <c r="K87" s="413">
        <v>0</v>
      </c>
      <c r="L87" s="413">
        <v>8887</v>
      </c>
      <c r="M87" s="413">
        <v>8887</v>
      </c>
    </row>
    <row r="88" spans="1:13" ht="13.5" thickBot="1">
      <c r="A88" s="412">
        <v>2006</v>
      </c>
      <c r="B88" s="413">
        <v>1633</v>
      </c>
      <c r="C88" s="413">
        <v>1073</v>
      </c>
      <c r="D88" s="413">
        <v>1693</v>
      </c>
      <c r="E88" s="413">
        <v>9</v>
      </c>
      <c r="F88" s="413">
        <v>1425</v>
      </c>
      <c r="G88" s="413">
        <v>3850</v>
      </c>
      <c r="H88" s="413">
        <v>22</v>
      </c>
      <c r="I88" s="413">
        <v>0</v>
      </c>
      <c r="J88" s="413">
        <v>0</v>
      </c>
      <c r="K88" s="413">
        <v>0</v>
      </c>
      <c r="L88" s="413">
        <v>9705</v>
      </c>
      <c r="M88" s="413">
        <v>9705</v>
      </c>
    </row>
    <row r="89" spans="1:13" ht="13.5" thickBot="1">
      <c r="A89" s="412">
        <v>2007</v>
      </c>
      <c r="B89" s="413">
        <v>1681</v>
      </c>
      <c r="C89" s="413">
        <v>1096</v>
      </c>
      <c r="D89" s="413">
        <v>2298</v>
      </c>
      <c r="E89" s="413">
        <v>13</v>
      </c>
      <c r="F89" s="413">
        <v>1480</v>
      </c>
      <c r="G89" s="413">
        <v>4022</v>
      </c>
      <c r="H89" s="413">
        <v>37</v>
      </c>
      <c r="I89" s="413">
        <v>0</v>
      </c>
      <c r="J89" s="413">
        <v>0</v>
      </c>
      <c r="K89" s="413">
        <v>0</v>
      </c>
      <c r="L89" s="413">
        <v>10627</v>
      </c>
      <c r="M89" s="413">
        <v>10627</v>
      </c>
    </row>
    <row r="90" spans="1:13" ht="13.5" thickBot="1">
      <c r="A90" s="412">
        <v>2008</v>
      </c>
      <c r="B90" s="413">
        <v>1947.1330387900321</v>
      </c>
      <c r="C90" s="413">
        <v>1141.7439106211934</v>
      </c>
      <c r="D90" s="413">
        <v>2267.9695921332809</v>
      </c>
      <c r="E90" s="413">
        <v>12.943319000000001</v>
      </c>
      <c r="F90" s="413">
        <v>1450.5609892241323</v>
      </c>
      <c r="G90" s="413">
        <v>3934.394117021393</v>
      </c>
      <c r="H90" s="413">
        <v>17.021261000000003</v>
      </c>
      <c r="I90" s="413">
        <v>0</v>
      </c>
      <c r="J90" s="413">
        <v>0</v>
      </c>
      <c r="K90" s="413">
        <v>0</v>
      </c>
      <c r="L90" s="413">
        <v>10771.766227790031</v>
      </c>
      <c r="M90" s="413">
        <v>10771.766227790031</v>
      </c>
    </row>
    <row r="91" spans="1:13" ht="13.5" thickBot="1">
      <c r="A91" s="412">
        <v>2009</v>
      </c>
      <c r="B91" s="413">
        <v>1923.2173010000001</v>
      </c>
      <c r="C91" s="413">
        <v>1321.6150863561118</v>
      </c>
      <c r="D91" s="413">
        <v>2542.7906507899143</v>
      </c>
      <c r="E91" s="413">
        <v>68.881422999999998</v>
      </c>
      <c r="F91" s="413">
        <v>979.43211760379791</v>
      </c>
      <c r="G91" s="413">
        <v>3826.3651769444232</v>
      </c>
      <c r="H91" s="413">
        <v>41.222065999999998</v>
      </c>
      <c r="I91" s="413">
        <v>0</v>
      </c>
      <c r="J91" s="413">
        <v>0</v>
      </c>
      <c r="K91" s="413">
        <v>0</v>
      </c>
      <c r="L91" s="413">
        <v>10703.523821694247</v>
      </c>
      <c r="M91" s="413">
        <v>10703.523821694247</v>
      </c>
    </row>
    <row r="92" spans="1:13" ht="13.5" thickBot="1">
      <c r="A92" s="412">
        <v>2010</v>
      </c>
      <c r="B92" s="413">
        <v>1473.0332244308654</v>
      </c>
      <c r="C92" s="413">
        <v>1422.7550703648924</v>
      </c>
      <c r="D92" s="413">
        <v>2693.4062236374239</v>
      </c>
      <c r="E92" s="413">
        <v>289.99663761986596</v>
      </c>
      <c r="F92" s="413">
        <v>1640.9872829999999</v>
      </c>
      <c r="G92" s="413">
        <v>4252.423156665247</v>
      </c>
      <c r="H92" s="413">
        <v>109.67253071256999</v>
      </c>
      <c r="I92" s="413">
        <v>17.147421999999999</v>
      </c>
      <c r="J92" s="413">
        <v>0</v>
      </c>
      <c r="K92" s="413">
        <v>0</v>
      </c>
      <c r="L92" s="413">
        <v>11882.274126430866</v>
      </c>
      <c r="M92" s="413">
        <v>11899.421548430866</v>
      </c>
    </row>
    <row r="93" spans="1:13" ht="13.5" thickBot="1">
      <c r="A93" s="412">
        <v>2011</v>
      </c>
      <c r="B93" s="413">
        <v>1544.3353545073383</v>
      </c>
      <c r="C93" s="413">
        <v>1368.5376903844092</v>
      </c>
      <c r="D93" s="413">
        <v>2595.6565714820263</v>
      </c>
      <c r="E93" s="413">
        <v>326.14427400000068</v>
      </c>
      <c r="F93" s="413">
        <v>1643.7808066318562</v>
      </c>
      <c r="G93" s="413">
        <v>4243.5976178560486</v>
      </c>
      <c r="H93" s="413">
        <v>100.61008900190956</v>
      </c>
      <c r="I93" s="413">
        <v>48.781393000000065</v>
      </c>
      <c r="J93" s="413">
        <v>0</v>
      </c>
      <c r="K93" s="413">
        <v>0</v>
      </c>
      <c r="L93" s="413">
        <v>11822.662403863589</v>
      </c>
      <c r="M93" s="413">
        <v>11871.443796863588</v>
      </c>
    </row>
    <row r="94" spans="1:13" ht="13.5" thickBot="1">
      <c r="A94" s="412">
        <v>2012</v>
      </c>
      <c r="B94" s="413">
        <v>1597.667312</v>
      </c>
      <c r="C94" s="413">
        <v>1670.1690248804759</v>
      </c>
      <c r="D94" s="413">
        <v>2651.342082817037</v>
      </c>
      <c r="E94" s="413">
        <v>393.84777300000013</v>
      </c>
      <c r="F94" s="413">
        <v>1886.8752293565735</v>
      </c>
      <c r="G94" s="413">
        <v>3847.2275738729295</v>
      </c>
      <c r="H94" s="413">
        <v>109.55676700000001</v>
      </c>
      <c r="I94" s="413">
        <v>126.79125000000001</v>
      </c>
      <c r="J94" s="413">
        <v>0</v>
      </c>
      <c r="K94" s="413">
        <v>0</v>
      </c>
      <c r="L94" s="413">
        <v>12156.685762927016</v>
      </c>
      <c r="M94" s="413">
        <v>12283.477012927016</v>
      </c>
    </row>
    <row r="95" spans="1:13" ht="13.5" thickBot="1">
      <c r="A95" s="415">
        <v>2013</v>
      </c>
      <c r="B95" s="416">
        <v>1867.7060174659</v>
      </c>
      <c r="C95" s="416">
        <v>2397.5578811854666</v>
      </c>
      <c r="D95" s="416">
        <v>3136.733943660588</v>
      </c>
      <c r="E95" s="416">
        <v>665.82456026683326</v>
      </c>
      <c r="F95" s="416">
        <v>1859.9492945766001</v>
      </c>
      <c r="G95" s="416">
        <v>4945.5647592189125</v>
      </c>
      <c r="H95" s="416">
        <v>131.98529986056667</v>
      </c>
      <c r="I95" s="416">
        <v>443.82871499999999</v>
      </c>
      <c r="J95" s="416">
        <v>0</v>
      </c>
      <c r="K95" s="416">
        <v>0</v>
      </c>
      <c r="L95" s="416">
        <v>15005.321756234867</v>
      </c>
      <c r="M95" s="416">
        <v>15449.150471234867</v>
      </c>
    </row>
    <row r="96" spans="1:13" ht="13.5" thickBot="1">
      <c r="A96" s="412">
        <v>2014</v>
      </c>
      <c r="B96" s="413">
        <v>2373.3705909019</v>
      </c>
      <c r="C96" s="413">
        <v>2763.7550554274585</v>
      </c>
      <c r="D96" s="413">
        <v>4096.0562709008327</v>
      </c>
      <c r="E96" s="413">
        <v>2026.3523014691</v>
      </c>
      <c r="F96" s="413">
        <v>2078.3676241564472</v>
      </c>
      <c r="G96" s="413">
        <v>5282.1589590000021</v>
      </c>
      <c r="H96" s="413">
        <v>212.94791899999996</v>
      </c>
      <c r="I96" s="413">
        <v>590.49677099999997</v>
      </c>
      <c r="J96" s="413">
        <v>0</v>
      </c>
      <c r="K96" s="413">
        <v>0</v>
      </c>
      <c r="L96" s="413">
        <v>18833.008720855738</v>
      </c>
      <c r="M96" s="413">
        <v>19423.505491855736</v>
      </c>
    </row>
    <row r="97" spans="1:13" ht="13.5" thickBot="1">
      <c r="A97" s="412">
        <v>2015</v>
      </c>
      <c r="B97" s="413">
        <v>2989.6689109999998</v>
      </c>
      <c r="C97" s="413">
        <v>3161.5718930000003</v>
      </c>
      <c r="D97" s="413">
        <v>5240.6505729999999</v>
      </c>
      <c r="E97" s="413">
        <v>2477.0962949999998</v>
      </c>
      <c r="F97" s="413">
        <v>2165.0718230000002</v>
      </c>
      <c r="G97" s="413">
        <v>6603.2270360000002</v>
      </c>
      <c r="H97" s="413">
        <v>336.33835399999998</v>
      </c>
      <c r="I97" s="413">
        <v>876.35805000000005</v>
      </c>
      <c r="J97" s="413">
        <v>0</v>
      </c>
      <c r="K97" s="413">
        <v>0</v>
      </c>
      <c r="L97" s="413">
        <v>22973.624884999997</v>
      </c>
      <c r="M97" s="413">
        <v>23849.982934999996</v>
      </c>
    </row>
    <row r="98" spans="1:13" ht="13.5" thickBot="1">
      <c r="A98" s="412" t="s">
        <v>774</v>
      </c>
      <c r="B98" s="413">
        <v>4392.6589969999995</v>
      </c>
      <c r="C98" s="413">
        <v>3828.3712380000006</v>
      </c>
      <c r="D98" s="413">
        <v>6323.5150130000011</v>
      </c>
      <c r="E98" s="413">
        <v>3470.2955069999998</v>
      </c>
      <c r="F98" s="413">
        <v>2441.4212870000001</v>
      </c>
      <c r="G98" s="413">
        <v>7298.1823329999979</v>
      </c>
      <c r="H98" s="413">
        <v>443.92688800000002</v>
      </c>
      <c r="I98" s="413">
        <v>788.03948100000002</v>
      </c>
      <c r="J98" s="413">
        <v>0</v>
      </c>
      <c r="K98" s="413">
        <v>0</v>
      </c>
      <c r="L98" s="413">
        <v>28198.371263000001</v>
      </c>
      <c r="M98" s="413">
        <v>28986.410744000001</v>
      </c>
    </row>
    <row r="99" spans="1:13">
      <c r="A99" s="411" t="s">
        <v>776</v>
      </c>
      <c r="B99" s="389"/>
      <c r="C99" s="389"/>
      <c r="D99" s="389"/>
      <c r="E99" s="389"/>
      <c r="F99" s="389"/>
      <c r="G99" s="389"/>
      <c r="H99" s="389"/>
      <c r="I99" s="389"/>
      <c r="J99" s="389"/>
      <c r="K99" s="389"/>
      <c r="L99" s="389"/>
      <c r="M99" s="389"/>
    </row>
    <row r="100" spans="1:13">
      <c r="A100" s="411" t="s">
        <v>778</v>
      </c>
      <c r="B100" s="389"/>
      <c r="C100" s="389"/>
      <c r="D100" s="389"/>
      <c r="E100" s="389"/>
      <c r="F100" s="389"/>
      <c r="G100" s="389"/>
      <c r="H100" s="389"/>
      <c r="I100" s="389"/>
      <c r="J100" s="389"/>
      <c r="K100" s="389"/>
      <c r="L100" s="389"/>
      <c r="M100" s="389"/>
    </row>
    <row r="103" spans="1:13" ht="13.5">
      <c r="A103" s="388" t="s">
        <v>799</v>
      </c>
      <c r="B103" s="389"/>
      <c r="C103" s="389"/>
      <c r="D103" s="389"/>
      <c r="E103" s="389"/>
      <c r="F103" s="389"/>
      <c r="G103" s="389"/>
      <c r="H103" s="389"/>
      <c r="I103" s="389"/>
      <c r="J103" s="389"/>
      <c r="K103" s="389"/>
      <c r="L103" s="389"/>
      <c r="M103" s="389"/>
    </row>
    <row r="104" spans="1:13" ht="13.5" thickBot="1">
      <c r="A104" s="391" t="s">
        <v>747</v>
      </c>
      <c r="B104" s="389"/>
      <c r="C104" s="389"/>
      <c r="D104" s="389"/>
      <c r="E104" s="389"/>
      <c r="F104" s="392"/>
      <c r="G104" s="389"/>
      <c r="H104" s="389"/>
      <c r="I104" s="389"/>
      <c r="J104" s="389"/>
      <c r="K104" s="389"/>
      <c r="L104" s="389"/>
      <c r="M104" s="389"/>
    </row>
    <row r="105" spans="1:13" ht="45.75" thickBot="1">
      <c r="A105" s="417" t="s">
        <v>527</v>
      </c>
      <c r="B105" s="417" t="s">
        <v>748</v>
      </c>
      <c r="C105" s="417" t="s">
        <v>749</v>
      </c>
      <c r="D105" s="417" t="s">
        <v>750</v>
      </c>
      <c r="E105" s="417" t="s">
        <v>751</v>
      </c>
      <c r="F105" s="417" t="s">
        <v>752</v>
      </c>
      <c r="G105" s="417" t="s">
        <v>753</v>
      </c>
      <c r="H105" s="417" t="s">
        <v>754</v>
      </c>
      <c r="I105" s="417" t="s">
        <v>755</v>
      </c>
      <c r="J105" s="417" t="s">
        <v>756</v>
      </c>
      <c r="K105" s="417" t="s">
        <v>757</v>
      </c>
      <c r="L105" s="395" t="s">
        <v>758</v>
      </c>
      <c r="M105" s="395" t="s">
        <v>759</v>
      </c>
    </row>
    <row r="106" spans="1:13" ht="13.5" thickBot="1">
      <c r="A106" s="412">
        <v>2004</v>
      </c>
      <c r="B106" s="413">
        <v>13321</v>
      </c>
      <c r="C106" s="413">
        <v>6118</v>
      </c>
      <c r="D106" s="413">
        <v>5806</v>
      </c>
      <c r="E106" s="413">
        <v>1573</v>
      </c>
      <c r="F106" s="413">
        <v>2198</v>
      </c>
      <c r="G106" s="413">
        <v>3780</v>
      </c>
      <c r="H106" s="413">
        <v>1007</v>
      </c>
      <c r="I106" s="413">
        <v>973</v>
      </c>
      <c r="J106" s="413">
        <v>121</v>
      </c>
      <c r="K106" s="413">
        <v>3.28</v>
      </c>
      <c r="L106" s="399">
        <v>33803</v>
      </c>
      <c r="M106" s="399">
        <v>34900.28</v>
      </c>
    </row>
    <row r="107" spans="1:13" ht="13.5" thickBot="1">
      <c r="A107" s="412">
        <v>2005</v>
      </c>
      <c r="B107" s="413">
        <v>14602</v>
      </c>
      <c r="C107" s="413">
        <v>6294</v>
      </c>
      <c r="D107" s="413">
        <v>5962</v>
      </c>
      <c r="E107" s="413">
        <v>1799</v>
      </c>
      <c r="F107" s="413">
        <v>2271</v>
      </c>
      <c r="G107" s="413">
        <v>4261</v>
      </c>
      <c r="H107" s="413">
        <v>1044</v>
      </c>
      <c r="I107" s="413">
        <v>1052</v>
      </c>
      <c r="J107" s="413">
        <v>126</v>
      </c>
      <c r="K107" s="413">
        <v>6.28</v>
      </c>
      <c r="L107" s="399">
        <v>36233</v>
      </c>
      <c r="M107" s="399">
        <v>37417.279999999999</v>
      </c>
    </row>
    <row r="108" spans="1:13" ht="13.5" thickBot="1">
      <c r="A108" s="412">
        <v>2006</v>
      </c>
      <c r="B108" s="413">
        <v>15856.3</v>
      </c>
      <c r="C108" s="413">
        <v>6547</v>
      </c>
      <c r="D108" s="413">
        <v>6327</v>
      </c>
      <c r="E108" s="413">
        <v>1884</v>
      </c>
      <c r="F108" s="413">
        <v>2382</v>
      </c>
      <c r="G108" s="413">
        <v>4253</v>
      </c>
      <c r="H108" s="413">
        <v>1134</v>
      </c>
      <c r="I108" s="413">
        <v>1054</v>
      </c>
      <c r="J108" s="413">
        <v>151</v>
      </c>
      <c r="K108" s="413">
        <v>10.57</v>
      </c>
      <c r="L108" s="399">
        <v>38383.300000000003</v>
      </c>
      <c r="M108" s="399">
        <v>39598.870000000003</v>
      </c>
    </row>
    <row r="109" spans="1:13" ht="13.5" thickBot="1">
      <c r="A109" s="412">
        <v>2007</v>
      </c>
      <c r="B109" s="413">
        <v>16886</v>
      </c>
      <c r="C109" s="413">
        <v>6043</v>
      </c>
      <c r="D109" s="413">
        <v>6087</v>
      </c>
      <c r="E109" s="413">
        <v>1993</v>
      </c>
      <c r="F109" s="413">
        <v>2568</v>
      </c>
      <c r="G109" s="413">
        <v>4494</v>
      </c>
      <c r="H109" s="413">
        <v>1184</v>
      </c>
      <c r="I109" s="413">
        <v>1094</v>
      </c>
      <c r="J109" s="413">
        <v>145</v>
      </c>
      <c r="K109" s="413">
        <v>8.8000000000000007</v>
      </c>
      <c r="L109" s="399">
        <v>39255</v>
      </c>
      <c r="M109" s="399">
        <v>40502.800000000003</v>
      </c>
    </row>
    <row r="110" spans="1:13" ht="13.5" thickBot="1">
      <c r="A110" s="412">
        <v>2008</v>
      </c>
      <c r="B110" s="413">
        <v>16848.329000000002</v>
      </c>
      <c r="C110" s="413">
        <v>6331.98</v>
      </c>
      <c r="D110" s="413">
        <v>6604.38</v>
      </c>
      <c r="E110" s="413">
        <v>2020.1410000000001</v>
      </c>
      <c r="F110" s="413">
        <v>2585.598</v>
      </c>
      <c r="G110" s="413">
        <v>4583.6260000000002</v>
      </c>
      <c r="H110" s="413">
        <v>1188.6213</v>
      </c>
      <c r="I110" s="413">
        <v>1060.396</v>
      </c>
      <c r="J110" s="413">
        <v>169.23699999999999</v>
      </c>
      <c r="K110" s="413">
        <v>14.03</v>
      </c>
      <c r="L110" s="399">
        <v>40162.675300000003</v>
      </c>
      <c r="M110" s="399">
        <v>41406.338300000003</v>
      </c>
    </row>
    <row r="111" spans="1:13" ht="13.5" thickBot="1">
      <c r="A111" s="412">
        <v>2009</v>
      </c>
      <c r="B111" s="413">
        <v>16708.778999999999</v>
      </c>
      <c r="C111" s="413">
        <v>6361.2359999999999</v>
      </c>
      <c r="D111" s="413">
        <v>7224.0630000000001</v>
      </c>
      <c r="E111" s="413">
        <v>2060.69</v>
      </c>
      <c r="F111" s="413">
        <v>2671.9250000000002</v>
      </c>
      <c r="G111" s="413">
        <v>4989.1970000000001</v>
      </c>
      <c r="H111" s="413">
        <v>1291.8520000000001</v>
      </c>
      <c r="I111" s="413">
        <v>964.80200000000002</v>
      </c>
      <c r="J111" s="413">
        <v>167.501</v>
      </c>
      <c r="K111" s="413">
        <v>9.3866165709999994</v>
      </c>
      <c r="L111" s="399">
        <v>41307.741999999998</v>
      </c>
      <c r="M111" s="399">
        <v>42449.431616570997</v>
      </c>
    </row>
    <row r="112" spans="1:13" ht="13.5" thickBot="1">
      <c r="A112" s="412">
        <v>2010</v>
      </c>
      <c r="B112" s="413">
        <v>18087.669000000002</v>
      </c>
      <c r="C112" s="413">
        <v>6612.2389999999996</v>
      </c>
      <c r="D112" s="413">
        <v>7943.31</v>
      </c>
      <c r="E112" s="413">
        <v>1956.47</v>
      </c>
      <c r="F112" s="413">
        <v>2866.28</v>
      </c>
      <c r="G112" s="413">
        <v>4326.5249999999996</v>
      </c>
      <c r="H112" s="413">
        <v>1269.296</v>
      </c>
      <c r="I112" s="413">
        <v>982.14800000000002</v>
      </c>
      <c r="J112" s="413">
        <v>190.74600000000001</v>
      </c>
      <c r="K112" s="413">
        <v>15.329000000000001</v>
      </c>
      <c r="L112" s="399">
        <v>43061.789000000004</v>
      </c>
      <c r="M112" s="399">
        <v>44250.012000000002</v>
      </c>
    </row>
    <row r="113" spans="1:13" ht="13.5" thickBot="1">
      <c r="A113" s="412">
        <v>2011</v>
      </c>
      <c r="B113" s="413">
        <v>17116.233541493166</v>
      </c>
      <c r="C113" s="413">
        <v>6998.9491990419847</v>
      </c>
      <c r="D113" s="413">
        <v>8919.8374343564428</v>
      </c>
      <c r="E113" s="413">
        <v>2062.145206514313</v>
      </c>
      <c r="F113" s="413">
        <v>3280.4100132202111</v>
      </c>
      <c r="G113" s="413">
        <v>4699.1149087773301</v>
      </c>
      <c r="H113" s="413">
        <v>1339.2638923805916</v>
      </c>
      <c r="I113" s="413">
        <v>985.56784388352025</v>
      </c>
      <c r="J113" s="413">
        <v>187.30433203800044</v>
      </c>
      <c r="K113" s="413">
        <v>11.899207522999973</v>
      </c>
      <c r="L113" s="399">
        <v>44415.954195784048</v>
      </c>
      <c r="M113" s="399">
        <v>45600.725579228572</v>
      </c>
    </row>
    <row r="114" spans="1:13" ht="13.5" thickBot="1">
      <c r="A114" s="412">
        <v>2012</v>
      </c>
      <c r="B114" s="413">
        <v>15542.326724617007</v>
      </c>
      <c r="C114" s="413">
        <v>6927.8395274915238</v>
      </c>
      <c r="D114" s="413">
        <v>8843.9789323715158</v>
      </c>
      <c r="E114" s="413">
        <v>2141.6588144864509</v>
      </c>
      <c r="F114" s="413">
        <v>3278.1260127168171</v>
      </c>
      <c r="G114" s="413">
        <v>4739.6703992091934</v>
      </c>
      <c r="H114" s="413">
        <v>1316.950872592628</v>
      </c>
      <c r="I114" s="413">
        <v>1081.7465090645746</v>
      </c>
      <c r="J114" s="413">
        <v>164.53519002633993</v>
      </c>
      <c r="K114" s="413">
        <v>12.020556153923991</v>
      </c>
      <c r="L114" s="399">
        <v>42790.55128348514</v>
      </c>
      <c r="M114" s="399">
        <v>44048.853538729978</v>
      </c>
    </row>
    <row r="115" spans="1:13" ht="13.5" thickBot="1">
      <c r="A115" s="415">
        <v>2013</v>
      </c>
      <c r="B115" s="416">
        <v>13751.121655879688</v>
      </c>
      <c r="C115" s="416">
        <v>7065.5555607101705</v>
      </c>
      <c r="D115" s="416">
        <v>8763.3911878271392</v>
      </c>
      <c r="E115" s="416">
        <v>2264.6499638981586</v>
      </c>
      <c r="F115" s="416">
        <v>3355.4910916102308</v>
      </c>
      <c r="G115" s="416">
        <v>4719.3437265247194</v>
      </c>
      <c r="H115" s="416">
        <v>1373.1292095696426</v>
      </c>
      <c r="I115" s="416">
        <v>1041.5591370281581</v>
      </c>
      <c r="J115" s="416">
        <v>171.5365072551142</v>
      </c>
      <c r="K115" s="416">
        <v>12.735723470999972</v>
      </c>
      <c r="L115" s="407">
        <v>41292.682396019751</v>
      </c>
      <c r="M115" s="407">
        <v>42518.513763774026</v>
      </c>
    </row>
    <row r="116" spans="1:13" ht="13.5" thickBot="1">
      <c r="A116" s="412">
        <v>2014</v>
      </c>
      <c r="B116" s="413">
        <v>12885.298681127901</v>
      </c>
      <c r="C116" s="413">
        <v>7015.8728076991101</v>
      </c>
      <c r="D116" s="413">
        <v>8822.131312132442</v>
      </c>
      <c r="E116" s="413">
        <v>2299.7039500497485</v>
      </c>
      <c r="F116" s="413">
        <v>3023.5335106406601</v>
      </c>
      <c r="G116" s="413">
        <v>4715.2169109554015</v>
      </c>
      <c r="H116" s="413">
        <v>1333.2120847000001</v>
      </c>
      <c r="I116" s="413">
        <v>1027.1526975692213</v>
      </c>
      <c r="J116" s="413">
        <v>187.13126495752499</v>
      </c>
      <c r="K116" s="413">
        <v>11.302499913127377</v>
      </c>
      <c r="L116" s="399">
        <v>40094.96925730526</v>
      </c>
      <c r="M116" s="399">
        <v>41320.555719745142</v>
      </c>
    </row>
    <row r="117" spans="1:13" ht="13.5" thickBot="1">
      <c r="A117" s="412">
        <v>2015</v>
      </c>
      <c r="B117" s="413">
        <v>12022.355804372415</v>
      </c>
      <c r="C117" s="413">
        <v>7313.2715522269846</v>
      </c>
      <c r="D117" s="413">
        <v>8570.9412643226369</v>
      </c>
      <c r="E117" s="413">
        <v>2215.2659145337816</v>
      </c>
      <c r="F117" s="413">
        <v>2845.3587407031091</v>
      </c>
      <c r="G117" s="413">
        <v>4908.6167796183445</v>
      </c>
      <c r="H117" s="413">
        <v>1514.3221931213334</v>
      </c>
      <c r="I117" s="413">
        <v>1047.4963279492197</v>
      </c>
      <c r="J117" s="413">
        <v>194.02898424799969</v>
      </c>
      <c r="K117" s="413">
        <v>8.2709156870000022</v>
      </c>
      <c r="L117" s="399">
        <v>39390.132248898604</v>
      </c>
      <c r="M117" s="399">
        <v>40639.928476782821</v>
      </c>
    </row>
    <row r="118" spans="1:13" ht="13.5" thickBot="1">
      <c r="A118" s="418" t="s">
        <v>800</v>
      </c>
      <c r="B118" s="410">
        <v>11605.698918076316</v>
      </c>
      <c r="C118" s="410">
        <v>7367.1267309812665</v>
      </c>
      <c r="D118" s="410">
        <v>7700.7643222631714</v>
      </c>
      <c r="E118" s="410">
        <v>2374.3304049334452</v>
      </c>
      <c r="F118" s="410">
        <v>2884.2129653193742</v>
      </c>
      <c r="G118" s="410">
        <v>5465.3535708302279</v>
      </c>
      <c r="H118" s="410">
        <v>1395.6156430000012</v>
      </c>
      <c r="I118" s="410">
        <v>1007.9532751049355</v>
      </c>
      <c r="J118" s="410">
        <v>191.19285058300002</v>
      </c>
      <c r="K118" s="413">
        <v>9.2981635093667308</v>
      </c>
      <c r="L118" s="399">
        <v>38793.102555403799</v>
      </c>
      <c r="M118" s="399">
        <v>40001.5468446011</v>
      </c>
    </row>
    <row r="119" spans="1:13">
      <c r="A119" s="411" t="s">
        <v>776</v>
      </c>
      <c r="B119" s="389"/>
      <c r="C119" s="389"/>
      <c r="D119" s="389"/>
      <c r="E119" s="389"/>
      <c r="F119" s="389"/>
      <c r="G119" s="389"/>
      <c r="H119" s="389"/>
      <c r="I119" s="389"/>
      <c r="J119" s="389"/>
      <c r="K119" s="389"/>
      <c r="L119" s="389"/>
      <c r="M119" s="389"/>
    </row>
    <row r="120" spans="1:13">
      <c r="A120" s="411" t="s">
        <v>778</v>
      </c>
      <c r="B120" s="389"/>
      <c r="C120" s="389"/>
      <c r="D120" s="389"/>
      <c r="E120" s="389"/>
      <c r="F120" s="389"/>
      <c r="G120" s="389"/>
      <c r="H120" s="389"/>
      <c r="I120" s="389"/>
      <c r="J120" s="389"/>
      <c r="K120" s="389"/>
      <c r="L120" s="389"/>
      <c r="M120" s="389"/>
    </row>
    <row r="121" spans="1:13">
      <c r="A121" s="389"/>
      <c r="B121" s="389"/>
      <c r="C121" s="389"/>
      <c r="D121" s="389"/>
      <c r="E121" s="389"/>
      <c r="F121" s="389"/>
      <c r="G121" s="389"/>
      <c r="H121" s="389"/>
      <c r="I121" s="389"/>
      <c r="J121" s="389"/>
      <c r="K121" s="389"/>
      <c r="L121" s="389"/>
      <c r="M121" s="389"/>
    </row>
    <row r="125" spans="1:13">
      <c r="A125" s="660" t="s">
        <v>801</v>
      </c>
      <c r="B125" s="660"/>
      <c r="C125" s="660"/>
      <c r="D125" s="660"/>
      <c r="G125" s="661" t="s">
        <v>802</v>
      </c>
      <c r="H125" s="661"/>
      <c r="I125" s="661"/>
      <c r="J125" s="661"/>
    </row>
    <row r="126" spans="1:13" ht="13.5" thickBot="1">
      <c r="A126" s="391" t="s">
        <v>803</v>
      </c>
      <c r="B126" s="389"/>
      <c r="C126" s="389"/>
      <c r="D126" s="389"/>
      <c r="G126" s="419" t="s">
        <v>747</v>
      </c>
      <c r="H126" s="420"/>
      <c r="I126" s="420"/>
      <c r="J126" s="420"/>
    </row>
    <row r="127" spans="1:13" ht="23.25" thickBot="1">
      <c r="A127" s="421" t="s">
        <v>403</v>
      </c>
      <c r="B127" s="421" t="s">
        <v>804</v>
      </c>
      <c r="C127" s="421" t="s">
        <v>805</v>
      </c>
      <c r="D127" s="421" t="s">
        <v>806</v>
      </c>
      <c r="G127" s="421" t="s">
        <v>403</v>
      </c>
      <c r="H127" s="421" t="s">
        <v>807</v>
      </c>
      <c r="I127" s="421" t="s">
        <v>808</v>
      </c>
      <c r="J127" s="421" t="s">
        <v>809</v>
      </c>
    </row>
    <row r="128" spans="1:13" ht="13.5" thickBot="1">
      <c r="A128" s="422" t="s">
        <v>810</v>
      </c>
      <c r="B128" s="423">
        <v>48801.040999999997</v>
      </c>
      <c r="C128" s="423">
        <v>52331.124000000003</v>
      </c>
      <c r="D128" s="424">
        <v>7.2336223319498627</v>
      </c>
      <c r="G128" s="422" t="s">
        <v>810</v>
      </c>
      <c r="H128" s="423">
        <v>246600.6499550993</v>
      </c>
      <c r="I128" s="423">
        <v>254495.55305299145</v>
      </c>
      <c r="J128" s="424">
        <v>3.201493223691676</v>
      </c>
    </row>
    <row r="129" spans="1:10" ht="23.25" thickBot="1">
      <c r="A129" s="425" t="s">
        <v>811</v>
      </c>
      <c r="B129" s="426">
        <v>24042.659</v>
      </c>
      <c r="C129" s="426">
        <v>27274.187999999998</v>
      </c>
      <c r="D129" s="427">
        <v>13.440813680383679</v>
      </c>
      <c r="G129" s="425" t="s">
        <v>811</v>
      </c>
      <c r="H129" s="426">
        <v>155185.43981572925</v>
      </c>
      <c r="I129" s="426">
        <v>160378.26428787116</v>
      </c>
      <c r="J129" s="427">
        <v>3.3462059831824487</v>
      </c>
    </row>
    <row r="130" spans="1:10" ht="34.5" thickBot="1">
      <c r="A130" s="425" t="s">
        <v>812</v>
      </c>
      <c r="B130" s="426">
        <v>12710.670000000002</v>
      </c>
      <c r="C130" s="426">
        <v>12593.670000000002</v>
      </c>
      <c r="D130" s="427">
        <v>-0.92048648891049911</v>
      </c>
      <c r="G130" s="425" t="s">
        <v>812</v>
      </c>
      <c r="H130" s="426">
        <v>39231.52034095001</v>
      </c>
      <c r="I130" s="426">
        <v>40343.418779000014</v>
      </c>
      <c r="J130" s="427">
        <v>2.8341966571440835</v>
      </c>
    </row>
    <row r="131" spans="1:10" ht="23.25" thickBot="1">
      <c r="A131" s="425" t="s">
        <v>325</v>
      </c>
      <c r="B131" s="426">
        <v>5378.3600000000006</v>
      </c>
      <c r="C131" s="426">
        <v>5378.3600000000006</v>
      </c>
      <c r="D131" s="427">
        <v>0</v>
      </c>
      <c r="G131" s="425" t="s">
        <v>325</v>
      </c>
      <c r="H131" s="426">
        <v>33599.187227000002</v>
      </c>
      <c r="I131" s="426">
        <v>34208.204572000002</v>
      </c>
      <c r="J131" s="427">
        <v>1.8125954681147638</v>
      </c>
    </row>
    <row r="132" spans="1:10" ht="13.5" thickBot="1">
      <c r="A132" s="425" t="s">
        <v>813</v>
      </c>
      <c r="B132" s="426">
        <v>4903.6459999999997</v>
      </c>
      <c r="C132" s="426">
        <v>5052.3060000000005</v>
      </c>
      <c r="D132" s="427">
        <v>3.031621776939053</v>
      </c>
      <c r="G132" s="425" t="s">
        <v>813</v>
      </c>
      <c r="H132" s="426">
        <v>11647.594958219986</v>
      </c>
      <c r="I132" s="426">
        <v>12599.596544929251</v>
      </c>
      <c r="J132" s="427">
        <v>8.1733747621212984</v>
      </c>
    </row>
    <row r="133" spans="1:10" ht="23.25" thickBot="1">
      <c r="A133" s="425" t="s">
        <v>322</v>
      </c>
      <c r="B133" s="426">
        <v>1185.7059999999999</v>
      </c>
      <c r="C133" s="426">
        <v>1452.6000000000001</v>
      </c>
      <c r="D133" s="427">
        <v>22.509289823953015</v>
      </c>
      <c r="G133" s="425" t="s">
        <v>322</v>
      </c>
      <c r="H133" s="426">
        <v>2650.6476132000003</v>
      </c>
      <c r="I133" s="426">
        <v>3140.3258691910009</v>
      </c>
      <c r="J133" s="427">
        <v>18.473910057015665</v>
      </c>
    </row>
    <row r="134" spans="1:10" ht="23.25" thickBot="1">
      <c r="A134" s="425" t="s">
        <v>814</v>
      </c>
      <c r="B134" s="426">
        <v>580</v>
      </c>
      <c r="C134" s="426">
        <v>580</v>
      </c>
      <c r="D134" s="427">
        <v>0</v>
      </c>
      <c r="G134" s="425" t="s">
        <v>814</v>
      </c>
      <c r="H134" s="426">
        <v>4286.2599999999993</v>
      </c>
      <c r="I134" s="426">
        <v>3825.7430000000004</v>
      </c>
      <c r="J134" s="427">
        <v>-10.744028593692379</v>
      </c>
    </row>
    <row r="135" spans="1:10" ht="13.5" thickBot="1">
      <c r="A135" s="422" t="s">
        <v>815</v>
      </c>
      <c r="B135" s="423">
        <v>19223.6580025</v>
      </c>
      <c r="C135" s="423">
        <v>21179.324558812958</v>
      </c>
      <c r="D135" s="424">
        <v>10.173227988443333</v>
      </c>
      <c r="G135" s="422" t="s">
        <v>815</v>
      </c>
      <c r="H135" s="423">
        <v>62952.189273909986</v>
      </c>
      <c r="I135" s="423">
        <v>64867.980391562909</v>
      </c>
      <c r="J135" s="424">
        <v>3.0432478040075095</v>
      </c>
    </row>
    <row r="136" spans="1:10" ht="13.5" thickBot="1">
      <c r="A136" s="428" t="s">
        <v>816</v>
      </c>
      <c r="B136" s="426">
        <v>17124.000002500001</v>
      </c>
      <c r="C136" s="426">
        <v>18528.707558812959</v>
      </c>
      <c r="D136" s="427">
        <v>8.2031508765935577</v>
      </c>
      <c r="G136" s="428" t="s">
        <v>816</v>
      </c>
      <c r="H136" s="426">
        <v>47576.234201930005</v>
      </c>
      <c r="I136" s="426">
        <v>49244.20555128291</v>
      </c>
      <c r="J136" s="427">
        <v>3.5058919171144565</v>
      </c>
    </row>
    <row r="137" spans="1:10" ht="23.25" thickBot="1">
      <c r="A137" s="429" t="s">
        <v>313</v>
      </c>
      <c r="B137" s="426">
        <v>12488.5</v>
      </c>
      <c r="C137" s="426">
        <v>12588.984999999999</v>
      </c>
      <c r="D137" s="427">
        <v>0.80462025063057219</v>
      </c>
      <c r="G137" s="429" t="s">
        <v>313</v>
      </c>
      <c r="H137" s="426">
        <v>30891.540583600014</v>
      </c>
      <c r="I137" s="426">
        <v>30909.336791265989</v>
      </c>
      <c r="J137" s="427">
        <v>5.7608676452414187E-2</v>
      </c>
    </row>
    <row r="138" spans="1:10" ht="13.5" thickBot="1">
      <c r="A138" s="429" t="s">
        <v>318</v>
      </c>
      <c r="B138" s="426">
        <v>2805.1</v>
      </c>
      <c r="C138" s="426">
        <v>3735.4</v>
      </c>
      <c r="D138" s="427">
        <v>33.16459306263593</v>
      </c>
      <c r="G138" s="429" t="s">
        <v>318</v>
      </c>
      <c r="H138" s="426">
        <v>8745.0946809999969</v>
      </c>
      <c r="I138" s="426">
        <v>10462.578423489997</v>
      </c>
      <c r="J138" s="427">
        <v>19.639395628517153</v>
      </c>
    </row>
    <row r="139" spans="1:10" ht="23.25" thickBot="1">
      <c r="A139" s="429" t="s">
        <v>315</v>
      </c>
      <c r="B139" s="426">
        <v>883.6</v>
      </c>
      <c r="C139" s="426">
        <v>908.6</v>
      </c>
      <c r="D139" s="427">
        <v>2.8293345405160597</v>
      </c>
      <c r="G139" s="429" t="s">
        <v>315</v>
      </c>
      <c r="H139" s="426">
        <v>6330.9769909999995</v>
      </c>
      <c r="I139" s="426">
        <v>6148.2894109999997</v>
      </c>
      <c r="J139" s="427">
        <v>-2.8856143413521385</v>
      </c>
    </row>
    <row r="140" spans="1:10" ht="13.5" thickBot="1">
      <c r="A140" s="429" t="s">
        <v>11</v>
      </c>
      <c r="B140" s="426">
        <v>56.33408</v>
      </c>
      <c r="C140" s="426">
        <v>145.02607999999998</v>
      </c>
      <c r="D140" s="427">
        <v>157.439333348481</v>
      </c>
      <c r="G140" s="429" t="s">
        <v>11</v>
      </c>
      <c r="H140" s="426">
        <v>78.212767149999991</v>
      </c>
      <c r="I140" s="426">
        <v>159.98954280462533</v>
      </c>
      <c r="J140" s="427">
        <v>104.5568116747361</v>
      </c>
    </row>
    <row r="141" spans="1:10" ht="23.25" thickBot="1">
      <c r="A141" s="429" t="s">
        <v>817</v>
      </c>
      <c r="B141" s="426">
        <v>759.76</v>
      </c>
      <c r="C141" s="430">
        <v>888.77700000000004</v>
      </c>
      <c r="D141" s="427">
        <v>16.981283563230498</v>
      </c>
      <c r="G141" s="429" t="s">
        <v>817</v>
      </c>
      <c r="H141" s="426">
        <v>1369.216651</v>
      </c>
      <c r="I141" s="426">
        <v>1471.4329933406498</v>
      </c>
      <c r="J141" s="427">
        <v>7.4653154609240824</v>
      </c>
    </row>
    <row r="142" spans="1:10" ht="45.75" thickBot="1">
      <c r="A142" s="429" t="s">
        <v>818</v>
      </c>
      <c r="B142" s="426">
        <v>117.55992249999986</v>
      </c>
      <c r="C142" s="426">
        <v>247.60447881296082</v>
      </c>
      <c r="D142" s="427">
        <v>110.6198043920632</v>
      </c>
      <c r="G142" s="429" t="s">
        <v>818</v>
      </c>
      <c r="H142" s="426">
        <v>127.85000000000001</v>
      </c>
      <c r="I142" s="426">
        <v>56.46027250165416</v>
      </c>
      <c r="J142" s="427">
        <v>-55.838660538401129</v>
      </c>
    </row>
    <row r="143" spans="1:10" ht="23.25" thickBot="1">
      <c r="A143" s="431" t="s">
        <v>819</v>
      </c>
      <c r="B143" s="432">
        <v>2.1999999999999999E-2</v>
      </c>
      <c r="C143" s="432">
        <v>2.3E-2</v>
      </c>
      <c r="D143" s="433">
        <v>4.5454545454545414</v>
      </c>
      <c r="G143" s="431" t="s">
        <v>819</v>
      </c>
      <c r="H143" s="434">
        <v>0.05</v>
      </c>
      <c r="I143" s="435">
        <v>3.898E-3</v>
      </c>
      <c r="J143" s="433">
        <v>-92.203999999999994</v>
      </c>
    </row>
    <row r="144" spans="1:10" ht="23.25" thickBot="1">
      <c r="A144" s="431" t="s">
        <v>820</v>
      </c>
      <c r="B144" s="432">
        <v>113.90291249999984</v>
      </c>
      <c r="C144" s="432">
        <v>243.60622881296084</v>
      </c>
      <c r="D144" s="433">
        <v>113.8718172048157</v>
      </c>
      <c r="G144" s="431" t="s">
        <v>820</v>
      </c>
      <c r="H144" s="434">
        <v>112.05000000000001</v>
      </c>
      <c r="I144" s="435">
        <v>54.805516731654158</v>
      </c>
      <c r="J144" s="433">
        <v>-51.088338481343911</v>
      </c>
    </row>
    <row r="145" spans="1:10" ht="34.5" thickBot="1">
      <c r="A145" s="431" t="s">
        <v>821</v>
      </c>
      <c r="B145" s="432">
        <v>3.5697600000000005</v>
      </c>
      <c r="C145" s="432">
        <v>3.91</v>
      </c>
      <c r="D145" s="433">
        <v>9.5311729640087819</v>
      </c>
      <c r="G145" s="431" t="s">
        <v>821</v>
      </c>
      <c r="H145" s="434">
        <v>15.64</v>
      </c>
      <c r="I145" s="435">
        <v>1.64689277</v>
      </c>
      <c r="J145" s="433">
        <v>-89.469995076726335</v>
      </c>
    </row>
    <row r="146" spans="1:10" ht="34.5" thickBot="1">
      <c r="A146" s="431" t="s">
        <v>822</v>
      </c>
      <c r="B146" s="432">
        <v>6.5250000000000002E-2</v>
      </c>
      <c r="C146" s="432">
        <v>6.5250000000000002E-2</v>
      </c>
      <c r="D146" s="433">
        <v>0</v>
      </c>
      <c r="G146" s="431" t="s">
        <v>822</v>
      </c>
      <c r="H146" s="434">
        <v>0.11</v>
      </c>
      <c r="I146" s="435">
        <v>3.9649999999999998E-3</v>
      </c>
      <c r="J146" s="433">
        <v>-96.395454545454555</v>
      </c>
    </row>
    <row r="147" spans="1:10" ht="13.5" thickBot="1">
      <c r="A147" s="429" t="s">
        <v>823</v>
      </c>
      <c r="B147" s="432">
        <v>13.146000000000001</v>
      </c>
      <c r="C147" s="432">
        <v>14.315000000000001</v>
      </c>
      <c r="D147" s="433">
        <v>8.8924387646432521</v>
      </c>
      <c r="G147" s="429" t="s">
        <v>823</v>
      </c>
      <c r="H147" s="434">
        <v>33.342528180000002</v>
      </c>
      <c r="I147" s="436">
        <v>36.118116880000002</v>
      </c>
      <c r="J147" s="433">
        <v>8.3244698332890508</v>
      </c>
    </row>
    <row r="148" spans="1:10" ht="13.5" thickBot="1">
      <c r="A148" s="428" t="s">
        <v>824</v>
      </c>
      <c r="B148" s="426">
        <v>2099.6580000000004</v>
      </c>
      <c r="C148" s="426">
        <v>2650.6170000000002</v>
      </c>
      <c r="D148" s="427">
        <v>26.240416296368263</v>
      </c>
      <c r="G148" s="428" t="s">
        <v>824</v>
      </c>
      <c r="H148" s="426">
        <v>15375.955071979981</v>
      </c>
      <c r="I148" s="426">
        <v>15623.774840279999</v>
      </c>
      <c r="J148" s="427">
        <v>1.611735772769185</v>
      </c>
    </row>
    <row r="149" spans="1:10" ht="23.25" thickBot="1">
      <c r="A149" s="429" t="s">
        <v>311</v>
      </c>
      <c r="B149" s="426">
        <v>1510</v>
      </c>
      <c r="C149" s="430">
        <v>1608</v>
      </c>
      <c r="D149" s="427">
        <v>6.4900662251655694</v>
      </c>
      <c r="G149" s="429" t="s">
        <v>311</v>
      </c>
      <c r="H149" s="426">
        <v>11577.13786469998</v>
      </c>
      <c r="I149" s="427">
        <v>10567.174252999999</v>
      </c>
      <c r="J149" s="427">
        <v>-8.7237763210842978</v>
      </c>
    </row>
    <row r="150" spans="1:10" ht="45.75" thickBot="1">
      <c r="A150" s="429" t="s">
        <v>825</v>
      </c>
      <c r="B150" s="426">
        <v>583.05000000000007</v>
      </c>
      <c r="C150" s="430">
        <v>1036.0090000000002</v>
      </c>
      <c r="D150" s="427">
        <v>77.68784838350058</v>
      </c>
      <c r="G150" s="429" t="s">
        <v>825</v>
      </c>
      <c r="H150" s="426">
        <v>3795.2172072799999</v>
      </c>
      <c r="I150" s="426">
        <v>5053.0005872799993</v>
      </c>
      <c r="J150" s="427">
        <v>33.14127522365029</v>
      </c>
    </row>
    <row r="151" spans="1:10" ht="34.5" thickBot="1">
      <c r="A151" s="429" t="s">
        <v>826</v>
      </c>
      <c r="B151" s="426">
        <v>6.6080000000000005</v>
      </c>
      <c r="C151" s="437">
        <v>6.6080000000000005</v>
      </c>
      <c r="D151" s="427">
        <v>0</v>
      </c>
      <c r="G151" s="429" t="s">
        <v>826</v>
      </c>
      <c r="H151" s="426">
        <v>3.5999999999999996</v>
      </c>
      <c r="I151" s="426">
        <v>3.5999999999999996</v>
      </c>
      <c r="J151" s="427">
        <v>0</v>
      </c>
    </row>
    <row r="152" spans="1:10" ht="13.5" thickBot="1">
      <c r="A152" s="422" t="s">
        <v>827</v>
      </c>
      <c r="B152" s="423">
        <v>68024.699002499998</v>
      </c>
      <c r="C152" s="423">
        <v>73510.448558812961</v>
      </c>
      <c r="D152" s="424">
        <v>8.0643496211741486</v>
      </c>
      <c r="G152" s="422" t="s">
        <v>827</v>
      </c>
      <c r="H152" s="423">
        <v>309552.83922900929</v>
      </c>
      <c r="I152" s="423">
        <v>319363.53344455437</v>
      </c>
      <c r="J152" s="424">
        <v>3.1693116561231305</v>
      </c>
    </row>
    <row r="153" spans="1:10" ht="69" customHeight="1">
      <c r="A153" s="662" t="s">
        <v>828</v>
      </c>
      <c r="B153" s="662"/>
      <c r="C153" s="662"/>
      <c r="D153" s="662"/>
      <c r="G153" s="662" t="s">
        <v>828</v>
      </c>
      <c r="H153" s="662"/>
      <c r="I153" s="662"/>
      <c r="J153" s="662"/>
    </row>
    <row r="154" spans="1:10" ht="38.1" customHeight="1">
      <c r="A154" s="652" t="s">
        <v>829</v>
      </c>
      <c r="B154" s="652"/>
      <c r="C154" s="652"/>
      <c r="D154" s="652"/>
      <c r="G154" s="652" t="s">
        <v>829</v>
      </c>
      <c r="H154" s="652"/>
      <c r="I154" s="652"/>
      <c r="J154" s="652"/>
    </row>
    <row r="155" spans="1:10">
      <c r="A155" s="389"/>
      <c r="B155" s="389"/>
      <c r="C155" s="389"/>
      <c r="D155" s="389"/>
      <c r="G155" s="389"/>
      <c r="H155" s="389"/>
      <c r="I155" s="389"/>
      <c r="J155" s="389"/>
    </row>
    <row r="159" spans="1:10" ht="13.5" thickBot="1">
      <c r="A159" s="438" t="s">
        <v>830</v>
      </c>
      <c r="B159" s="438"/>
      <c r="C159" s="438"/>
      <c r="G159" s="439" t="s">
        <v>831</v>
      </c>
      <c r="H159" s="439"/>
      <c r="I159" s="439"/>
    </row>
    <row r="160" spans="1:10" ht="15.75" thickBot="1">
      <c r="A160" s="391" t="s">
        <v>803</v>
      </c>
      <c r="B160" s="440"/>
      <c r="C160" s="440"/>
      <c r="G160" s="441" t="s">
        <v>747</v>
      </c>
      <c r="H160" s="442"/>
      <c r="I160" s="442"/>
    </row>
    <row r="161" spans="1:9" ht="34.5" thickBot="1">
      <c r="A161" s="421" t="s">
        <v>832</v>
      </c>
      <c r="B161" s="421" t="s">
        <v>833</v>
      </c>
      <c r="C161" s="421" t="s">
        <v>834</v>
      </c>
      <c r="G161" s="443" t="s">
        <v>832</v>
      </c>
      <c r="H161" s="443" t="s">
        <v>835</v>
      </c>
      <c r="I161" s="443" t="s">
        <v>836</v>
      </c>
    </row>
    <row r="162" spans="1:9" ht="13.5" thickBot="1">
      <c r="A162" s="655" t="s">
        <v>837</v>
      </c>
      <c r="B162" s="656"/>
      <c r="C162" s="657"/>
      <c r="G162" s="655" t="s">
        <v>837</v>
      </c>
      <c r="H162" s="656"/>
      <c r="I162" s="657"/>
    </row>
    <row r="163" spans="1:9" ht="13.5" thickBot="1">
      <c r="A163" s="425" t="s">
        <v>838</v>
      </c>
      <c r="B163" s="426">
        <v>367.48</v>
      </c>
      <c r="C163" s="427">
        <v>0.49990172445484804</v>
      </c>
      <c r="G163" s="425" t="s">
        <v>838</v>
      </c>
      <c r="H163" s="426">
        <v>489.95719647840002</v>
      </c>
      <c r="I163" s="427">
        <v>0.15341676339620758</v>
      </c>
    </row>
    <row r="164" spans="1:9" ht="34.5" thickBot="1">
      <c r="A164" s="425" t="s">
        <v>839</v>
      </c>
      <c r="B164" s="426">
        <v>13255.41</v>
      </c>
      <c r="C164" s="427">
        <v>18.032008047665276</v>
      </c>
      <c r="G164" s="425" t="s">
        <v>839</v>
      </c>
      <c r="H164" s="426">
        <v>88674.967192261131</v>
      </c>
      <c r="I164" s="427">
        <v>27.766152959243946</v>
      </c>
    </row>
    <row r="165" spans="1:9" ht="23.25" thickBot="1">
      <c r="A165" s="425" t="s">
        <v>840</v>
      </c>
      <c r="B165" s="426">
        <v>9576.7996800000074</v>
      </c>
      <c r="C165" s="427">
        <v>13.027807431127245</v>
      </c>
      <c r="G165" s="425" t="s">
        <v>840</v>
      </c>
      <c r="H165" s="426">
        <v>29650.397553198884</v>
      </c>
      <c r="I165" s="427">
        <v>9.2842151492373137</v>
      </c>
    </row>
    <row r="166" spans="1:9" ht="23.25" thickBot="1">
      <c r="A166" s="425" t="s">
        <v>841</v>
      </c>
      <c r="B166" s="426">
        <v>106.27500000000001</v>
      </c>
      <c r="C166" s="427">
        <v>0.1445712848765619</v>
      </c>
      <c r="G166" s="425" t="s">
        <v>841</v>
      </c>
      <c r="H166" s="426">
        <v>115.486</v>
      </c>
      <c r="I166" s="427">
        <v>3.6161298303035563E-2</v>
      </c>
    </row>
    <row r="167" spans="1:9" ht="13.5" thickBot="1">
      <c r="A167" s="425" t="s">
        <v>842</v>
      </c>
      <c r="B167" s="426">
        <v>4394.7979999999989</v>
      </c>
      <c r="C167" s="427">
        <v>5.9784671242808214</v>
      </c>
      <c r="G167" s="425" t="s">
        <v>842</v>
      </c>
      <c r="H167" s="426">
        <v>17489.494320215654</v>
      </c>
      <c r="I167" s="427">
        <v>5.4763592234778624</v>
      </c>
    </row>
    <row r="168" spans="1:9" ht="13.5" thickBot="1">
      <c r="A168" s="425" t="s">
        <v>843</v>
      </c>
      <c r="B168" s="426">
        <v>1549.02</v>
      </c>
      <c r="C168" s="427">
        <v>2.1072106487837394</v>
      </c>
      <c r="G168" s="425" t="s">
        <v>843</v>
      </c>
      <c r="H168" s="426">
        <v>6311.9383999999991</v>
      </c>
      <c r="I168" s="427">
        <v>1.9764117499331948</v>
      </c>
    </row>
    <row r="169" spans="1:9" ht="23.25" thickBot="1">
      <c r="A169" s="425" t="s">
        <v>844</v>
      </c>
      <c r="B169" s="426">
        <v>497.41300000000001</v>
      </c>
      <c r="C169" s="427">
        <v>0.67665618936067073</v>
      </c>
      <c r="G169" s="425" t="s">
        <v>844</v>
      </c>
      <c r="H169" s="426">
        <v>1048.690016</v>
      </c>
      <c r="I169" s="427">
        <v>0.32836874163094343</v>
      </c>
    </row>
    <row r="170" spans="1:9" ht="13.5" thickBot="1">
      <c r="A170" s="655" t="s">
        <v>845</v>
      </c>
      <c r="B170" s="656"/>
      <c r="C170" s="657"/>
      <c r="G170" s="655" t="s">
        <v>845</v>
      </c>
      <c r="H170" s="656"/>
      <c r="I170" s="657"/>
    </row>
    <row r="171" spans="1:9" ht="23.25" thickBot="1">
      <c r="A171" s="444" t="s">
        <v>846</v>
      </c>
      <c r="B171" s="426">
        <v>42901.606</v>
      </c>
      <c r="C171" s="427">
        <v>58.361235499299148</v>
      </c>
      <c r="G171" s="444" t="s">
        <v>846</v>
      </c>
      <c r="H171" s="426">
        <v>174228.11192955257</v>
      </c>
      <c r="I171" s="427">
        <v>54.554792167528696</v>
      </c>
    </row>
    <row r="172" spans="1:9" ht="13.5" thickBot="1">
      <c r="A172" s="444" t="s">
        <v>847</v>
      </c>
      <c r="B172" s="445">
        <v>599.72739999999999</v>
      </c>
      <c r="C172" s="427">
        <v>0.8158396687243451</v>
      </c>
      <c r="G172" s="444" t="s">
        <v>847</v>
      </c>
      <c r="H172" s="426">
        <v>1261.912447466</v>
      </c>
      <c r="I172" s="427">
        <v>0.39513354385061145</v>
      </c>
    </row>
    <row r="173" spans="1:9" ht="13.5" thickBot="1">
      <c r="A173" s="655" t="s">
        <v>279</v>
      </c>
      <c r="B173" s="656"/>
      <c r="C173" s="657"/>
      <c r="G173" s="655" t="s">
        <v>279</v>
      </c>
      <c r="H173" s="656"/>
      <c r="I173" s="657"/>
    </row>
    <row r="174" spans="1:9" ht="13.5" thickBot="1">
      <c r="A174" s="444" t="s">
        <v>848</v>
      </c>
      <c r="B174" s="426">
        <v>261.91947881296085</v>
      </c>
      <c r="C174" s="427">
        <v>0.35630238142732706</v>
      </c>
      <c r="G174" s="444" t="s">
        <v>848</v>
      </c>
      <c r="H174" s="426">
        <v>92.578389381654162</v>
      </c>
      <c r="I174" s="427">
        <v>2.8988403398200441E-2</v>
      </c>
    </row>
    <row r="175" spans="1:9" ht="13.5" thickBot="1">
      <c r="A175" s="422" t="s">
        <v>849</v>
      </c>
      <c r="B175" s="446">
        <v>73510.448558812976</v>
      </c>
      <c r="C175" s="447">
        <v>100</v>
      </c>
      <c r="G175" s="422" t="s">
        <v>850</v>
      </c>
      <c r="H175" s="446">
        <v>319363.53344455425</v>
      </c>
      <c r="I175" s="447">
        <v>100</v>
      </c>
    </row>
    <row r="176" spans="1:9" ht="33.950000000000003" customHeight="1">
      <c r="A176" s="653" t="s">
        <v>851</v>
      </c>
      <c r="B176" s="653"/>
      <c r="C176" s="653"/>
      <c r="G176" s="653" t="s">
        <v>852</v>
      </c>
      <c r="H176" s="653"/>
      <c r="I176" s="653"/>
    </row>
    <row r="177" spans="1:9" ht="39" customHeight="1">
      <c r="A177" s="654" t="s">
        <v>829</v>
      </c>
      <c r="B177" s="654"/>
      <c r="C177" s="654"/>
      <c r="G177" s="654" t="s">
        <v>829</v>
      </c>
      <c r="H177" s="654"/>
      <c r="I177" s="654"/>
    </row>
  </sheetData>
  <mergeCells count="33">
    <mergeCell ref="S2:V2"/>
    <mergeCell ref="S17:V17"/>
    <mergeCell ref="S18:V18"/>
    <mergeCell ref="A24:A25"/>
    <mergeCell ref="B24:C24"/>
    <mergeCell ref="D24:E24"/>
    <mergeCell ref="F24:G24"/>
    <mergeCell ref="H24:I24"/>
    <mergeCell ref="J24:K24"/>
    <mergeCell ref="L24:M24"/>
    <mergeCell ref="N24:O24"/>
    <mergeCell ref="J41:K41"/>
    <mergeCell ref="A125:D125"/>
    <mergeCell ref="G125:J125"/>
    <mergeCell ref="A153:D153"/>
    <mergeCell ref="G153:J153"/>
    <mergeCell ref="A41:A42"/>
    <mergeCell ref="B41:C41"/>
    <mergeCell ref="D41:E41"/>
    <mergeCell ref="F41:G41"/>
    <mergeCell ref="H41:I41"/>
    <mergeCell ref="A154:D154"/>
    <mergeCell ref="G154:J154"/>
    <mergeCell ref="A176:C176"/>
    <mergeCell ref="G176:I176"/>
    <mergeCell ref="A177:C177"/>
    <mergeCell ref="G177:I177"/>
    <mergeCell ref="A162:C162"/>
    <mergeCell ref="G162:I162"/>
    <mergeCell ref="A170:C170"/>
    <mergeCell ref="G170:I170"/>
    <mergeCell ref="A173:C173"/>
    <mergeCell ref="G173:I173"/>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O72"/>
  <sheetViews>
    <sheetView topLeftCell="A6" workbookViewId="0">
      <selection activeCell="A28" sqref="A28"/>
    </sheetView>
  </sheetViews>
  <sheetFormatPr baseColWidth="10" defaultRowHeight="15.75"/>
  <cols>
    <col min="1" max="1" width="26.5" customWidth="1"/>
    <col min="2" max="2" width="19.875" customWidth="1"/>
    <col min="8" max="8" width="37.875" customWidth="1"/>
    <col min="12" max="12" width="9.125" customWidth="1"/>
  </cols>
  <sheetData>
    <row r="1" spans="1:13">
      <c r="A1" t="s">
        <v>589</v>
      </c>
    </row>
    <row r="2" spans="1:13">
      <c r="A2" t="s">
        <v>590</v>
      </c>
    </row>
    <row r="3" spans="1:13">
      <c r="A3" t="s">
        <v>591</v>
      </c>
    </row>
    <row r="4" spans="1:13">
      <c r="A4" t="s">
        <v>592</v>
      </c>
    </row>
    <row r="5" spans="1:13">
      <c r="A5" t="s">
        <v>593</v>
      </c>
    </row>
    <row r="7" spans="1:13">
      <c r="C7" t="s">
        <v>594</v>
      </c>
    </row>
    <row r="8" spans="1:13">
      <c r="A8" t="s">
        <v>595</v>
      </c>
      <c r="B8" t="s">
        <v>390</v>
      </c>
      <c r="C8">
        <v>2013</v>
      </c>
      <c r="D8">
        <v>2014</v>
      </c>
      <c r="E8">
        <v>2015</v>
      </c>
      <c r="F8">
        <v>2016</v>
      </c>
    </row>
    <row r="9" spans="1:13">
      <c r="A9" s="3" t="s">
        <v>615</v>
      </c>
      <c r="B9" s="3"/>
      <c r="C9" s="3">
        <f>C10-C19</f>
        <v>2504.0419999999999</v>
      </c>
      <c r="D9" s="3">
        <f t="shared" ref="D9:F9" si="0">D10-D19</f>
        <v>2423.5410000000002</v>
      </c>
      <c r="E9" s="3">
        <f t="shared" si="0"/>
        <v>2367.5339999999997</v>
      </c>
      <c r="F9" s="3">
        <f t="shared" si="0"/>
        <v>2846.9079999999999</v>
      </c>
      <c r="H9" s="324"/>
      <c r="I9" s="325" t="s">
        <v>419</v>
      </c>
      <c r="J9" s="325" t="s">
        <v>384</v>
      </c>
      <c r="K9" s="325" t="s">
        <v>379</v>
      </c>
      <c r="L9" s="325" t="s">
        <v>386</v>
      </c>
      <c r="M9" s="326" t="s">
        <v>7</v>
      </c>
    </row>
    <row r="10" spans="1:13">
      <c r="A10" t="s">
        <v>7</v>
      </c>
      <c r="C10">
        <v>2562.6120000000001</v>
      </c>
      <c r="D10">
        <v>2491.69</v>
      </c>
      <c r="E10">
        <v>2435.9389999999999</v>
      </c>
      <c r="F10">
        <v>2917.317</v>
      </c>
      <c r="H10" s="203" t="s">
        <v>616</v>
      </c>
      <c r="I10" s="327">
        <f>SUM(C11,C16:C17,C20:C22)</f>
        <v>828.16600000000005</v>
      </c>
      <c r="J10" s="327">
        <f>C18</f>
        <v>1303.69</v>
      </c>
      <c r="K10" s="327">
        <f>SUM(C12:C15)</f>
        <v>372.18700000000001</v>
      </c>
      <c r="L10" s="327">
        <f>C19</f>
        <v>58.57</v>
      </c>
      <c r="M10" s="332">
        <f>SUM(I10:L10)</f>
        <v>2562.6130000000003</v>
      </c>
    </row>
    <row r="11" spans="1:13">
      <c r="A11" t="s">
        <v>287</v>
      </c>
      <c r="C11">
        <v>339.90100000000001</v>
      </c>
      <c r="D11">
        <v>357.93799999999999</v>
      </c>
      <c r="E11">
        <v>362.94400000000002</v>
      </c>
      <c r="F11">
        <v>372.851</v>
      </c>
      <c r="H11" s="203" t="s">
        <v>617</v>
      </c>
      <c r="I11" s="327">
        <f>'RESUMEN_SEC ELEC_PJ'!D34</f>
        <v>8266.3185281942533</v>
      </c>
      <c r="J11" s="327">
        <f>'RESUMEN_SEC ELEC_PJ'!E34</f>
        <v>1360.9236506602961</v>
      </c>
      <c r="K11" s="327">
        <f>'RESUMEN_SEC ELEC_PJ'!F34</f>
        <v>27.737020971806533</v>
      </c>
      <c r="L11" s="327">
        <f>'RESUMEN_SEC ELEC_PJ'!G34</f>
        <v>126.45347756049459</v>
      </c>
      <c r="M11" s="332">
        <f>SUM(I11:L11)</f>
        <v>9781.4326773868506</v>
      </c>
    </row>
    <row r="12" spans="1:13">
      <c r="A12" s="5" t="s">
        <v>237</v>
      </c>
      <c r="B12" s="5"/>
      <c r="C12" s="5">
        <v>122.598</v>
      </c>
      <c r="D12">
        <v>100.596</v>
      </c>
      <c r="E12">
        <v>120.407</v>
      </c>
      <c r="F12">
        <v>109.95399999999999</v>
      </c>
      <c r="H12" s="311" t="s">
        <v>618</v>
      </c>
      <c r="I12" s="328">
        <f>'RESUMEN_SEC ELEC_PJ'!D17</f>
        <v>455.61392134351217</v>
      </c>
      <c r="J12" s="328">
        <f>'RESUMEN_SEC ELEC_PJ'!E17</f>
        <v>1228.461661992482</v>
      </c>
      <c r="K12" s="328">
        <f>'RESUMEN_SEC ELEC_PJ'!F17</f>
        <v>24.684593251971059</v>
      </c>
      <c r="L12" s="328">
        <f>'RESUMEN_SEC ELEC_PJ'!G17</f>
        <v>126.45347756049459</v>
      </c>
      <c r="M12" s="335">
        <f>SUM(I12:L12)</f>
        <v>1835.2136541484599</v>
      </c>
    </row>
    <row r="13" spans="1:13">
      <c r="A13" s="5" t="s">
        <v>236</v>
      </c>
      <c r="B13" s="5"/>
      <c r="C13" s="5">
        <v>100.877</v>
      </c>
      <c r="D13">
        <v>140.01400000000001</v>
      </c>
      <c r="E13">
        <v>111.21</v>
      </c>
      <c r="F13">
        <v>110.51</v>
      </c>
    </row>
    <row r="14" spans="1:13">
      <c r="A14" s="5" t="s">
        <v>235</v>
      </c>
      <c r="B14" s="5"/>
      <c r="C14" s="5">
        <v>131.316</v>
      </c>
      <c r="D14">
        <v>129.87799999999999</v>
      </c>
      <c r="E14">
        <v>134.53</v>
      </c>
      <c r="F14">
        <v>132.595</v>
      </c>
    </row>
    <row r="15" spans="1:13">
      <c r="A15" s="5" t="s">
        <v>596</v>
      </c>
      <c r="B15" s="5"/>
      <c r="C15" s="5">
        <v>17.396000000000001</v>
      </c>
      <c r="D15">
        <v>25.731000000000002</v>
      </c>
      <c r="E15">
        <v>34.078000000000003</v>
      </c>
      <c r="F15">
        <v>40.182000000000002</v>
      </c>
      <c r="H15" s="324" t="s">
        <v>731</v>
      </c>
      <c r="I15" s="325" t="s">
        <v>383</v>
      </c>
      <c r="J15" s="325" t="s">
        <v>384</v>
      </c>
      <c r="K15" s="325" t="s">
        <v>649</v>
      </c>
      <c r="L15" s="325" t="s">
        <v>386</v>
      </c>
      <c r="M15" s="326" t="s">
        <v>28</v>
      </c>
    </row>
    <row r="16" spans="1:13">
      <c r="A16" t="s">
        <v>3</v>
      </c>
      <c r="C16">
        <v>27.908999999999999</v>
      </c>
      <c r="D16">
        <v>17.806000000000001</v>
      </c>
      <c r="E16">
        <v>20.702000000000002</v>
      </c>
      <c r="F16">
        <v>28.701000000000001</v>
      </c>
      <c r="H16" s="203"/>
      <c r="I16" s="7"/>
      <c r="J16" s="7"/>
      <c r="K16" s="7"/>
      <c r="L16" s="7"/>
      <c r="M16" s="204"/>
    </row>
    <row r="17" spans="1:15">
      <c r="A17" t="s">
        <v>229</v>
      </c>
      <c r="C17">
        <v>413.71800000000002</v>
      </c>
      <c r="D17">
        <v>258.52100000000002</v>
      </c>
      <c r="E17">
        <v>248.40299999999999</v>
      </c>
      <c r="F17">
        <v>273.29599999999999</v>
      </c>
      <c r="H17" s="203" t="s">
        <v>645</v>
      </c>
      <c r="I17" s="327">
        <f>SUM(C25,C31:C32)</f>
        <v>769.16200000000003</v>
      </c>
      <c r="J17" s="327">
        <f>C33</f>
        <v>495.17899999999997</v>
      </c>
      <c r="K17" s="327">
        <f>SUM(C26:C30)</f>
        <v>353.44299999999998</v>
      </c>
      <c r="L17" s="327">
        <v>0</v>
      </c>
      <c r="M17" s="332">
        <f>SUM(I17:L17)</f>
        <v>1617.7839999999999</v>
      </c>
    </row>
    <row r="18" spans="1:15">
      <c r="A18" t="s">
        <v>282</v>
      </c>
      <c r="C18">
        <v>1303.69</v>
      </c>
      <c r="D18">
        <v>1342.0840000000001</v>
      </c>
      <c r="E18">
        <v>1284.9970000000001</v>
      </c>
      <c r="F18">
        <v>1734.6220000000001</v>
      </c>
      <c r="H18" s="203" t="s">
        <v>646</v>
      </c>
      <c r="I18" s="327">
        <f>C36</f>
        <v>1.9039999999999999</v>
      </c>
      <c r="J18" s="327">
        <f>C37</f>
        <v>642.36400000000003</v>
      </c>
      <c r="K18" s="327">
        <f>C38</f>
        <v>5.8470000000000004</v>
      </c>
      <c r="L18" s="327">
        <v>0</v>
      </c>
      <c r="M18" s="332">
        <f>SUM(I18:L18)</f>
        <v>650.11500000000001</v>
      </c>
    </row>
    <row r="19" spans="1:15">
      <c r="A19" t="s">
        <v>271</v>
      </c>
      <c r="C19">
        <v>58.57</v>
      </c>
      <c r="D19">
        <v>68.149000000000001</v>
      </c>
      <c r="E19">
        <v>68.405000000000001</v>
      </c>
      <c r="F19">
        <v>70.409000000000006</v>
      </c>
      <c r="H19" s="203" t="s">
        <v>647</v>
      </c>
      <c r="I19" s="327">
        <f>SUM(C41,C48:C51)+C53</f>
        <v>57.101000000000006</v>
      </c>
      <c r="J19" s="327">
        <f>C52</f>
        <v>166.14699999999999</v>
      </c>
      <c r="K19" s="327">
        <f>SUM(C42:C43,C45:C47)</f>
        <v>12.897</v>
      </c>
      <c r="L19" s="327">
        <f>C44</f>
        <v>58.57</v>
      </c>
      <c r="M19" s="332">
        <f>SUM(I19:L19)</f>
        <v>294.71499999999997</v>
      </c>
    </row>
    <row r="20" spans="1:15">
      <c r="A20" t="s">
        <v>231</v>
      </c>
      <c r="C20">
        <v>36.118000000000002</v>
      </c>
      <c r="D20">
        <v>38.997999999999998</v>
      </c>
      <c r="E20">
        <v>39.341000000000001</v>
      </c>
      <c r="F20">
        <v>34.911999999999999</v>
      </c>
      <c r="H20" s="329" t="s">
        <v>560</v>
      </c>
      <c r="I20" s="333">
        <f>SUM(I17:I19)</f>
        <v>828.16700000000003</v>
      </c>
      <c r="J20" s="333">
        <f t="shared" ref="J20:L20" si="1">SUM(J17:J19)</f>
        <v>1303.69</v>
      </c>
      <c r="K20" s="333">
        <f t="shared" si="1"/>
        <v>372.18699999999995</v>
      </c>
      <c r="L20" s="333">
        <f t="shared" si="1"/>
        <v>58.57</v>
      </c>
      <c r="M20" s="334">
        <f>SUM(I20:L20)</f>
        <v>2562.614</v>
      </c>
    </row>
    <row r="21" spans="1:15">
      <c r="A21" t="s">
        <v>294</v>
      </c>
      <c r="C21">
        <v>5.5449999999999999</v>
      </c>
      <c r="D21">
        <v>5.1390000000000002</v>
      </c>
      <c r="E21">
        <v>5.093</v>
      </c>
      <c r="F21">
        <v>3.6</v>
      </c>
    </row>
    <row r="22" spans="1:15">
      <c r="A22" t="s">
        <v>279</v>
      </c>
      <c r="C22">
        <v>4.9749999999999996</v>
      </c>
      <c r="D22">
        <v>6.835</v>
      </c>
      <c r="E22">
        <v>5.8289999999999997</v>
      </c>
      <c r="F22">
        <v>5.6859999999999999</v>
      </c>
      <c r="H22" s="324" t="s">
        <v>732</v>
      </c>
      <c r="I22" s="30"/>
      <c r="J22" s="30"/>
      <c r="K22" s="30"/>
      <c r="L22" s="30"/>
      <c r="M22" s="30"/>
      <c r="N22" s="30"/>
      <c r="O22" s="323"/>
    </row>
    <row r="23" spans="1:15">
      <c r="H23" s="203"/>
      <c r="I23" s="61" t="s">
        <v>237</v>
      </c>
      <c r="J23" s="61" t="s">
        <v>236</v>
      </c>
      <c r="K23" s="61" t="s">
        <v>235</v>
      </c>
      <c r="L23" s="48" t="s">
        <v>233</v>
      </c>
      <c r="M23" s="48" t="s">
        <v>11</v>
      </c>
      <c r="N23" s="48" t="s">
        <v>650</v>
      </c>
      <c r="O23" s="337" t="s">
        <v>7</v>
      </c>
    </row>
    <row r="24" spans="1:15">
      <c r="A24" t="s">
        <v>597</v>
      </c>
      <c r="C24">
        <v>1617.7819999999999</v>
      </c>
      <c r="D24">
        <v>1493.0830000000001</v>
      </c>
      <c r="E24">
        <v>1480.5329999999999</v>
      </c>
      <c r="F24">
        <v>1623.079</v>
      </c>
      <c r="H24" s="203" t="s">
        <v>645</v>
      </c>
      <c r="I24" s="7">
        <f t="array" ref="I24:M24">TRANSPOSE(C26:C30)</f>
        <v>122.598</v>
      </c>
      <c r="J24" s="7">
        <v>98.799000000000007</v>
      </c>
      <c r="K24" s="7">
        <v>131.316</v>
      </c>
      <c r="L24" s="7">
        <v>0.68300000000000005</v>
      </c>
      <c r="M24" s="7">
        <v>4.7E-2</v>
      </c>
      <c r="N24" s="7"/>
      <c r="O24" s="204">
        <f t="shared" ref="O24:O25" si="2">SUM(I24:N24)</f>
        <v>353.44299999999998</v>
      </c>
    </row>
    <row r="25" spans="1:15">
      <c r="A25" t="s">
        <v>287</v>
      </c>
      <c r="C25">
        <v>338.40899999999999</v>
      </c>
      <c r="D25">
        <v>356.84199999999998</v>
      </c>
      <c r="E25">
        <v>362.45499999999998</v>
      </c>
      <c r="F25">
        <v>372.851</v>
      </c>
      <c r="H25" s="203" t="s">
        <v>646</v>
      </c>
      <c r="I25" s="7"/>
      <c r="J25" s="7"/>
      <c r="K25" s="7"/>
      <c r="L25" s="7">
        <f>C38</f>
        <v>5.8470000000000004</v>
      </c>
      <c r="M25" s="7"/>
      <c r="N25" s="7"/>
      <c r="O25" s="204">
        <f t="shared" si="2"/>
        <v>5.8470000000000004</v>
      </c>
    </row>
    <row r="26" spans="1:15">
      <c r="A26" t="s">
        <v>598</v>
      </c>
      <c r="C26">
        <v>122.598</v>
      </c>
      <c r="D26">
        <v>100.596</v>
      </c>
      <c r="E26">
        <v>120.407</v>
      </c>
      <c r="F26">
        <v>109.95399999999999</v>
      </c>
      <c r="H26" s="203" t="s">
        <v>647</v>
      </c>
      <c r="I26" s="7"/>
      <c r="J26" s="7">
        <f>C42</f>
        <v>2.0779999999999998</v>
      </c>
      <c r="K26" s="7">
        <f>C47</f>
        <v>0</v>
      </c>
      <c r="L26" s="7">
        <f>C43</f>
        <v>8.5340000000000007</v>
      </c>
      <c r="M26" s="7">
        <f>C45</f>
        <v>0.313</v>
      </c>
      <c r="N26" s="7">
        <f>C46</f>
        <v>1.972</v>
      </c>
      <c r="O26" s="204">
        <f>SUM(I26:N26)</f>
        <v>12.897</v>
      </c>
    </row>
    <row r="27" spans="1:15">
      <c r="A27" t="s">
        <v>599</v>
      </c>
      <c r="C27">
        <v>98.799000000000007</v>
      </c>
      <c r="D27">
        <v>137.321</v>
      </c>
      <c r="E27">
        <v>108.459</v>
      </c>
      <c r="F27">
        <v>104.898</v>
      </c>
      <c r="H27" s="338" t="s">
        <v>7</v>
      </c>
      <c r="I27" s="330">
        <f>SUM(I24:I26)</f>
        <v>122.598</v>
      </c>
      <c r="J27" s="330">
        <f t="shared" ref="J27:O27" si="3">SUM(J24:J26)</f>
        <v>100.87700000000001</v>
      </c>
      <c r="K27" s="330">
        <f t="shared" si="3"/>
        <v>131.316</v>
      </c>
      <c r="L27" s="330">
        <f t="shared" si="3"/>
        <v>15.064</v>
      </c>
      <c r="M27" s="330">
        <f t="shared" si="3"/>
        <v>0.36</v>
      </c>
      <c r="N27" s="330">
        <f t="shared" si="3"/>
        <v>1.972</v>
      </c>
      <c r="O27" s="331">
        <f t="shared" si="3"/>
        <v>372.18699999999995</v>
      </c>
    </row>
    <row r="28" spans="1:15">
      <c r="A28" t="s">
        <v>600</v>
      </c>
      <c r="C28">
        <v>131.316</v>
      </c>
      <c r="D28">
        <v>129.87799999999999</v>
      </c>
      <c r="E28">
        <v>133.684</v>
      </c>
      <c r="F28">
        <v>130.10400000000001</v>
      </c>
    </row>
    <row r="29" spans="1:15">
      <c r="A29" t="s">
        <v>233</v>
      </c>
      <c r="C29">
        <v>0.68300000000000005</v>
      </c>
      <c r="D29">
        <v>0.76600000000000001</v>
      </c>
      <c r="E29">
        <v>0.73099999999999998</v>
      </c>
      <c r="F29">
        <v>0.67300000000000004</v>
      </c>
      <c r="I29">
        <v>2013</v>
      </c>
    </row>
    <row r="30" spans="1:15">
      <c r="A30" t="s">
        <v>11</v>
      </c>
      <c r="C30">
        <v>4.7E-2</v>
      </c>
      <c r="D30">
        <v>4.5999999999999999E-2</v>
      </c>
      <c r="E30">
        <v>4.5999999999999999E-2</v>
      </c>
      <c r="F30">
        <v>4.3999999999999997E-2</v>
      </c>
      <c r="H30" t="s">
        <v>743</v>
      </c>
      <c r="I30">
        <f>C11</f>
        <v>339.90100000000001</v>
      </c>
    </row>
    <row r="31" spans="1:15">
      <c r="A31" t="s">
        <v>3</v>
      </c>
      <c r="C31">
        <v>22.146000000000001</v>
      </c>
      <c r="D31">
        <v>11.878</v>
      </c>
      <c r="E31">
        <v>13.599</v>
      </c>
      <c r="F31">
        <v>17.960999999999999</v>
      </c>
      <c r="H31" t="s">
        <v>3</v>
      </c>
      <c r="I31">
        <f>C16</f>
        <v>27.908999999999999</v>
      </c>
    </row>
    <row r="32" spans="1:15">
      <c r="A32" t="s">
        <v>229</v>
      </c>
      <c r="C32">
        <v>408.60700000000003</v>
      </c>
      <c r="D32">
        <v>254.76400000000001</v>
      </c>
      <c r="E32">
        <v>246.292</v>
      </c>
      <c r="F32">
        <v>269.44299999999998</v>
      </c>
      <c r="H32" t="s">
        <v>9</v>
      </c>
      <c r="I32">
        <f>C17</f>
        <v>413.71800000000002</v>
      </c>
    </row>
    <row r="33" spans="1:9">
      <c r="A33" t="s">
        <v>282</v>
      </c>
      <c r="C33">
        <v>495.17899999999997</v>
      </c>
      <c r="D33">
        <v>500.99099999999999</v>
      </c>
      <c r="E33">
        <v>494.86099999999999</v>
      </c>
      <c r="F33">
        <v>617.15099999999995</v>
      </c>
      <c r="H33" t="s">
        <v>294</v>
      </c>
      <c r="I33">
        <f>C21</f>
        <v>5.5449999999999999</v>
      </c>
    </row>
    <row r="34" spans="1:9">
      <c r="H34" t="s">
        <v>282</v>
      </c>
      <c r="I34">
        <f>C18</f>
        <v>1303.69</v>
      </c>
    </row>
    <row r="35" spans="1:9">
      <c r="A35" t="s">
        <v>601</v>
      </c>
      <c r="C35">
        <v>650.11500000000001</v>
      </c>
      <c r="D35">
        <v>659.62800000000004</v>
      </c>
      <c r="E35">
        <v>597.41200000000003</v>
      </c>
      <c r="F35">
        <v>690.35500000000002</v>
      </c>
      <c r="H35" t="s">
        <v>15</v>
      </c>
      <c r="I35">
        <f>C20</f>
        <v>36.118000000000002</v>
      </c>
    </row>
    <row r="36" spans="1:9">
      <c r="A36" t="s">
        <v>3</v>
      </c>
      <c r="C36">
        <v>1.9039999999999999</v>
      </c>
      <c r="D36">
        <v>1.1359999999999999</v>
      </c>
      <c r="E36">
        <v>2.2389999999999999</v>
      </c>
      <c r="F36">
        <v>3.7610000000000001</v>
      </c>
      <c r="I36">
        <f>SUM(I30:I35)</f>
        <v>2126.8809999999999</v>
      </c>
    </row>
    <row r="37" spans="1:9">
      <c r="A37" t="s">
        <v>282</v>
      </c>
      <c r="C37">
        <v>642.36400000000003</v>
      </c>
      <c r="D37">
        <v>651.78</v>
      </c>
      <c r="E37">
        <v>587.31100000000004</v>
      </c>
      <c r="F37">
        <v>678.404</v>
      </c>
    </row>
    <row r="38" spans="1:9">
      <c r="A38" t="s">
        <v>233</v>
      </c>
      <c r="C38">
        <v>5.8470000000000004</v>
      </c>
      <c r="D38">
        <v>6.7119999999999997</v>
      </c>
      <c r="E38">
        <v>7.8620000000000001</v>
      </c>
      <c r="F38">
        <v>8.19</v>
      </c>
    </row>
    <row r="40" spans="1:9">
      <c r="A40" t="s">
        <v>602</v>
      </c>
      <c r="C40">
        <v>294.71600000000001</v>
      </c>
      <c r="D40">
        <v>338.98</v>
      </c>
      <c r="E40">
        <v>357.99400000000003</v>
      </c>
      <c r="F40">
        <v>597.72299999999996</v>
      </c>
    </row>
    <row r="41" spans="1:9">
      <c r="A41" t="s">
        <v>238</v>
      </c>
      <c r="C41">
        <v>1.492</v>
      </c>
      <c r="D41">
        <v>1.0960000000000001</v>
      </c>
      <c r="E41">
        <v>0.48899999999999999</v>
      </c>
      <c r="F41">
        <v>0</v>
      </c>
    </row>
    <row r="42" spans="1:9">
      <c r="A42" t="s">
        <v>236</v>
      </c>
      <c r="C42">
        <v>2.0779999999999998</v>
      </c>
      <c r="D42">
        <v>2.6930000000000001</v>
      </c>
      <c r="E42">
        <v>2.7509999999999999</v>
      </c>
      <c r="F42">
        <v>3.214</v>
      </c>
    </row>
    <row r="43" spans="1:9">
      <c r="A43" t="s">
        <v>233</v>
      </c>
      <c r="C43">
        <v>8.5340000000000007</v>
      </c>
      <c r="D43">
        <v>15.657</v>
      </c>
      <c r="E43">
        <v>22.888999999999999</v>
      </c>
      <c r="F43">
        <v>28.498000000000001</v>
      </c>
    </row>
    <row r="44" spans="1:9">
      <c r="A44" t="s">
        <v>271</v>
      </c>
      <c r="C44">
        <v>58.57</v>
      </c>
      <c r="D44">
        <v>68.149000000000001</v>
      </c>
      <c r="E44">
        <v>68.405000000000001</v>
      </c>
      <c r="F44">
        <v>70.263999999999996</v>
      </c>
    </row>
    <row r="45" spans="1:9">
      <c r="A45" t="s">
        <v>11</v>
      </c>
      <c r="C45">
        <v>0.313</v>
      </c>
      <c r="D45">
        <v>0.625</v>
      </c>
      <c r="E45">
        <v>0.68200000000000005</v>
      </c>
      <c r="F45">
        <v>0.86399999999999999</v>
      </c>
    </row>
    <row r="46" spans="1:9">
      <c r="A46" t="s">
        <v>603</v>
      </c>
      <c r="C46">
        <v>1.972</v>
      </c>
      <c r="D46">
        <v>1.9259999999999999</v>
      </c>
      <c r="E46">
        <v>1.8680000000000001</v>
      </c>
      <c r="F46">
        <v>1.9119999999999999</v>
      </c>
    </row>
    <row r="47" spans="1:9">
      <c r="A47" t="s">
        <v>235</v>
      </c>
      <c r="C47">
        <v>0</v>
      </c>
      <c r="D47">
        <v>0</v>
      </c>
      <c r="E47">
        <v>0.84599999999999997</v>
      </c>
      <c r="F47">
        <v>2.4910000000000001</v>
      </c>
    </row>
    <row r="48" spans="1:9">
      <c r="A48" t="s">
        <v>231</v>
      </c>
      <c r="C48">
        <v>36.118000000000002</v>
      </c>
      <c r="D48">
        <v>38.997999999999998</v>
      </c>
      <c r="E48">
        <v>39.341000000000001</v>
      </c>
      <c r="F48">
        <v>34.911999999999999</v>
      </c>
    </row>
    <row r="49" spans="1:6">
      <c r="A49" t="s">
        <v>294</v>
      </c>
      <c r="C49">
        <v>5.5449999999999999</v>
      </c>
      <c r="D49">
        <v>5.1390000000000002</v>
      </c>
      <c r="E49">
        <v>5.093</v>
      </c>
      <c r="F49">
        <v>3.6</v>
      </c>
    </row>
    <row r="50" spans="1:6">
      <c r="A50" t="s">
        <v>3</v>
      </c>
      <c r="C50">
        <v>3.859</v>
      </c>
      <c r="D50">
        <v>4.7919999999999998</v>
      </c>
      <c r="E50">
        <v>4.8639999999999999</v>
      </c>
      <c r="F50">
        <v>6.681</v>
      </c>
    </row>
    <row r="51" spans="1:6">
      <c r="A51" t="s">
        <v>229</v>
      </c>
      <c r="C51">
        <v>5.1120000000000001</v>
      </c>
      <c r="D51">
        <v>3.7570000000000001</v>
      </c>
      <c r="E51">
        <v>2.1120000000000001</v>
      </c>
      <c r="F51">
        <v>3.8530000000000002</v>
      </c>
    </row>
    <row r="52" spans="1:6">
      <c r="A52" t="s">
        <v>282</v>
      </c>
      <c r="C52">
        <v>166.14699999999999</v>
      </c>
      <c r="D52">
        <v>189.31299999999999</v>
      </c>
      <c r="E52">
        <v>202.82499999999999</v>
      </c>
      <c r="F52">
        <v>435.74900000000002</v>
      </c>
    </row>
    <row r="53" spans="1:6">
      <c r="A53" t="s">
        <v>604</v>
      </c>
      <c r="C53">
        <v>4.9749999999999996</v>
      </c>
      <c r="D53">
        <v>6.835</v>
      </c>
      <c r="E53">
        <v>5.8289999999999997</v>
      </c>
      <c r="F53">
        <v>5.6859999999999999</v>
      </c>
    </row>
    <row r="55" spans="1:6">
      <c r="A55" t="s">
        <v>605</v>
      </c>
      <c r="C55">
        <v>0</v>
      </c>
      <c r="D55">
        <v>0</v>
      </c>
      <c r="E55">
        <v>0</v>
      </c>
      <c r="F55">
        <v>6.16</v>
      </c>
    </row>
    <row r="56" spans="1:6">
      <c r="A56" t="s">
        <v>236</v>
      </c>
      <c r="C56">
        <v>0</v>
      </c>
      <c r="D56">
        <v>0</v>
      </c>
      <c r="E56">
        <v>0</v>
      </c>
      <c r="F56">
        <v>2.3980000000000001</v>
      </c>
    </row>
    <row r="57" spans="1:6">
      <c r="A57" t="s">
        <v>271</v>
      </c>
      <c r="C57">
        <v>0</v>
      </c>
      <c r="D57">
        <v>0</v>
      </c>
      <c r="E57">
        <v>0</v>
      </c>
      <c r="F57">
        <v>0.14499999999999999</v>
      </c>
    </row>
    <row r="58" spans="1:6">
      <c r="A58" t="s">
        <v>3</v>
      </c>
      <c r="C58">
        <v>0</v>
      </c>
      <c r="D58">
        <v>0</v>
      </c>
      <c r="E58">
        <v>0</v>
      </c>
      <c r="F58">
        <v>0.29899999999999999</v>
      </c>
    </row>
    <row r="59" spans="1:6">
      <c r="A59" t="s">
        <v>10</v>
      </c>
      <c r="C59">
        <v>0</v>
      </c>
      <c r="D59">
        <v>0</v>
      </c>
      <c r="E59">
        <v>0</v>
      </c>
      <c r="F59">
        <v>3.3180000000000001</v>
      </c>
    </row>
    <row r="61" spans="1:6">
      <c r="A61" t="s">
        <v>606</v>
      </c>
      <c r="C61">
        <v>1069.625</v>
      </c>
      <c r="D61">
        <v>1091.9369999999999</v>
      </c>
      <c r="E61">
        <v>1117.259</v>
      </c>
      <c r="F61">
        <v>1153.241</v>
      </c>
    </row>
    <row r="62" spans="1:6">
      <c r="A62" t="s">
        <v>607</v>
      </c>
      <c r="C62">
        <v>621.96199999999999</v>
      </c>
      <c r="D62">
        <v>621.149</v>
      </c>
      <c r="E62">
        <v>619.14300000000003</v>
      </c>
      <c r="F62">
        <v>628.98500000000001</v>
      </c>
    </row>
    <row r="63" spans="1:6">
      <c r="A63" t="s">
        <v>608</v>
      </c>
      <c r="C63">
        <v>309.04399999999998</v>
      </c>
      <c r="D63">
        <v>315.34699999999998</v>
      </c>
      <c r="E63">
        <v>325.76799999999997</v>
      </c>
      <c r="F63">
        <v>325.18599999999998</v>
      </c>
    </row>
    <row r="64" spans="1:6">
      <c r="A64" t="s">
        <v>609</v>
      </c>
      <c r="C64">
        <v>138.619</v>
      </c>
      <c r="D64">
        <v>155.441</v>
      </c>
      <c r="E64">
        <v>172.34800000000001</v>
      </c>
      <c r="F64">
        <v>195.816</v>
      </c>
    </row>
    <row r="65" spans="1:6">
      <c r="A65" t="s">
        <v>610</v>
      </c>
      <c r="C65" t="s">
        <v>228</v>
      </c>
      <c r="D65" t="s">
        <v>228</v>
      </c>
      <c r="E65" t="s">
        <v>228</v>
      </c>
      <c r="F65">
        <v>3.254</v>
      </c>
    </row>
    <row r="67" spans="1:6">
      <c r="A67" t="s">
        <v>272</v>
      </c>
    </row>
    <row r="68" spans="1:6">
      <c r="A68" t="s">
        <v>611</v>
      </c>
    </row>
    <row r="69" spans="1:6">
      <c r="A69" t="s">
        <v>612</v>
      </c>
    </row>
    <row r="70" spans="1:6">
      <c r="A70" t="s">
        <v>613</v>
      </c>
    </row>
    <row r="72" spans="1:6">
      <c r="A72" t="s">
        <v>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3:Y216"/>
  <sheetViews>
    <sheetView topLeftCell="J169" workbookViewId="0">
      <selection activeCell="K188" sqref="K188"/>
    </sheetView>
  </sheetViews>
  <sheetFormatPr baseColWidth="10" defaultRowHeight="15.75"/>
  <cols>
    <col min="1" max="1" width="9.875" customWidth="1"/>
    <col min="2" max="2" width="46.5" bestFit="1" customWidth="1"/>
    <col min="3" max="3" width="27.5" bestFit="1" customWidth="1"/>
    <col min="4" max="4" width="82" bestFit="1" customWidth="1"/>
    <col min="5" max="5" width="16" bestFit="1" customWidth="1"/>
    <col min="6" max="6" width="10.625" bestFit="1" customWidth="1"/>
    <col min="7" max="7" width="22" bestFit="1" customWidth="1"/>
    <col min="8" max="8" width="20.625" bestFit="1" customWidth="1"/>
    <col min="9" max="9" width="23" bestFit="1" customWidth="1"/>
    <col min="11" max="11" width="88.125" customWidth="1"/>
    <col min="12" max="12" width="18.625" bestFit="1" customWidth="1"/>
    <col min="13" max="13" width="30.125" bestFit="1" customWidth="1"/>
    <col min="14" max="14" width="29" bestFit="1" customWidth="1"/>
    <col min="15" max="15" width="31.375" bestFit="1" customWidth="1"/>
    <col min="16" max="16" width="31.375" customWidth="1"/>
    <col min="17" max="17" width="28.625" bestFit="1" customWidth="1"/>
    <col min="18" max="18" width="10.625" bestFit="1" customWidth="1"/>
    <col min="19" max="19" width="22" bestFit="1" customWidth="1"/>
    <col min="20" max="20" width="20.625" bestFit="1" customWidth="1"/>
    <col min="21" max="21" width="21.625" bestFit="1" customWidth="1"/>
    <col min="22" max="22" width="39.875" bestFit="1" customWidth="1"/>
    <col min="23" max="23" width="11.125" bestFit="1" customWidth="1"/>
    <col min="24" max="25" width="12.125" bestFit="1" customWidth="1"/>
    <col min="26" max="26" width="16.5" bestFit="1" customWidth="1"/>
    <col min="27" max="27" width="12.375" bestFit="1" customWidth="1"/>
    <col min="28" max="28" width="12" bestFit="1" customWidth="1"/>
    <col min="29" max="29" width="11.125" bestFit="1" customWidth="1"/>
    <col min="30" max="30" width="13.125" bestFit="1" customWidth="1"/>
    <col min="31" max="31" width="11.125" bestFit="1" customWidth="1"/>
    <col min="32" max="32" width="18.875" bestFit="1" customWidth="1"/>
    <col min="33" max="34" width="14" bestFit="1" customWidth="1"/>
    <col min="35" max="35" width="12.125" bestFit="1" customWidth="1"/>
    <col min="36" max="36" width="15.5" bestFit="1" customWidth="1"/>
    <col min="37" max="37" width="16.625" bestFit="1" customWidth="1"/>
    <col min="38" max="38" width="12.125" bestFit="1" customWidth="1"/>
    <col min="39" max="39" width="12.625" bestFit="1" customWidth="1"/>
    <col min="40" max="40" width="11.875" bestFit="1" customWidth="1"/>
    <col min="41" max="43" width="12.125" bestFit="1" customWidth="1"/>
    <col min="44" max="44" width="16.5" bestFit="1" customWidth="1"/>
    <col min="45" max="45" width="10.625" bestFit="1" customWidth="1"/>
    <col min="46" max="46" width="12" bestFit="1" customWidth="1"/>
    <col min="47" max="47" width="10.125" bestFit="1" customWidth="1"/>
    <col min="48" max="48" width="13.125" bestFit="1" customWidth="1"/>
    <col min="49" max="49" width="12.125" bestFit="1" customWidth="1"/>
    <col min="50" max="50" width="18.875" bestFit="1" customWidth="1"/>
    <col min="51" max="52" width="14" bestFit="1" customWidth="1"/>
    <col min="53" max="53" width="12.125" bestFit="1" customWidth="1"/>
    <col min="54" max="54" width="15.5" bestFit="1" customWidth="1"/>
    <col min="55" max="55" width="16.625" bestFit="1" customWidth="1"/>
    <col min="56" max="56" width="12.125" bestFit="1" customWidth="1"/>
    <col min="57" max="57" width="12.625" bestFit="1" customWidth="1"/>
    <col min="58" max="58" width="11.875" bestFit="1" customWidth="1"/>
    <col min="59" max="61" width="12.125" bestFit="1" customWidth="1"/>
    <col min="62" max="62" width="16.5" bestFit="1" customWidth="1"/>
    <col min="63" max="63" width="10.625" bestFit="1" customWidth="1"/>
    <col min="64" max="64" width="12" bestFit="1" customWidth="1"/>
    <col min="65" max="65" width="12.125" bestFit="1" customWidth="1"/>
    <col min="66" max="66" width="13.125" bestFit="1" customWidth="1"/>
    <col min="67" max="67" width="10.875" bestFit="1" customWidth="1"/>
    <col min="68" max="68" width="15.125" bestFit="1" customWidth="1"/>
    <col min="69" max="70" width="23.625" bestFit="1" customWidth="1"/>
    <col min="71" max="111" width="12.125" bestFit="1" customWidth="1"/>
    <col min="112" max="112" width="14.375" bestFit="1" customWidth="1"/>
    <col min="113" max="113" width="19.5" bestFit="1" customWidth="1"/>
    <col min="114" max="114" width="14.375" bestFit="1" customWidth="1"/>
    <col min="115" max="115" width="20.5" bestFit="1" customWidth="1"/>
    <col min="116" max="116" width="14.375" bestFit="1" customWidth="1"/>
    <col min="117" max="117" width="20.5" bestFit="1" customWidth="1"/>
    <col min="118" max="118" width="13.375" bestFit="1" customWidth="1"/>
    <col min="119" max="119" width="20.5" bestFit="1" customWidth="1"/>
    <col min="120" max="120" width="14.375" bestFit="1" customWidth="1"/>
    <col min="121" max="121" width="19.5" bestFit="1" customWidth="1"/>
    <col min="122" max="122" width="14.375" bestFit="1" customWidth="1"/>
    <col min="123" max="123" width="19.5" bestFit="1" customWidth="1"/>
    <col min="124" max="124" width="14.375" bestFit="1" customWidth="1"/>
    <col min="125" max="125" width="21.625" bestFit="1" customWidth="1"/>
    <col min="126" max="126" width="14.375" bestFit="1" customWidth="1"/>
    <col min="127" max="127" width="20.5" bestFit="1" customWidth="1"/>
    <col min="128" max="128" width="14.375" bestFit="1" customWidth="1"/>
    <col min="129" max="129" width="19.5" bestFit="1" customWidth="1"/>
    <col min="130" max="130" width="14.375" bestFit="1" customWidth="1"/>
    <col min="131" max="131" width="19.5" bestFit="1" customWidth="1"/>
    <col min="132" max="132" width="13.375" bestFit="1" customWidth="1"/>
    <col min="133" max="133" width="19.5" bestFit="1" customWidth="1"/>
    <col min="134" max="134" width="14.375" bestFit="1" customWidth="1"/>
    <col min="135" max="135" width="19.5" bestFit="1" customWidth="1"/>
    <col min="136" max="136" width="14.375" bestFit="1" customWidth="1"/>
    <col min="137" max="137" width="20.5" bestFit="1" customWidth="1"/>
    <col min="138" max="138" width="14.375" bestFit="1" customWidth="1"/>
    <col min="139" max="139" width="19.5" bestFit="1" customWidth="1"/>
    <col min="140" max="140" width="14.375" bestFit="1" customWidth="1"/>
    <col min="141" max="141" width="21.625" bestFit="1" customWidth="1"/>
    <col min="142" max="142" width="14.375" bestFit="1" customWidth="1"/>
    <col min="143" max="143" width="21.625" bestFit="1" customWidth="1"/>
    <col min="144" max="144" width="14.375" bestFit="1" customWidth="1"/>
    <col min="145" max="145" width="20.5" bestFit="1" customWidth="1"/>
    <col min="146" max="146" width="14.375" bestFit="1" customWidth="1"/>
    <col min="147" max="147" width="21.625" bestFit="1" customWidth="1"/>
    <col min="148" max="148" width="14.375" bestFit="1" customWidth="1"/>
    <col min="149" max="149" width="20.5" bestFit="1" customWidth="1"/>
    <col min="150" max="150" width="14.375" bestFit="1" customWidth="1"/>
    <col min="151" max="151" width="20.5" bestFit="1" customWidth="1"/>
    <col min="152" max="152" width="14.375" bestFit="1" customWidth="1"/>
    <col min="153" max="153" width="21.625" bestFit="1" customWidth="1"/>
    <col min="154" max="154" width="13.375" bestFit="1" customWidth="1"/>
    <col min="155" max="155" width="21.625" bestFit="1" customWidth="1"/>
    <col min="156" max="156" width="14.375" bestFit="1" customWidth="1"/>
    <col min="157" max="157" width="20.5" bestFit="1" customWidth="1"/>
    <col min="158" max="158" width="14.375" bestFit="1" customWidth="1"/>
    <col min="159" max="159" width="20.5" bestFit="1" customWidth="1"/>
    <col min="160" max="160" width="14.375" bestFit="1" customWidth="1"/>
    <col min="161" max="161" width="21.625" bestFit="1" customWidth="1"/>
    <col min="162" max="162" width="14.375" bestFit="1" customWidth="1"/>
    <col min="163" max="163" width="20.5" bestFit="1" customWidth="1"/>
    <col min="164" max="164" width="14.375" bestFit="1" customWidth="1"/>
    <col min="165" max="165" width="21.625" bestFit="1" customWidth="1"/>
    <col min="166" max="166" width="14.375" bestFit="1" customWidth="1"/>
    <col min="167" max="167" width="20.5" bestFit="1" customWidth="1"/>
    <col min="168" max="168" width="14.375" bestFit="1" customWidth="1"/>
    <col min="169" max="169" width="21.625" bestFit="1" customWidth="1"/>
    <col min="170" max="170" width="14.375" bestFit="1" customWidth="1"/>
    <col min="171" max="171" width="21.625" bestFit="1" customWidth="1"/>
    <col min="172" max="172" width="14.375" bestFit="1" customWidth="1"/>
    <col min="173" max="173" width="21.625" bestFit="1" customWidth="1"/>
    <col min="174" max="174" width="14.375" bestFit="1" customWidth="1"/>
    <col min="175" max="175" width="20.5" bestFit="1" customWidth="1"/>
    <col min="176" max="176" width="14.375" bestFit="1" customWidth="1"/>
    <col min="177" max="177" width="20.5" bestFit="1" customWidth="1"/>
    <col min="178" max="178" width="14.375" bestFit="1" customWidth="1"/>
    <col min="179" max="179" width="21.625" bestFit="1" customWidth="1"/>
    <col min="180" max="180" width="14.375" bestFit="1" customWidth="1"/>
    <col min="181" max="181" width="21.625" bestFit="1" customWidth="1"/>
    <col min="182" max="182" width="14.375" bestFit="1" customWidth="1"/>
    <col min="183" max="183" width="21.625" bestFit="1" customWidth="1"/>
    <col min="184" max="184" width="14.375" bestFit="1" customWidth="1"/>
    <col min="185" max="185" width="21.625" bestFit="1" customWidth="1"/>
    <col min="186" max="186" width="14.375" bestFit="1" customWidth="1"/>
    <col min="187" max="187" width="21.625" bestFit="1" customWidth="1"/>
    <col min="188" max="188" width="13.375" bestFit="1" customWidth="1"/>
    <col min="189" max="189" width="21.625" bestFit="1" customWidth="1"/>
    <col min="190" max="190" width="14.375" bestFit="1" customWidth="1"/>
    <col min="191" max="191" width="21.625" bestFit="1" customWidth="1"/>
    <col min="192" max="192" width="14.375" bestFit="1" customWidth="1"/>
    <col min="193" max="193" width="21.625" bestFit="1" customWidth="1"/>
    <col min="194" max="194" width="14.375" bestFit="1" customWidth="1"/>
    <col min="195" max="195" width="21.625" bestFit="1" customWidth="1"/>
    <col min="196" max="196" width="14.375" bestFit="1" customWidth="1"/>
    <col min="197" max="197" width="21.625" bestFit="1" customWidth="1"/>
    <col min="198" max="198" width="14.375" bestFit="1" customWidth="1"/>
    <col min="199" max="199" width="21.625" bestFit="1" customWidth="1"/>
    <col min="200" max="200" width="12.375" bestFit="1" customWidth="1"/>
    <col min="201" max="201" width="20.5" bestFit="1" customWidth="1"/>
    <col min="202" max="202" width="14.375" bestFit="1" customWidth="1"/>
    <col min="203" max="203" width="21.625" bestFit="1" customWidth="1"/>
    <col min="204" max="204" width="14.375" bestFit="1" customWidth="1"/>
    <col min="205" max="205" width="21.625" bestFit="1" customWidth="1"/>
    <col min="206" max="206" width="14.375" bestFit="1" customWidth="1"/>
    <col min="207" max="207" width="21.625" bestFit="1" customWidth="1"/>
    <col min="208" max="208" width="14.375" bestFit="1" customWidth="1"/>
    <col min="209" max="209" width="20.5" bestFit="1" customWidth="1"/>
    <col min="210" max="210" width="14.375" bestFit="1" customWidth="1"/>
    <col min="211" max="211" width="21.625" bestFit="1" customWidth="1"/>
    <col min="212" max="212" width="14.375" bestFit="1" customWidth="1"/>
    <col min="213" max="213" width="20.5" bestFit="1" customWidth="1"/>
    <col min="214" max="214" width="12" bestFit="1" customWidth="1"/>
  </cols>
  <sheetData>
    <row r="3" spans="2:25" ht="19.5" thickBot="1">
      <c r="B3" s="31" t="s">
        <v>364</v>
      </c>
      <c r="C3" s="31" t="s">
        <v>0</v>
      </c>
      <c r="D3" s="31" t="s">
        <v>363</v>
      </c>
      <c r="E3" s="31" t="s">
        <v>362</v>
      </c>
      <c r="F3" s="31" t="s">
        <v>355</v>
      </c>
      <c r="G3" s="32" t="s">
        <v>354</v>
      </c>
      <c r="H3" s="32" t="s">
        <v>353</v>
      </c>
      <c r="I3" s="32" t="s">
        <v>361</v>
      </c>
    </row>
    <row r="4" spans="2:25" ht="19.5" thickBot="1">
      <c r="B4" s="7" t="s">
        <v>330</v>
      </c>
      <c r="C4" s="7" t="s">
        <v>299</v>
      </c>
      <c r="D4" s="7" t="s">
        <v>281</v>
      </c>
      <c r="E4" s="27" t="s">
        <v>234</v>
      </c>
      <c r="F4" s="20">
        <v>4.0359999999999996</v>
      </c>
      <c r="G4" s="20">
        <v>0</v>
      </c>
      <c r="H4" s="34">
        <v>0</v>
      </c>
      <c r="I4" s="19">
        <v>0</v>
      </c>
      <c r="K4" s="9" t="s">
        <v>45</v>
      </c>
      <c r="L4" t="s">
        <v>360</v>
      </c>
      <c r="M4" t="s">
        <v>359</v>
      </c>
      <c r="N4" t="s">
        <v>358</v>
      </c>
      <c r="O4" t="s">
        <v>357</v>
      </c>
      <c r="Q4" s="33" t="s">
        <v>356</v>
      </c>
      <c r="R4" s="31" t="s">
        <v>355</v>
      </c>
      <c r="S4" s="32" t="s">
        <v>354</v>
      </c>
      <c r="T4" s="32" t="s">
        <v>353</v>
      </c>
      <c r="U4" s="32" t="s">
        <v>352</v>
      </c>
      <c r="V4" s="31" t="s">
        <v>351</v>
      </c>
    </row>
    <row r="5" spans="2:25">
      <c r="B5" s="7" t="s">
        <v>330</v>
      </c>
      <c r="C5" s="7" t="s">
        <v>299</v>
      </c>
      <c r="D5" s="7" t="s">
        <v>281</v>
      </c>
      <c r="E5" s="27" t="s">
        <v>17</v>
      </c>
      <c r="F5" s="20">
        <v>255.42239699999999</v>
      </c>
      <c r="G5" s="20">
        <v>0</v>
      </c>
      <c r="H5" s="20">
        <v>0</v>
      </c>
      <c r="I5" s="19">
        <v>0</v>
      </c>
      <c r="K5" s="192" t="s">
        <v>304</v>
      </c>
      <c r="L5" s="13">
        <v>2267.8966499999997</v>
      </c>
      <c r="M5" s="13">
        <v>143200.69374341716</v>
      </c>
      <c r="N5" s="13">
        <v>132752.0438284</v>
      </c>
      <c r="O5" s="13">
        <v>121984.29252781192</v>
      </c>
      <c r="P5" s="13"/>
      <c r="Q5" s="30" t="s">
        <v>238</v>
      </c>
      <c r="R5" s="29">
        <f>+F127</f>
        <v>3.526732</v>
      </c>
      <c r="S5" s="29">
        <f>+G127</f>
        <v>386.52280900331999</v>
      </c>
      <c r="T5" s="29">
        <f>+H127</f>
        <v>333.6288472</v>
      </c>
      <c r="U5" s="26" t="s">
        <v>348</v>
      </c>
      <c r="V5" s="28" t="s">
        <v>228</v>
      </c>
    </row>
    <row r="6" spans="2:25">
      <c r="B6" s="7" t="s">
        <v>330</v>
      </c>
      <c r="C6" s="7" t="s">
        <v>299</v>
      </c>
      <c r="D6" s="7" t="s">
        <v>281</v>
      </c>
      <c r="E6" s="27" t="s">
        <v>294</v>
      </c>
      <c r="F6" s="20">
        <v>256.95786800000002</v>
      </c>
      <c r="G6" s="20">
        <v>16723.5632272572</v>
      </c>
      <c r="H6" s="20">
        <v>16214.041470800001</v>
      </c>
      <c r="I6" s="19">
        <v>0</v>
      </c>
      <c r="K6" s="16" t="s">
        <v>303</v>
      </c>
      <c r="L6" s="13">
        <v>2267.8966499999997</v>
      </c>
      <c r="M6" s="13">
        <v>143200.69374341716</v>
      </c>
      <c r="N6" s="13">
        <v>132752.0438284</v>
      </c>
      <c r="O6" s="13">
        <v>121984.29252781192</v>
      </c>
      <c r="P6" s="13"/>
      <c r="Q6" s="7" t="s">
        <v>285</v>
      </c>
      <c r="R6" s="26">
        <f>+F128+F129</f>
        <v>383.4492381735671</v>
      </c>
      <c r="S6" s="26">
        <f>+G128+G129</f>
        <v>22201.602994002191</v>
      </c>
      <c r="T6" s="26">
        <f>+H128+H129</f>
        <v>21710.790852797116</v>
      </c>
      <c r="U6" s="26" t="s">
        <v>348</v>
      </c>
      <c r="V6" s="25">
        <v>21145.71</v>
      </c>
    </row>
    <row r="7" spans="2:25">
      <c r="B7" s="7" t="s">
        <v>330</v>
      </c>
      <c r="C7" s="7" t="s">
        <v>299</v>
      </c>
      <c r="D7" s="7" t="s">
        <v>281</v>
      </c>
      <c r="E7" s="27" t="s">
        <v>230</v>
      </c>
      <c r="F7" s="20">
        <v>1.351008</v>
      </c>
      <c r="G7" s="20">
        <v>98.102121932160003</v>
      </c>
      <c r="H7" s="20">
        <v>0</v>
      </c>
      <c r="I7" s="19">
        <v>0</v>
      </c>
      <c r="K7" s="15" t="s">
        <v>325</v>
      </c>
      <c r="L7" s="13">
        <v>298.21721077909376</v>
      </c>
      <c r="M7" s="13">
        <v>38144.202976866392</v>
      </c>
      <c r="N7" s="13">
        <v>30119.93828868847</v>
      </c>
      <c r="O7" s="13">
        <v>25018.789872247271</v>
      </c>
      <c r="P7" s="13"/>
      <c r="Q7" s="7" t="s">
        <v>286</v>
      </c>
      <c r="R7" s="26">
        <f t="shared" ref="R7:T8" si="0">+F130</f>
        <v>112.85074853466141</v>
      </c>
      <c r="S7" s="26">
        <f t="shared" si="0"/>
        <v>6517.7965472930509</v>
      </c>
      <c r="T7" s="26">
        <f t="shared" si="0"/>
        <v>6330.9269927945052</v>
      </c>
      <c r="U7" s="26" t="s">
        <v>348</v>
      </c>
      <c r="V7" s="25">
        <v>6284.83</v>
      </c>
      <c r="Y7" s="19"/>
    </row>
    <row r="8" spans="2:25">
      <c r="B8" s="7" t="s">
        <v>330</v>
      </c>
      <c r="C8" s="7" t="s">
        <v>299</v>
      </c>
      <c r="D8" s="7" t="s">
        <v>281</v>
      </c>
      <c r="E8" s="27" t="s">
        <v>10</v>
      </c>
      <c r="F8" s="20">
        <v>33.802999999999997</v>
      </c>
      <c r="G8" s="20">
        <v>1952.3226877</v>
      </c>
      <c r="H8" s="20">
        <v>1896.3482999999999</v>
      </c>
      <c r="I8" s="19">
        <v>0</v>
      </c>
      <c r="K8" s="14" t="s">
        <v>287</v>
      </c>
      <c r="L8" s="13">
        <v>298.21721077909376</v>
      </c>
      <c r="M8" s="13">
        <v>38144.202976866392</v>
      </c>
      <c r="N8" s="13">
        <v>30119.93828868847</v>
      </c>
      <c r="O8" s="13">
        <v>25018.789872247271</v>
      </c>
      <c r="P8" s="13"/>
      <c r="Q8" s="7" t="s">
        <v>284</v>
      </c>
      <c r="R8" s="26">
        <f t="shared" si="0"/>
        <v>96.149994922306163</v>
      </c>
      <c r="S8" s="26">
        <f t="shared" si="0"/>
        <v>5553.2294917332219</v>
      </c>
      <c r="T8" s="26">
        <f t="shared" si="0"/>
        <v>5394.0147151413757</v>
      </c>
      <c r="U8" s="26" t="s">
        <v>348</v>
      </c>
      <c r="V8" s="25">
        <v>5476.43</v>
      </c>
    </row>
    <row r="9" spans="2:25">
      <c r="B9" s="7" t="s">
        <v>330</v>
      </c>
      <c r="C9" s="7" t="s">
        <v>299</v>
      </c>
      <c r="D9" s="7" t="s">
        <v>281</v>
      </c>
      <c r="E9" s="27" t="s">
        <v>4</v>
      </c>
      <c r="F9" s="20">
        <v>191.13900000000001</v>
      </c>
      <c r="G9" s="20">
        <v>0</v>
      </c>
      <c r="H9" s="20">
        <v>0</v>
      </c>
      <c r="I9" s="19">
        <v>0</v>
      </c>
      <c r="K9" s="15" t="s">
        <v>324</v>
      </c>
      <c r="L9" s="13">
        <v>1051.4445238765484</v>
      </c>
      <c r="M9" s="13">
        <v>60727.124776561541</v>
      </c>
      <c r="N9" s="13">
        <v>58986.037789474358</v>
      </c>
      <c r="O9" s="13">
        <v>50268.849253219865</v>
      </c>
      <c r="P9" s="13"/>
      <c r="Q9" s="7" t="s">
        <v>350</v>
      </c>
      <c r="R9" s="26">
        <f>+F132+F133</f>
        <v>265.98138475710471</v>
      </c>
      <c r="S9" s="26">
        <f>+G132+G133</f>
        <v>15432.18152767728</v>
      </c>
      <c r="T9" s="26">
        <f>+H132+H133</f>
        <v>15175.195710113574</v>
      </c>
      <c r="U9" s="26" t="s">
        <v>348</v>
      </c>
      <c r="V9" s="25">
        <v>15414.22</v>
      </c>
    </row>
    <row r="10" spans="2:25">
      <c r="B10" s="7" t="s">
        <v>330</v>
      </c>
      <c r="C10" s="7" t="s">
        <v>299</v>
      </c>
      <c r="D10" s="7" t="s">
        <v>298</v>
      </c>
      <c r="E10" s="27" t="s">
        <v>234</v>
      </c>
      <c r="F10" s="20">
        <v>2.819</v>
      </c>
      <c r="G10" s="20">
        <v>0</v>
      </c>
      <c r="H10" s="20">
        <v>0</v>
      </c>
      <c r="I10" s="19">
        <v>0</v>
      </c>
      <c r="K10" s="14" t="s">
        <v>10</v>
      </c>
      <c r="L10" s="13">
        <v>1051.4445238765484</v>
      </c>
      <c r="M10" s="13">
        <v>60727.124776561541</v>
      </c>
      <c r="N10" s="13">
        <v>58986.037789474358</v>
      </c>
      <c r="O10" s="13">
        <v>50268.849253219865</v>
      </c>
      <c r="P10" s="13"/>
      <c r="Q10" s="7" t="s">
        <v>349</v>
      </c>
      <c r="R10" s="26">
        <f>+SUM(F134:F153)</f>
        <v>2267.8966499999997</v>
      </c>
      <c r="S10" s="26">
        <f>+SUM(G134:G153)</f>
        <v>143200.69374341716</v>
      </c>
      <c r="T10" s="26">
        <f>+SUM(H134:H153)</f>
        <v>132752.0438284</v>
      </c>
      <c r="U10" s="26">
        <f>+SUM(I134:I153)</f>
        <v>121984.29252781192</v>
      </c>
      <c r="V10" s="25">
        <v>126670.18</v>
      </c>
    </row>
    <row r="11" spans="2:25">
      <c r="B11" s="7" t="s">
        <v>330</v>
      </c>
      <c r="C11" s="7" t="s">
        <v>299</v>
      </c>
      <c r="D11" s="7" t="s">
        <v>298</v>
      </c>
      <c r="E11" s="27" t="s">
        <v>294</v>
      </c>
      <c r="F11" s="20">
        <v>65.030894000000004</v>
      </c>
      <c r="G11" s="20">
        <v>4232.3991711126009</v>
      </c>
      <c r="H11" s="20">
        <v>4103.4494113999999</v>
      </c>
      <c r="I11" s="19">
        <v>0</v>
      </c>
      <c r="K11" s="15" t="s">
        <v>323</v>
      </c>
      <c r="L11" s="13">
        <v>16.284303395455634</v>
      </c>
      <c r="M11" s="13">
        <v>940.51459847759611</v>
      </c>
      <c r="N11" s="13">
        <v>913.54942048506098</v>
      </c>
      <c r="O11" s="13">
        <v>778.54149599999994</v>
      </c>
      <c r="P11" s="13"/>
      <c r="Q11" s="7" t="s">
        <v>273</v>
      </c>
      <c r="R11" s="26">
        <f>+SUM(F4:F14)</f>
        <v>876.13341000000003</v>
      </c>
      <c r="S11" s="26">
        <f>+SUM(G4:G14)</f>
        <v>23967.57411795907</v>
      </c>
      <c r="T11" s="26">
        <f>+SUM(H4:H14)</f>
        <v>23162.142488500001</v>
      </c>
      <c r="U11" s="26" t="s">
        <v>348</v>
      </c>
      <c r="V11" s="25">
        <v>25125.17</v>
      </c>
    </row>
    <row r="12" spans="2:25">
      <c r="B12" s="7" t="s">
        <v>330</v>
      </c>
      <c r="C12" s="7" t="s">
        <v>299</v>
      </c>
      <c r="D12" s="7" t="s">
        <v>298</v>
      </c>
      <c r="E12" s="21" t="s">
        <v>3</v>
      </c>
      <c r="F12" s="20">
        <v>4.3962430000000001</v>
      </c>
      <c r="G12" s="20">
        <v>320.26968765711007</v>
      </c>
      <c r="H12" s="20">
        <v>325.76160629999998</v>
      </c>
      <c r="I12" s="19">
        <v>0</v>
      </c>
      <c r="K12" s="14" t="s">
        <v>10</v>
      </c>
      <c r="L12" s="13">
        <v>16.284303395455634</v>
      </c>
      <c r="M12" s="13">
        <v>940.51459847759611</v>
      </c>
      <c r="N12" s="13">
        <v>913.54942048506098</v>
      </c>
      <c r="O12" s="13">
        <v>778.54149599999994</v>
      </c>
      <c r="P12" s="13"/>
      <c r="Q12" s="7" t="s">
        <v>227</v>
      </c>
      <c r="R12" s="26">
        <f>+F32+F31+F33</f>
        <v>43.064980999999996</v>
      </c>
      <c r="S12" s="26">
        <f>+G32+G31+G33</f>
        <v>392.96541354378002</v>
      </c>
      <c r="T12" s="26">
        <f>+H32+H31+H33</f>
        <v>380.42087670000001</v>
      </c>
      <c r="U12" s="26" t="s">
        <v>348</v>
      </c>
      <c r="V12" s="25">
        <v>379.39</v>
      </c>
    </row>
    <row r="13" spans="2:25">
      <c r="B13" s="7" t="s">
        <v>330</v>
      </c>
      <c r="C13" s="7" t="s">
        <v>299</v>
      </c>
      <c r="D13" s="7" t="s">
        <v>298</v>
      </c>
      <c r="E13" s="21" t="s">
        <v>10</v>
      </c>
      <c r="F13" s="20">
        <v>11.097</v>
      </c>
      <c r="G13" s="20">
        <v>640.91722230000005</v>
      </c>
      <c r="H13" s="20">
        <v>622.54169999999999</v>
      </c>
      <c r="I13" s="19">
        <v>0</v>
      </c>
      <c r="K13" s="15" t="s">
        <v>322</v>
      </c>
      <c r="L13" s="13">
        <v>408.48248020040592</v>
      </c>
      <c r="M13" s="13">
        <v>32454.014748418289</v>
      </c>
      <c r="N13" s="13">
        <v>32964.536152172761</v>
      </c>
      <c r="O13" s="13">
        <v>1688.8980994351048</v>
      </c>
      <c r="P13" s="13"/>
      <c r="Q13" s="18" t="s">
        <v>48</v>
      </c>
      <c r="R13" s="24">
        <f>+SUM(F16:F30)</f>
        <v>2387.7638480000001</v>
      </c>
      <c r="S13" s="24">
        <f>+SUM(G16:G30)</f>
        <v>171444.61183457234</v>
      </c>
      <c r="T13" s="24">
        <f>+SUM(H16:H30)</f>
        <v>159583.49180770002</v>
      </c>
      <c r="U13" s="24" t="s">
        <v>348</v>
      </c>
      <c r="V13" s="23">
        <v>173564.84</v>
      </c>
    </row>
    <row r="14" spans="2:25">
      <c r="B14" s="7" t="s">
        <v>330</v>
      </c>
      <c r="C14" s="7" t="s">
        <v>299</v>
      </c>
      <c r="D14" s="7" t="s">
        <v>298</v>
      </c>
      <c r="E14" s="21" t="s">
        <v>4</v>
      </c>
      <c r="F14" s="20">
        <v>50.081000000000003</v>
      </c>
      <c r="G14" s="20">
        <v>0</v>
      </c>
      <c r="H14" s="20">
        <v>0</v>
      </c>
      <c r="I14" s="19">
        <v>0</v>
      </c>
      <c r="K14" s="14" t="s">
        <v>229</v>
      </c>
      <c r="L14" s="13">
        <v>408.48248020040592</v>
      </c>
      <c r="M14" s="13">
        <v>32454.014748418289</v>
      </c>
      <c r="N14" s="13">
        <v>32964.536152172761</v>
      </c>
      <c r="O14" s="13">
        <v>1688.8980994351048</v>
      </c>
      <c r="P14" s="13"/>
    </row>
    <row r="15" spans="2:25">
      <c r="B15" s="7" t="s">
        <v>330</v>
      </c>
      <c r="C15" s="7" t="s">
        <v>299</v>
      </c>
      <c r="D15" s="7" t="s">
        <v>297</v>
      </c>
      <c r="E15" s="21" t="s">
        <v>4</v>
      </c>
      <c r="F15" s="20">
        <v>33.427</v>
      </c>
      <c r="G15" s="20">
        <v>0</v>
      </c>
      <c r="H15" s="20">
        <v>0</v>
      </c>
      <c r="I15" s="19">
        <v>0</v>
      </c>
      <c r="K15" s="15" t="s">
        <v>320</v>
      </c>
      <c r="L15" s="13">
        <v>0</v>
      </c>
      <c r="M15" s="13">
        <v>0</v>
      </c>
      <c r="N15" s="13">
        <v>0</v>
      </c>
      <c r="O15" s="13">
        <v>0</v>
      </c>
      <c r="P15" s="13"/>
      <c r="Q15" s="3" t="s">
        <v>347</v>
      </c>
    </row>
    <row r="16" spans="2:25">
      <c r="B16" s="7" t="s">
        <v>330</v>
      </c>
      <c r="C16" s="7" t="s">
        <v>48</v>
      </c>
      <c r="D16" s="7" t="s">
        <v>280</v>
      </c>
      <c r="E16" s="21" t="s">
        <v>294</v>
      </c>
      <c r="F16" s="20">
        <v>54.098236</v>
      </c>
      <c r="G16" s="20">
        <v>3520.8700837644001</v>
      </c>
      <c r="H16" s="20">
        <v>3413.5986916000002</v>
      </c>
      <c r="I16" s="19">
        <v>0</v>
      </c>
      <c r="K16" s="14" t="s">
        <v>301</v>
      </c>
      <c r="L16" s="13">
        <v>0</v>
      </c>
      <c r="M16" s="13">
        <v>0</v>
      </c>
      <c r="N16" s="13">
        <v>0</v>
      </c>
      <c r="O16" s="13">
        <v>0</v>
      </c>
      <c r="P16" s="13"/>
      <c r="Q16" s="672" t="s">
        <v>346</v>
      </c>
      <c r="R16" s="672"/>
      <c r="S16" s="672"/>
      <c r="T16" s="672"/>
      <c r="U16" s="672"/>
      <c r="V16" s="672"/>
    </row>
    <row r="17" spans="2:22">
      <c r="B17" s="7" t="s">
        <v>330</v>
      </c>
      <c r="C17" s="7" t="s">
        <v>48</v>
      </c>
      <c r="D17" s="7" t="s">
        <v>280</v>
      </c>
      <c r="E17" s="21" t="s">
        <v>293</v>
      </c>
      <c r="F17" s="20">
        <v>1471.103975</v>
      </c>
      <c r="G17" s="20">
        <v>105436.87141664958</v>
      </c>
      <c r="H17" s="20">
        <v>101947.5054675</v>
      </c>
      <c r="I17" s="19">
        <v>0</v>
      </c>
      <c r="K17" s="15" t="s">
        <v>319</v>
      </c>
      <c r="L17" s="13">
        <v>0.12404279959408351</v>
      </c>
      <c r="M17" s="13">
        <v>9.8552252363098543</v>
      </c>
      <c r="N17" s="13">
        <v>10.010253927242541</v>
      </c>
      <c r="O17" s="13">
        <v>0.51286324049999998</v>
      </c>
      <c r="P17" s="13"/>
      <c r="Q17" s="672"/>
      <c r="R17" s="672"/>
      <c r="S17" s="672"/>
      <c r="T17" s="672"/>
      <c r="U17" s="672"/>
      <c r="V17" s="672"/>
    </row>
    <row r="18" spans="2:22">
      <c r="B18" s="7" t="s">
        <v>330</v>
      </c>
      <c r="C18" s="7" t="s">
        <v>48</v>
      </c>
      <c r="D18" s="7" t="s">
        <v>280</v>
      </c>
      <c r="E18" s="21" t="s">
        <v>3</v>
      </c>
      <c r="F18" s="20">
        <v>548.57963900000004</v>
      </c>
      <c r="G18" s="20">
        <v>39964.449107472035</v>
      </c>
      <c r="H18" s="20">
        <v>40649.751249900008</v>
      </c>
      <c r="I18" s="19">
        <v>0</v>
      </c>
      <c r="K18" s="14" t="s">
        <v>229</v>
      </c>
      <c r="L18" s="13">
        <v>0.12404279959408351</v>
      </c>
      <c r="M18" s="13">
        <v>9.8552252363098543</v>
      </c>
      <c r="N18" s="13">
        <v>10.010253927242541</v>
      </c>
      <c r="O18" s="13">
        <v>0.51286324049999998</v>
      </c>
      <c r="P18" s="13"/>
      <c r="Q18" s="671" t="s">
        <v>345</v>
      </c>
      <c r="R18" s="671"/>
      <c r="S18" s="671"/>
      <c r="T18" s="671"/>
      <c r="U18" s="671"/>
      <c r="V18" s="671"/>
    </row>
    <row r="19" spans="2:22" ht="15.95" customHeight="1">
      <c r="B19" s="7" t="s">
        <v>330</v>
      </c>
      <c r="C19" s="7" t="s">
        <v>48</v>
      </c>
      <c r="D19" s="7" t="s">
        <v>280</v>
      </c>
      <c r="E19" s="21" t="s">
        <v>10</v>
      </c>
      <c r="F19" s="20">
        <v>0.86699999999999999</v>
      </c>
      <c r="G19" s="20">
        <v>50.074365299999997</v>
      </c>
      <c r="H19" s="20">
        <v>48.6387</v>
      </c>
      <c r="I19" s="19">
        <v>0</v>
      </c>
      <c r="K19" s="15" t="s">
        <v>318</v>
      </c>
      <c r="L19" s="13">
        <v>6.5296000000000003</v>
      </c>
      <c r="M19" s="13">
        <v>0</v>
      </c>
      <c r="N19" s="13">
        <v>0</v>
      </c>
      <c r="O19" s="13">
        <v>0</v>
      </c>
      <c r="P19" s="13"/>
      <c r="Q19" s="673" t="s">
        <v>344</v>
      </c>
      <c r="R19" s="673"/>
      <c r="S19" s="673"/>
      <c r="T19" s="673"/>
      <c r="U19" s="673"/>
      <c r="V19" s="673"/>
    </row>
    <row r="20" spans="2:22">
      <c r="B20" s="7" t="s">
        <v>330</v>
      </c>
      <c r="C20" s="7" t="s">
        <v>48</v>
      </c>
      <c r="D20" s="7" t="s">
        <v>296</v>
      </c>
      <c r="E20" s="21" t="s">
        <v>293</v>
      </c>
      <c r="F20" s="20">
        <v>0.85647499999999999</v>
      </c>
      <c r="G20" s="20">
        <v>61.385222242075002</v>
      </c>
      <c r="H20" s="20">
        <v>59.353717500000002</v>
      </c>
      <c r="I20" s="19">
        <v>0</v>
      </c>
      <c r="K20" s="14" t="s">
        <v>233</v>
      </c>
      <c r="L20" s="13">
        <v>6.5296000000000003</v>
      </c>
      <c r="M20" s="13">
        <v>0</v>
      </c>
      <c r="N20" s="13">
        <v>0</v>
      </c>
      <c r="O20" s="13">
        <v>0</v>
      </c>
      <c r="P20" s="13"/>
      <c r="Q20" s="673"/>
      <c r="R20" s="673"/>
      <c r="S20" s="673"/>
      <c r="T20" s="673"/>
      <c r="U20" s="673"/>
      <c r="V20" s="673"/>
    </row>
    <row r="21" spans="2:22">
      <c r="B21" s="7" t="s">
        <v>330</v>
      </c>
      <c r="C21" s="7" t="s">
        <v>48</v>
      </c>
      <c r="D21" s="7" t="s">
        <v>296</v>
      </c>
      <c r="E21" s="21" t="s">
        <v>230</v>
      </c>
      <c r="F21" s="20">
        <v>126.329669</v>
      </c>
      <c r="G21" s="20">
        <v>9173.305111359381</v>
      </c>
      <c r="H21" s="20">
        <v>0</v>
      </c>
      <c r="I21" s="19">
        <v>0</v>
      </c>
      <c r="K21" s="15" t="s">
        <v>316</v>
      </c>
      <c r="L21" s="13">
        <v>0</v>
      </c>
      <c r="M21" s="13">
        <v>0</v>
      </c>
      <c r="N21" s="13">
        <v>0</v>
      </c>
      <c r="O21" s="13">
        <v>0</v>
      </c>
      <c r="P21" s="13"/>
      <c r="Q21" s="673"/>
      <c r="R21" s="673"/>
      <c r="S21" s="673"/>
      <c r="T21" s="673"/>
      <c r="U21" s="673"/>
      <c r="V21" s="673"/>
    </row>
    <row r="22" spans="2:22">
      <c r="B22" s="7" t="s">
        <v>330</v>
      </c>
      <c r="C22" s="7" t="s">
        <v>48</v>
      </c>
      <c r="D22" s="7" t="s">
        <v>292</v>
      </c>
      <c r="E22" s="21" t="s">
        <v>3</v>
      </c>
      <c r="F22" s="20">
        <v>28.674313999999999</v>
      </c>
      <c r="G22" s="20">
        <v>2088.94585412178</v>
      </c>
      <c r="H22" s="20">
        <v>2124.7666674000002</v>
      </c>
      <c r="I22" s="19">
        <v>0</v>
      </c>
      <c r="K22" s="14" t="s">
        <v>301</v>
      </c>
      <c r="L22" s="13">
        <v>0</v>
      </c>
      <c r="M22" s="13">
        <v>0</v>
      </c>
      <c r="N22" s="13">
        <v>0</v>
      </c>
      <c r="O22" s="13">
        <v>0</v>
      </c>
      <c r="P22" s="13"/>
    </row>
    <row r="23" spans="2:22">
      <c r="B23" s="7" t="s">
        <v>330</v>
      </c>
      <c r="C23" s="7" t="s">
        <v>48</v>
      </c>
      <c r="D23" s="7" t="s">
        <v>292</v>
      </c>
      <c r="E23" s="21" t="s">
        <v>229</v>
      </c>
      <c r="F23" s="20">
        <v>8.1303E-2</v>
      </c>
      <c r="G23" s="20">
        <v>6.4595396106000003</v>
      </c>
      <c r="H23" s="20">
        <v>6.5611521000000002</v>
      </c>
      <c r="I23" s="19">
        <v>0</v>
      </c>
      <c r="K23" s="15" t="s">
        <v>315</v>
      </c>
      <c r="L23" s="13">
        <v>131.31599900000001</v>
      </c>
      <c r="M23" s="13">
        <v>0</v>
      </c>
      <c r="N23" s="13">
        <v>0</v>
      </c>
      <c r="O23" s="13">
        <v>0</v>
      </c>
      <c r="P23" s="13"/>
      <c r="Q23" s="669" t="s">
        <v>343</v>
      </c>
      <c r="R23" s="669"/>
      <c r="S23" s="669"/>
      <c r="T23" s="669"/>
      <c r="U23" s="669"/>
      <c r="V23" s="669"/>
    </row>
    <row r="24" spans="2:22">
      <c r="B24" s="7" t="s">
        <v>330</v>
      </c>
      <c r="C24" s="7" t="s">
        <v>48</v>
      </c>
      <c r="D24" s="7" t="s">
        <v>295</v>
      </c>
      <c r="E24" s="21" t="s">
        <v>294</v>
      </c>
      <c r="F24" s="20">
        <v>0</v>
      </c>
      <c r="G24" s="20">
        <v>0</v>
      </c>
      <c r="H24" s="20">
        <v>0</v>
      </c>
      <c r="I24" s="19">
        <v>0</v>
      </c>
      <c r="K24" s="14" t="s">
        <v>235</v>
      </c>
      <c r="L24" s="13">
        <v>131.31599900000001</v>
      </c>
      <c r="M24" s="13">
        <v>0</v>
      </c>
      <c r="N24" s="13">
        <v>0</v>
      </c>
      <c r="O24" s="13">
        <v>0</v>
      </c>
      <c r="P24" s="13"/>
      <c r="Q24" s="670" t="s">
        <v>342</v>
      </c>
      <c r="R24" s="670"/>
      <c r="S24" s="670"/>
      <c r="T24" s="670"/>
      <c r="U24" s="670"/>
      <c r="V24" s="670"/>
    </row>
    <row r="25" spans="2:22">
      <c r="B25" s="7" t="s">
        <v>330</v>
      </c>
      <c r="C25" s="7" t="s">
        <v>48</v>
      </c>
      <c r="D25" s="7" t="s">
        <v>295</v>
      </c>
      <c r="E25" s="21" t="s">
        <v>293</v>
      </c>
      <c r="F25" s="20">
        <v>0</v>
      </c>
      <c r="G25" s="20">
        <v>0</v>
      </c>
      <c r="H25" s="20">
        <v>0</v>
      </c>
      <c r="I25" s="19">
        <v>0</v>
      </c>
      <c r="K25" s="15" t="s">
        <v>313</v>
      </c>
      <c r="L25" s="13">
        <v>98.798878999999999</v>
      </c>
      <c r="M25" s="13">
        <v>0</v>
      </c>
      <c r="N25" s="13">
        <v>0</v>
      </c>
      <c r="O25" s="13">
        <v>0</v>
      </c>
      <c r="P25" s="13"/>
      <c r="Q25" s="673" t="s">
        <v>341</v>
      </c>
      <c r="R25" s="673"/>
      <c r="S25" s="673"/>
      <c r="T25" s="673"/>
      <c r="U25" s="673"/>
      <c r="V25" s="673"/>
    </row>
    <row r="26" spans="2:22">
      <c r="B26" s="7" t="s">
        <v>330</v>
      </c>
      <c r="C26" s="7" t="s">
        <v>48</v>
      </c>
      <c r="D26" s="7" t="s">
        <v>295</v>
      </c>
      <c r="E26" s="21" t="s">
        <v>3</v>
      </c>
      <c r="F26" s="20">
        <v>26.448539</v>
      </c>
      <c r="G26" s="20">
        <v>1926.7964315250301</v>
      </c>
      <c r="H26" s="20">
        <v>1959.8367398999999</v>
      </c>
      <c r="I26" s="19">
        <v>0</v>
      </c>
      <c r="K26" s="14" t="s">
        <v>236</v>
      </c>
      <c r="L26" s="13">
        <v>98.798878999999999</v>
      </c>
      <c r="M26" s="13">
        <v>0</v>
      </c>
      <c r="N26" s="13">
        <v>0</v>
      </c>
      <c r="O26" s="13">
        <v>0</v>
      </c>
      <c r="P26" s="13"/>
      <c r="Q26" s="673"/>
      <c r="R26" s="673"/>
      <c r="S26" s="673"/>
      <c r="T26" s="673"/>
      <c r="U26" s="673"/>
      <c r="V26" s="673"/>
    </row>
    <row r="27" spans="2:22">
      <c r="B27" s="7" t="s">
        <v>330</v>
      </c>
      <c r="C27" s="7" t="s">
        <v>48</v>
      </c>
      <c r="D27" s="7" t="s">
        <v>295</v>
      </c>
      <c r="E27" s="21" t="s">
        <v>4</v>
      </c>
      <c r="F27" s="20">
        <v>0.161</v>
      </c>
      <c r="G27" s="20">
        <v>0</v>
      </c>
      <c r="H27" s="20">
        <v>0</v>
      </c>
      <c r="I27" s="19">
        <v>0</v>
      </c>
      <c r="K27" s="15" t="s">
        <v>312</v>
      </c>
      <c r="L27" s="13">
        <v>40.19138022090619</v>
      </c>
      <c r="M27" s="13">
        <v>5140.7769560365468</v>
      </c>
      <c r="N27" s="13">
        <v>4059.3294023115254</v>
      </c>
      <c r="O27" s="13">
        <v>3432.6637270000001</v>
      </c>
      <c r="P27" s="13"/>
      <c r="Q27" s="673" t="s">
        <v>340</v>
      </c>
      <c r="R27" s="673"/>
      <c r="S27" s="673"/>
      <c r="T27" s="673"/>
      <c r="U27" s="673"/>
      <c r="V27" s="673"/>
    </row>
    <row r="28" spans="2:22">
      <c r="B28" s="7" t="s">
        <v>330</v>
      </c>
      <c r="C28" s="7" t="s">
        <v>48</v>
      </c>
      <c r="D28" s="7" t="s">
        <v>291</v>
      </c>
      <c r="E28" s="21" t="s">
        <v>4</v>
      </c>
      <c r="F28" s="20">
        <v>4.0659999999999998</v>
      </c>
      <c r="G28" s="20">
        <v>0</v>
      </c>
      <c r="H28" s="20">
        <v>0</v>
      </c>
      <c r="I28" s="19">
        <v>0</v>
      </c>
      <c r="K28" s="14" t="s">
        <v>287</v>
      </c>
      <c r="L28" s="13">
        <v>40.19138022090619</v>
      </c>
      <c r="M28" s="13">
        <v>5140.7769560365468</v>
      </c>
      <c r="N28" s="13">
        <v>4059.3294023115254</v>
      </c>
      <c r="O28" s="13">
        <v>3432.6637270000001</v>
      </c>
      <c r="P28" s="13"/>
      <c r="Q28" s="673"/>
      <c r="R28" s="673"/>
      <c r="S28" s="673"/>
      <c r="T28" s="673"/>
      <c r="U28" s="673"/>
      <c r="V28" s="673"/>
    </row>
    <row r="29" spans="2:22">
      <c r="B29" s="7" t="s">
        <v>330</v>
      </c>
      <c r="C29" s="7" t="s">
        <v>48</v>
      </c>
      <c r="D29" s="22" t="s">
        <v>382</v>
      </c>
      <c r="E29" s="21" t="s">
        <v>3</v>
      </c>
      <c r="F29" s="19">
        <v>10.947546000000001</v>
      </c>
      <c r="G29" s="19">
        <v>797.53715571042005</v>
      </c>
      <c r="H29" s="19">
        <v>811.21315860000004</v>
      </c>
      <c r="I29" s="19">
        <v>0</v>
      </c>
      <c r="K29" s="15" t="s">
        <v>311</v>
      </c>
      <c r="L29" s="13">
        <v>122.597565</v>
      </c>
      <c r="M29" s="13">
        <v>0</v>
      </c>
      <c r="N29" s="13">
        <v>0</v>
      </c>
      <c r="O29" s="13">
        <v>0</v>
      </c>
      <c r="P29" s="13"/>
      <c r="Q29" s="673"/>
      <c r="R29" s="673"/>
      <c r="S29" s="673"/>
      <c r="T29" s="673"/>
      <c r="U29" s="673"/>
      <c r="V29" s="673"/>
    </row>
    <row r="30" spans="2:22">
      <c r="B30" s="7" t="s">
        <v>330</v>
      </c>
      <c r="C30" s="7" t="s">
        <v>48</v>
      </c>
      <c r="D30" s="7" t="s">
        <v>370</v>
      </c>
      <c r="E30" s="21" t="s">
        <v>3</v>
      </c>
      <c r="F30" s="20">
        <v>115.550152</v>
      </c>
      <c r="G30" s="20">
        <v>8417.9175468170397</v>
      </c>
      <c r="H30" s="20">
        <v>8562.2662631999992</v>
      </c>
      <c r="I30" s="19">
        <v>0</v>
      </c>
      <c r="K30" s="14" t="s">
        <v>237</v>
      </c>
      <c r="L30" s="13">
        <v>122.597565</v>
      </c>
      <c r="M30" s="13">
        <v>0</v>
      </c>
      <c r="N30" s="13">
        <v>0</v>
      </c>
      <c r="O30" s="13">
        <v>0</v>
      </c>
      <c r="P30" s="13"/>
      <c r="Q30" s="670" t="s">
        <v>339</v>
      </c>
      <c r="R30" s="670"/>
      <c r="S30" s="670"/>
      <c r="T30" s="670"/>
      <c r="U30" s="670"/>
      <c r="V30" s="670"/>
    </row>
    <row r="31" spans="2:22">
      <c r="B31" s="7" t="s">
        <v>330</v>
      </c>
      <c r="C31" s="7" t="s">
        <v>227</v>
      </c>
      <c r="D31" s="7" t="s">
        <v>227</v>
      </c>
      <c r="E31" s="21" t="s">
        <v>294</v>
      </c>
      <c r="F31" s="20">
        <v>6.0288570000000004</v>
      </c>
      <c r="G31" s="20">
        <v>392.37549724530004</v>
      </c>
      <c r="H31" s="20">
        <v>380.42087670000001</v>
      </c>
      <c r="I31" s="19">
        <v>0</v>
      </c>
      <c r="K31" s="15" t="s">
        <v>11</v>
      </c>
      <c r="L31" s="13">
        <v>4.7E-2</v>
      </c>
      <c r="M31" s="13">
        <v>0</v>
      </c>
      <c r="N31" s="13">
        <v>0</v>
      </c>
      <c r="O31" s="13">
        <v>0</v>
      </c>
      <c r="P31" s="13"/>
      <c r="Q31" s="670" t="s">
        <v>417</v>
      </c>
      <c r="R31" s="670"/>
      <c r="S31" s="670"/>
      <c r="T31" s="670"/>
      <c r="U31" s="670"/>
      <c r="V31" s="670"/>
    </row>
    <row r="32" spans="2:22">
      <c r="B32" s="7" t="s">
        <v>330</v>
      </c>
      <c r="C32" s="7" t="s">
        <v>227</v>
      </c>
      <c r="D32" s="7" t="s">
        <v>227</v>
      </c>
      <c r="E32" s="21" t="s">
        <v>230</v>
      </c>
      <c r="F32" s="20">
        <v>8.1239999999999993E-3</v>
      </c>
      <c r="G32" s="20">
        <v>0.58991629848000005</v>
      </c>
      <c r="H32" s="20">
        <v>0</v>
      </c>
      <c r="I32" s="19">
        <v>0</v>
      </c>
      <c r="K32" s="14" t="s">
        <v>234</v>
      </c>
      <c r="L32" s="13">
        <v>4.7E-2</v>
      </c>
      <c r="M32" s="13">
        <v>0</v>
      </c>
      <c r="N32" s="13">
        <v>0</v>
      </c>
      <c r="O32" s="13">
        <v>0</v>
      </c>
      <c r="P32" s="13"/>
      <c r="Q32" s="670"/>
      <c r="R32" s="670"/>
      <c r="S32" s="670"/>
      <c r="T32" s="670"/>
      <c r="U32" s="670"/>
      <c r="V32" s="670"/>
    </row>
    <row r="33" spans="2:22">
      <c r="B33" s="7" t="s">
        <v>330</v>
      </c>
      <c r="C33" s="7" t="s">
        <v>227</v>
      </c>
      <c r="D33" s="7" t="s">
        <v>227</v>
      </c>
      <c r="E33" s="21" t="s">
        <v>4</v>
      </c>
      <c r="F33" s="20">
        <v>37.027999999999999</v>
      </c>
      <c r="G33" s="20">
        <v>0</v>
      </c>
      <c r="H33" s="20">
        <v>0</v>
      </c>
      <c r="I33" s="19">
        <v>0</v>
      </c>
      <c r="K33" s="15" t="s">
        <v>310</v>
      </c>
      <c r="L33" s="13">
        <v>24.049492999999998</v>
      </c>
      <c r="M33" s="13">
        <v>1752.02408315961</v>
      </c>
      <c r="N33" s="13">
        <v>1782.0674312999997</v>
      </c>
      <c r="O33" s="13">
        <v>36085.958794464073</v>
      </c>
      <c r="P33" s="13"/>
      <c r="Q33" s="674"/>
      <c r="R33" s="674"/>
      <c r="S33" s="674"/>
      <c r="T33" s="674"/>
      <c r="U33" s="674"/>
      <c r="V33" s="674"/>
    </row>
    <row r="34" spans="2:22">
      <c r="B34" s="7" t="s">
        <v>330</v>
      </c>
      <c r="C34" s="7" t="s">
        <v>47</v>
      </c>
      <c r="D34" s="7" t="s">
        <v>338</v>
      </c>
      <c r="E34" s="7" t="s">
        <v>232</v>
      </c>
      <c r="F34" s="20">
        <v>65.126006000000004</v>
      </c>
      <c r="G34" s="20">
        <v>7137.6806568480597</v>
      </c>
      <c r="H34" s="20">
        <v>6160.9201676000002</v>
      </c>
      <c r="I34" s="19">
        <v>0</v>
      </c>
      <c r="K34" s="14" t="s">
        <v>3</v>
      </c>
      <c r="L34" s="13">
        <v>24.049492999999998</v>
      </c>
      <c r="M34" s="13">
        <v>1752.02408315961</v>
      </c>
      <c r="N34" s="13">
        <v>1782.0674312999997</v>
      </c>
      <c r="O34" s="13">
        <v>36085.958794464073</v>
      </c>
      <c r="P34" s="13"/>
    </row>
    <row r="35" spans="2:22">
      <c r="B35" s="7" t="s">
        <v>330</v>
      </c>
      <c r="C35" s="7" t="s">
        <v>47</v>
      </c>
      <c r="D35" s="7" t="s">
        <v>338</v>
      </c>
      <c r="E35" s="7" t="s">
        <v>231</v>
      </c>
      <c r="F35" s="20">
        <v>2.2635710000000002</v>
      </c>
      <c r="G35" s="20">
        <v>178.80200848952001</v>
      </c>
      <c r="H35" s="20">
        <v>220.69817250000003</v>
      </c>
      <c r="I35" s="19">
        <v>0</v>
      </c>
      <c r="K35" s="15" t="s">
        <v>309</v>
      </c>
      <c r="L35" s="13">
        <v>0</v>
      </c>
      <c r="M35" s="13">
        <v>0</v>
      </c>
      <c r="N35" s="13">
        <v>0</v>
      </c>
      <c r="O35" s="13">
        <v>0</v>
      </c>
      <c r="P35" s="13"/>
    </row>
    <row r="36" spans="2:22">
      <c r="B36" s="7" t="s">
        <v>330</v>
      </c>
      <c r="C36" s="7" t="s">
        <v>47</v>
      </c>
      <c r="D36" s="7" t="s">
        <v>338</v>
      </c>
      <c r="E36" s="7" t="s">
        <v>294</v>
      </c>
      <c r="F36" s="20">
        <v>6.2030000000000002E-3</v>
      </c>
      <c r="G36" s="20">
        <v>0.40370922870000003</v>
      </c>
      <c r="H36" s="20">
        <v>0.39140930000000002</v>
      </c>
      <c r="I36" s="19">
        <v>0</v>
      </c>
      <c r="K36" s="14" t="s">
        <v>301</v>
      </c>
      <c r="L36" s="13">
        <v>0</v>
      </c>
      <c r="M36" s="13">
        <v>0</v>
      </c>
      <c r="N36" s="13">
        <v>0</v>
      </c>
      <c r="O36" s="13">
        <v>0</v>
      </c>
      <c r="P36" s="13"/>
    </row>
    <row r="37" spans="2:22">
      <c r="B37" s="7" t="s">
        <v>330</v>
      </c>
      <c r="C37" s="7" t="s">
        <v>47</v>
      </c>
      <c r="D37" s="7" t="s">
        <v>338</v>
      </c>
      <c r="E37" s="7" t="s">
        <v>230</v>
      </c>
      <c r="F37" s="20">
        <v>0</v>
      </c>
      <c r="G37" s="20">
        <v>0</v>
      </c>
      <c r="H37" s="20">
        <v>0</v>
      </c>
      <c r="I37" s="19">
        <v>0</v>
      </c>
      <c r="K37" s="15" t="s">
        <v>307</v>
      </c>
      <c r="L37" s="13">
        <v>69.814172727996038</v>
      </c>
      <c r="M37" s="13">
        <v>4032.1803786608666</v>
      </c>
      <c r="N37" s="13">
        <v>3916.5750900405774</v>
      </c>
      <c r="O37" s="13">
        <v>4710.0784222051198</v>
      </c>
      <c r="P37" s="13"/>
    </row>
    <row r="38" spans="2:22">
      <c r="B38" s="7" t="s">
        <v>330</v>
      </c>
      <c r="C38" s="7" t="s">
        <v>47</v>
      </c>
      <c r="D38" s="7" t="s">
        <v>338</v>
      </c>
      <c r="E38" s="7" t="s">
        <v>3</v>
      </c>
      <c r="F38" s="20">
        <v>0.88261100000000003</v>
      </c>
      <c r="G38" s="20">
        <v>64.298890960470004</v>
      </c>
      <c r="H38" s="20">
        <v>65.401475099999999</v>
      </c>
      <c r="I38" s="19">
        <v>0</v>
      </c>
      <c r="K38" s="14" t="s">
        <v>10</v>
      </c>
      <c r="L38" s="13">
        <v>69.814172727996038</v>
      </c>
      <c r="M38" s="13">
        <v>4032.1803786608666</v>
      </c>
      <c r="N38" s="13">
        <v>3916.5750900405774</v>
      </c>
      <c r="O38" s="13">
        <v>4710.0784222051198</v>
      </c>
      <c r="P38" s="13"/>
    </row>
    <row r="39" spans="2:22">
      <c r="B39" s="7" t="s">
        <v>330</v>
      </c>
      <c r="C39" s="7" t="s">
        <v>47</v>
      </c>
      <c r="D39" s="7" t="s">
        <v>338</v>
      </c>
      <c r="E39" s="7" t="s">
        <v>229</v>
      </c>
      <c r="F39" s="20">
        <v>2.9323039999999998</v>
      </c>
      <c r="G39" s="20">
        <v>232.97213926079996</v>
      </c>
      <c r="H39" s="20">
        <v>236.63693279999998</v>
      </c>
      <c r="I39" s="19">
        <v>0</v>
      </c>
      <c r="K39" s="15" t="s">
        <v>306</v>
      </c>
      <c r="L39" s="13">
        <v>0</v>
      </c>
      <c r="M39" s="13">
        <v>0</v>
      </c>
      <c r="N39" s="13">
        <v>0</v>
      </c>
      <c r="O39" s="13">
        <v>0</v>
      </c>
      <c r="P39" s="13"/>
    </row>
    <row r="40" spans="2:22">
      <c r="B40" s="7" t="s">
        <v>330</v>
      </c>
      <c r="C40" s="7" t="s">
        <v>47</v>
      </c>
      <c r="D40" s="7" t="s">
        <v>338</v>
      </c>
      <c r="E40" s="7" t="s">
        <v>10</v>
      </c>
      <c r="F40" s="20">
        <v>115.285</v>
      </c>
      <c r="G40" s="20">
        <v>6658.3889314999997</v>
      </c>
      <c r="H40" s="20">
        <v>6467.4885000000004</v>
      </c>
      <c r="I40" s="19">
        <v>0</v>
      </c>
      <c r="K40" s="14" t="s">
        <v>301</v>
      </c>
      <c r="L40" s="13">
        <v>0</v>
      </c>
      <c r="M40" s="13">
        <v>0</v>
      </c>
      <c r="N40" s="13">
        <v>0</v>
      </c>
      <c r="O40" s="13">
        <v>0</v>
      </c>
      <c r="P40" s="13"/>
    </row>
    <row r="41" spans="2:22">
      <c r="B41" s="7" t="s">
        <v>330</v>
      </c>
      <c r="C41" s="7" t="s">
        <v>47</v>
      </c>
      <c r="D41" s="7" t="s">
        <v>338</v>
      </c>
      <c r="E41" s="7" t="s">
        <v>4</v>
      </c>
      <c r="F41" s="20">
        <v>21.582000000000001</v>
      </c>
      <c r="G41" s="20">
        <v>0</v>
      </c>
      <c r="H41" s="20">
        <v>0</v>
      </c>
      <c r="I41" s="19">
        <v>0</v>
      </c>
      <c r="K41" s="15" t="s">
        <v>305</v>
      </c>
      <c r="L41" s="13">
        <v>0</v>
      </c>
      <c r="M41" s="13">
        <v>0</v>
      </c>
      <c r="N41" s="13">
        <v>0</v>
      </c>
      <c r="O41" s="13">
        <v>0</v>
      </c>
      <c r="P41" s="13"/>
    </row>
    <row r="42" spans="2:22">
      <c r="B42" s="7" t="s">
        <v>330</v>
      </c>
      <c r="C42" s="7" t="s">
        <v>47</v>
      </c>
      <c r="D42" s="7" t="s">
        <v>337</v>
      </c>
      <c r="E42" s="7" t="s">
        <v>287</v>
      </c>
      <c r="F42" s="20">
        <v>5.8601640000000002</v>
      </c>
      <c r="G42" s="20">
        <v>749.55863382179996</v>
      </c>
      <c r="H42" s="20">
        <v>591.87656400000003</v>
      </c>
      <c r="I42" s="19">
        <v>0</v>
      </c>
      <c r="K42" s="14" t="s">
        <v>10</v>
      </c>
      <c r="L42" s="13">
        <v>0</v>
      </c>
      <c r="M42" s="13">
        <v>0</v>
      </c>
      <c r="N42" s="13">
        <v>0</v>
      </c>
      <c r="O42" s="13">
        <v>0</v>
      </c>
      <c r="P42" s="13"/>
    </row>
    <row r="43" spans="2:22">
      <c r="B43" s="7" t="s">
        <v>330</v>
      </c>
      <c r="C43" s="7" t="s">
        <v>47</v>
      </c>
      <c r="D43" s="7" t="s">
        <v>337</v>
      </c>
      <c r="E43" s="7" t="s">
        <v>232</v>
      </c>
      <c r="F43" s="20">
        <v>0</v>
      </c>
      <c r="G43" s="20">
        <v>0</v>
      </c>
      <c r="H43" s="20">
        <v>0</v>
      </c>
      <c r="I43" s="19">
        <v>0</v>
      </c>
      <c r="K43" s="15" t="s">
        <v>317</v>
      </c>
      <c r="L43" s="13">
        <v>0</v>
      </c>
      <c r="M43" s="13">
        <v>0</v>
      </c>
      <c r="N43" s="13">
        <v>0</v>
      </c>
      <c r="O43" s="13">
        <v>0</v>
      </c>
      <c r="P43" s="13"/>
    </row>
    <row r="44" spans="2:22">
      <c r="B44" s="7" t="s">
        <v>330</v>
      </c>
      <c r="C44" s="7" t="s">
        <v>47</v>
      </c>
      <c r="D44" s="7" t="s">
        <v>337</v>
      </c>
      <c r="E44" s="7" t="s">
        <v>231</v>
      </c>
      <c r="F44" s="20">
        <v>100.994443</v>
      </c>
      <c r="G44" s="20">
        <v>7977.6641663461596</v>
      </c>
      <c r="H44" s="20">
        <v>9846.9581925000002</v>
      </c>
      <c r="I44" s="19">
        <v>0</v>
      </c>
      <c r="K44" s="14" t="s">
        <v>301</v>
      </c>
      <c r="L44" s="13">
        <v>0</v>
      </c>
      <c r="M44" s="13">
        <v>0</v>
      </c>
      <c r="N44" s="13">
        <v>0</v>
      </c>
      <c r="O44" s="13">
        <v>0</v>
      </c>
      <c r="P44" s="13"/>
    </row>
    <row r="45" spans="2:22">
      <c r="B45" s="7" t="s">
        <v>330</v>
      </c>
      <c r="C45" s="7" t="s">
        <v>47</v>
      </c>
      <c r="D45" s="7" t="s">
        <v>337</v>
      </c>
      <c r="E45" s="7" t="s">
        <v>294</v>
      </c>
      <c r="F45" s="20">
        <v>4.0000000000000003E-5</v>
      </c>
      <c r="G45" s="20">
        <v>2.6033160000000005E-3</v>
      </c>
      <c r="H45" s="20">
        <v>2.5240000000000002E-3</v>
      </c>
      <c r="I45" s="19">
        <v>0</v>
      </c>
      <c r="K45" s="15" t="s">
        <v>302</v>
      </c>
      <c r="L45" s="13">
        <v>0</v>
      </c>
      <c r="M45" s="13">
        <v>0</v>
      </c>
      <c r="N45" s="13">
        <v>0</v>
      </c>
      <c r="O45" s="13">
        <v>0</v>
      </c>
      <c r="P45" s="13"/>
    </row>
    <row r="46" spans="2:22">
      <c r="B46" s="7" t="s">
        <v>330</v>
      </c>
      <c r="C46" s="7" t="s">
        <v>47</v>
      </c>
      <c r="D46" s="7" t="s">
        <v>337</v>
      </c>
      <c r="E46" s="7" t="s">
        <v>3</v>
      </c>
      <c r="F46" s="20">
        <v>0.26655099999999998</v>
      </c>
      <c r="G46" s="20">
        <v>19.41844559427</v>
      </c>
      <c r="H46" s="20">
        <v>19.751429099999999</v>
      </c>
      <c r="I46" s="19">
        <v>0</v>
      </c>
      <c r="K46" s="14" t="s">
        <v>301</v>
      </c>
      <c r="L46" s="13">
        <v>0</v>
      </c>
      <c r="M46" s="13">
        <v>0</v>
      </c>
      <c r="N46" s="13">
        <v>0</v>
      </c>
      <c r="O46" s="13">
        <v>0</v>
      </c>
      <c r="P46" s="13"/>
    </row>
    <row r="47" spans="2:22">
      <c r="B47" s="7" t="s">
        <v>330</v>
      </c>
      <c r="C47" s="7" t="s">
        <v>47</v>
      </c>
      <c r="D47" s="7" t="s">
        <v>337</v>
      </c>
      <c r="E47" s="7" t="s">
        <v>229</v>
      </c>
      <c r="F47" s="20">
        <v>1.4900869999999999</v>
      </c>
      <c r="G47" s="20">
        <v>118.38771016739999</v>
      </c>
      <c r="H47" s="20">
        <v>120.2500209</v>
      </c>
      <c r="I47" s="19">
        <v>0</v>
      </c>
      <c r="K47" s="192" t="s">
        <v>330</v>
      </c>
      <c r="L47" s="13">
        <v>4928.4417389999999</v>
      </c>
      <c r="M47" s="13">
        <v>274122.11129591666</v>
      </c>
      <c r="N47" s="13">
        <v>259502.25349510001</v>
      </c>
      <c r="O47" s="13">
        <v>0</v>
      </c>
      <c r="P47" s="13"/>
    </row>
    <row r="48" spans="2:22">
      <c r="B48" s="7" t="s">
        <v>330</v>
      </c>
      <c r="C48" s="7" t="s">
        <v>47</v>
      </c>
      <c r="D48" s="7" t="s">
        <v>337</v>
      </c>
      <c r="E48" s="7" t="s">
        <v>10</v>
      </c>
      <c r="F48" s="20">
        <v>4.4249999999999998</v>
      </c>
      <c r="G48" s="20">
        <v>255.56985749999998</v>
      </c>
      <c r="H48" s="20">
        <v>248.24250000000001</v>
      </c>
      <c r="I48" s="19">
        <v>0</v>
      </c>
      <c r="K48" s="16" t="s">
        <v>227</v>
      </c>
      <c r="L48" s="13">
        <v>43.064981000000003</v>
      </c>
      <c r="M48" s="13">
        <v>392.96541354378002</v>
      </c>
      <c r="N48" s="13">
        <v>380.42087670000001</v>
      </c>
      <c r="O48" s="13">
        <v>0</v>
      </c>
      <c r="P48" s="13"/>
    </row>
    <row r="49" spans="2:16">
      <c r="B49" s="7" t="s">
        <v>330</v>
      </c>
      <c r="C49" s="7" t="s">
        <v>47</v>
      </c>
      <c r="D49" s="7" t="s">
        <v>337</v>
      </c>
      <c r="E49" s="7" t="s">
        <v>4</v>
      </c>
      <c r="F49" s="20">
        <v>36.133000000000003</v>
      </c>
      <c r="G49" s="20">
        <v>0</v>
      </c>
      <c r="H49" s="20">
        <v>0</v>
      </c>
      <c r="I49" s="19">
        <v>0</v>
      </c>
      <c r="K49" s="15" t="s">
        <v>227</v>
      </c>
      <c r="L49" s="13">
        <v>43.064981000000003</v>
      </c>
      <c r="M49" s="13">
        <v>392.96541354378002</v>
      </c>
      <c r="N49" s="13">
        <v>380.42087670000001</v>
      </c>
      <c r="O49" s="13">
        <v>0</v>
      </c>
      <c r="P49" s="13"/>
    </row>
    <row r="50" spans="2:16">
      <c r="B50" s="7" t="s">
        <v>330</v>
      </c>
      <c r="C50" s="7" t="s">
        <v>47</v>
      </c>
      <c r="D50" s="7" t="s">
        <v>336</v>
      </c>
      <c r="E50" s="7" t="s">
        <v>271</v>
      </c>
      <c r="F50" s="20">
        <v>59.526828000000002</v>
      </c>
      <c r="G50" s="20">
        <v>6065.7458042806529</v>
      </c>
      <c r="H50" s="20">
        <v>6667.0047360000008</v>
      </c>
      <c r="I50" s="19">
        <v>0</v>
      </c>
      <c r="K50" s="14" t="s">
        <v>4</v>
      </c>
      <c r="L50" s="13">
        <v>37.027999999999999</v>
      </c>
      <c r="M50" s="13">
        <v>0</v>
      </c>
      <c r="N50" s="13">
        <v>0</v>
      </c>
      <c r="O50" s="13">
        <v>0</v>
      </c>
      <c r="P50" s="13"/>
    </row>
    <row r="51" spans="2:16">
      <c r="B51" s="7" t="s">
        <v>330</v>
      </c>
      <c r="C51" s="7" t="s">
        <v>47</v>
      </c>
      <c r="D51" s="7" t="s">
        <v>336</v>
      </c>
      <c r="E51" s="7" t="s">
        <v>294</v>
      </c>
      <c r="F51" s="20">
        <v>2.5599999999999999E-4</v>
      </c>
      <c r="G51" s="20">
        <v>1.6661222399999998E-2</v>
      </c>
      <c r="H51" s="20">
        <v>1.6153600000000001E-2</v>
      </c>
      <c r="I51" s="19">
        <v>0</v>
      </c>
      <c r="K51" s="14" t="s">
        <v>294</v>
      </c>
      <c r="L51" s="13">
        <v>6.0288570000000004</v>
      </c>
      <c r="M51" s="13">
        <v>392.37549724530004</v>
      </c>
      <c r="N51" s="13">
        <v>380.42087670000001</v>
      </c>
      <c r="O51" s="13">
        <v>0</v>
      </c>
      <c r="P51" s="13"/>
    </row>
    <row r="52" spans="2:16">
      <c r="B52" s="7" t="s">
        <v>330</v>
      </c>
      <c r="C52" s="7" t="s">
        <v>47</v>
      </c>
      <c r="D52" s="7" t="s">
        <v>336</v>
      </c>
      <c r="E52" s="7" t="s">
        <v>3</v>
      </c>
      <c r="F52" s="20">
        <v>0</v>
      </c>
      <c r="G52" s="20">
        <v>0</v>
      </c>
      <c r="H52" s="20">
        <v>0</v>
      </c>
      <c r="I52" s="19">
        <v>0</v>
      </c>
      <c r="K52" s="14" t="s">
        <v>230</v>
      </c>
      <c r="L52" s="13">
        <v>8.1239999999999993E-3</v>
      </c>
      <c r="M52" s="13">
        <v>0.58991629848000005</v>
      </c>
      <c r="N52" s="13">
        <v>0</v>
      </c>
      <c r="O52" s="13">
        <v>0</v>
      </c>
      <c r="P52" s="13"/>
    </row>
    <row r="53" spans="2:16">
      <c r="B53" s="7" t="s">
        <v>330</v>
      </c>
      <c r="C53" s="7" t="s">
        <v>47</v>
      </c>
      <c r="D53" s="7" t="s">
        <v>336</v>
      </c>
      <c r="E53" s="7" t="s">
        <v>229</v>
      </c>
      <c r="F53" s="20">
        <v>3.4816769999999999</v>
      </c>
      <c r="G53" s="20">
        <v>276.61993398539994</v>
      </c>
      <c r="H53" s="20">
        <v>280.97133389999999</v>
      </c>
      <c r="I53" s="19">
        <v>0</v>
      </c>
      <c r="K53" s="16" t="s">
        <v>47</v>
      </c>
      <c r="L53" s="13">
        <v>1588.0525000000007</v>
      </c>
      <c r="M53" s="13">
        <v>78316.959929841498</v>
      </c>
      <c r="N53" s="13">
        <v>76376.198322200013</v>
      </c>
      <c r="O53" s="13">
        <v>0</v>
      </c>
      <c r="P53" s="13"/>
    </row>
    <row r="54" spans="2:16">
      <c r="B54" s="7" t="s">
        <v>330</v>
      </c>
      <c r="C54" s="7" t="s">
        <v>47</v>
      </c>
      <c r="D54" s="7" t="s">
        <v>336</v>
      </c>
      <c r="E54" s="7" t="s">
        <v>4</v>
      </c>
      <c r="F54" s="20">
        <v>4.1449999999999996</v>
      </c>
      <c r="G54" s="20">
        <v>0</v>
      </c>
      <c r="H54" s="20">
        <v>0</v>
      </c>
      <c r="I54" s="19">
        <v>0</v>
      </c>
      <c r="K54" s="15" t="s">
        <v>335</v>
      </c>
      <c r="L54" s="13">
        <v>1.7729999999999999</v>
      </c>
      <c r="M54" s="13">
        <v>0</v>
      </c>
      <c r="N54" s="13">
        <v>0</v>
      </c>
      <c r="O54" s="13">
        <v>0</v>
      </c>
      <c r="P54" s="13"/>
    </row>
    <row r="55" spans="2:16">
      <c r="B55" s="7" t="s">
        <v>330</v>
      </c>
      <c r="C55" s="7" t="s">
        <v>47</v>
      </c>
      <c r="D55" s="7" t="s">
        <v>286</v>
      </c>
      <c r="E55" s="7" t="s">
        <v>3</v>
      </c>
      <c r="F55" s="20">
        <v>0.43508999999999998</v>
      </c>
      <c r="G55" s="20">
        <v>31.696641519299998</v>
      </c>
      <c r="H55" s="20">
        <v>32.240168999999995</v>
      </c>
      <c r="I55" s="19">
        <v>0</v>
      </c>
      <c r="K55" s="14" t="s">
        <v>4</v>
      </c>
      <c r="L55" s="13">
        <v>1.7729999999999999</v>
      </c>
      <c r="M55" s="13">
        <v>0</v>
      </c>
      <c r="N55" s="13">
        <v>0</v>
      </c>
      <c r="O55" s="13">
        <v>0</v>
      </c>
      <c r="P55" s="13"/>
    </row>
    <row r="56" spans="2:16">
      <c r="B56" s="7" t="s">
        <v>330</v>
      </c>
      <c r="C56" s="7" t="s">
        <v>47</v>
      </c>
      <c r="D56" s="7" t="s">
        <v>286</v>
      </c>
      <c r="E56" s="7" t="s">
        <v>229</v>
      </c>
      <c r="F56" s="20">
        <v>9.5646999999999996E-2</v>
      </c>
      <c r="G56" s="20">
        <v>7.5991732793999986</v>
      </c>
      <c r="H56" s="20">
        <v>7.7187128999999999</v>
      </c>
      <c r="I56" s="19">
        <v>0</v>
      </c>
      <c r="K56" s="15" t="s">
        <v>329</v>
      </c>
      <c r="L56" s="13">
        <v>728.32480899999996</v>
      </c>
      <c r="M56" s="13">
        <v>27985.896962437746</v>
      </c>
      <c r="N56" s="13">
        <v>25291.459929700002</v>
      </c>
      <c r="O56" s="13">
        <v>0</v>
      </c>
    </row>
    <row r="57" spans="2:16">
      <c r="B57" s="7" t="s">
        <v>330</v>
      </c>
      <c r="C57" s="7" t="s">
        <v>47</v>
      </c>
      <c r="D57" s="7" t="s">
        <v>286</v>
      </c>
      <c r="E57" s="7" t="s">
        <v>293</v>
      </c>
      <c r="F57" s="20">
        <v>0</v>
      </c>
      <c r="G57" s="20">
        <v>0</v>
      </c>
      <c r="H57" s="20">
        <v>0</v>
      </c>
      <c r="I57" s="19">
        <v>0</v>
      </c>
      <c r="K57" s="14" t="s">
        <v>271</v>
      </c>
      <c r="L57" s="13">
        <v>4.2556149999999988</v>
      </c>
      <c r="M57" s="13">
        <v>433.64445407512386</v>
      </c>
      <c r="N57" s="13">
        <v>476.62887999999987</v>
      </c>
      <c r="O57" s="13">
        <v>0</v>
      </c>
    </row>
    <row r="58" spans="2:16">
      <c r="B58" s="7" t="s">
        <v>330</v>
      </c>
      <c r="C58" s="7" t="s">
        <v>47</v>
      </c>
      <c r="D58" s="7" t="s">
        <v>286</v>
      </c>
      <c r="E58" s="7" t="s">
        <v>10</v>
      </c>
      <c r="F58" s="20">
        <v>110.779</v>
      </c>
      <c r="G58" s="20">
        <v>6398.1408461000001</v>
      </c>
      <c r="H58" s="20">
        <v>6214.7018999999991</v>
      </c>
      <c r="I58" s="19">
        <v>0</v>
      </c>
      <c r="K58" s="14" t="s">
        <v>287</v>
      </c>
      <c r="L58" s="13">
        <v>94.208432999999999</v>
      </c>
      <c r="M58" s="13">
        <v>12049.96043352585</v>
      </c>
      <c r="N58" s="13">
        <v>9515.0517329999984</v>
      </c>
      <c r="O58" s="13">
        <v>0</v>
      </c>
    </row>
    <row r="59" spans="2:16">
      <c r="B59" s="7" t="s">
        <v>330</v>
      </c>
      <c r="C59" s="7" t="s">
        <v>47</v>
      </c>
      <c r="D59" s="7" t="s">
        <v>286</v>
      </c>
      <c r="E59" s="7" t="s">
        <v>4</v>
      </c>
      <c r="F59" s="20">
        <v>5.117</v>
      </c>
      <c r="G59" s="20">
        <v>0</v>
      </c>
      <c r="H59" s="20">
        <v>0</v>
      </c>
      <c r="I59" s="19">
        <v>0</v>
      </c>
      <c r="K59" s="14" t="s">
        <v>229</v>
      </c>
      <c r="L59" s="13">
        <v>1.0112719999999999</v>
      </c>
      <c r="M59" s="13">
        <v>80.345762654399991</v>
      </c>
      <c r="N59" s="13">
        <v>81.609650399999992</v>
      </c>
      <c r="O59" s="13">
        <v>0</v>
      </c>
    </row>
    <row r="60" spans="2:16">
      <c r="B60" s="7" t="s">
        <v>330</v>
      </c>
      <c r="C60" s="7" t="s">
        <v>47</v>
      </c>
      <c r="D60" s="7" t="s">
        <v>334</v>
      </c>
      <c r="E60" s="7" t="s">
        <v>231</v>
      </c>
      <c r="F60" s="20">
        <v>1.9029609999999999</v>
      </c>
      <c r="G60" s="20">
        <v>150.31702070631997</v>
      </c>
      <c r="H60" s="20">
        <v>185.53869749999998</v>
      </c>
      <c r="I60" s="19">
        <v>0</v>
      </c>
      <c r="K60" s="14" t="s">
        <v>231</v>
      </c>
      <c r="L60" s="13">
        <v>5.9778859999999998</v>
      </c>
      <c r="M60" s="13">
        <v>472.19991037232001</v>
      </c>
      <c r="N60" s="13">
        <v>582.843885</v>
      </c>
      <c r="O60" s="13">
        <v>0</v>
      </c>
    </row>
    <row r="61" spans="2:16">
      <c r="B61" s="7" t="s">
        <v>330</v>
      </c>
      <c r="C61" s="7" t="s">
        <v>47</v>
      </c>
      <c r="D61" s="7" t="s">
        <v>334</v>
      </c>
      <c r="E61" s="7" t="s">
        <v>294</v>
      </c>
      <c r="F61" s="20">
        <v>0.83927700000000005</v>
      </c>
      <c r="G61" s="20">
        <v>54.622581063300011</v>
      </c>
      <c r="H61" s="20">
        <v>52.958378700000004</v>
      </c>
      <c r="I61" s="19">
        <v>0</v>
      </c>
      <c r="K61" s="14" t="s">
        <v>3</v>
      </c>
      <c r="L61" s="13">
        <v>35.364891</v>
      </c>
      <c r="M61" s="13">
        <v>2576.3595403160698</v>
      </c>
      <c r="N61" s="13">
        <v>2620.5384230999998</v>
      </c>
      <c r="O61" s="13">
        <v>0</v>
      </c>
    </row>
    <row r="62" spans="2:16">
      <c r="B62" s="7" t="s">
        <v>330</v>
      </c>
      <c r="C62" s="7" t="s">
        <v>47</v>
      </c>
      <c r="D62" s="7" t="s">
        <v>334</v>
      </c>
      <c r="E62" s="7" t="s">
        <v>3</v>
      </c>
      <c r="F62" s="20">
        <v>4.1992229999999999</v>
      </c>
      <c r="G62" s="20">
        <v>305.91662895170998</v>
      </c>
      <c r="H62" s="20">
        <v>311.1624243</v>
      </c>
      <c r="I62" s="19">
        <v>0</v>
      </c>
      <c r="K62" s="14" t="s">
        <v>4</v>
      </c>
      <c r="L62" s="13">
        <v>376.97500000000002</v>
      </c>
      <c r="M62" s="13">
        <v>0</v>
      </c>
      <c r="N62" s="13">
        <v>0</v>
      </c>
      <c r="O62" s="13">
        <v>0</v>
      </c>
    </row>
    <row r="63" spans="2:16">
      <c r="B63" s="7" t="s">
        <v>330</v>
      </c>
      <c r="C63" s="7" t="s">
        <v>47</v>
      </c>
      <c r="D63" s="7" t="s">
        <v>334</v>
      </c>
      <c r="E63" s="7" t="s">
        <v>229</v>
      </c>
      <c r="F63" s="20">
        <v>3.3719830000000002</v>
      </c>
      <c r="G63" s="20">
        <v>267.90472374659998</v>
      </c>
      <c r="H63" s="20">
        <v>272.11902809999998</v>
      </c>
      <c r="I63" s="19">
        <v>0</v>
      </c>
      <c r="K63" s="14" t="s">
        <v>234</v>
      </c>
      <c r="L63" s="13">
        <v>0.38100000000000001</v>
      </c>
      <c r="M63" s="13">
        <v>0</v>
      </c>
      <c r="N63" s="13">
        <v>0</v>
      </c>
      <c r="O63" s="13">
        <v>0</v>
      </c>
    </row>
    <row r="64" spans="2:16">
      <c r="B64" s="7" t="s">
        <v>330</v>
      </c>
      <c r="C64" s="7" t="s">
        <v>47</v>
      </c>
      <c r="D64" s="7" t="s">
        <v>334</v>
      </c>
      <c r="E64" s="7" t="s">
        <v>10</v>
      </c>
      <c r="F64" s="20">
        <v>66.287999999999997</v>
      </c>
      <c r="G64" s="20">
        <v>3828.5230992000002</v>
      </c>
      <c r="H64" s="20">
        <v>3718.7567999999997</v>
      </c>
      <c r="I64" s="19">
        <v>0</v>
      </c>
      <c r="K64" s="14" t="s">
        <v>294</v>
      </c>
      <c r="L64" s="13">
        <v>30.583707</v>
      </c>
      <c r="M64" s="13">
        <v>1990.4763443103</v>
      </c>
      <c r="N64" s="13">
        <v>1929.8319117000001</v>
      </c>
      <c r="O64" s="13">
        <v>0</v>
      </c>
    </row>
    <row r="65" spans="2:15">
      <c r="B65" s="7" t="s">
        <v>330</v>
      </c>
      <c r="C65" s="7" t="s">
        <v>47</v>
      </c>
      <c r="D65" s="7" t="s">
        <v>334</v>
      </c>
      <c r="E65" s="7" t="s">
        <v>4</v>
      </c>
      <c r="F65" s="20">
        <v>17.125</v>
      </c>
      <c r="G65" s="20">
        <v>0</v>
      </c>
      <c r="H65" s="20">
        <v>0</v>
      </c>
      <c r="I65" s="19">
        <v>0</v>
      </c>
      <c r="K65" s="14" t="s">
        <v>10</v>
      </c>
      <c r="L65" s="13">
        <v>178.715</v>
      </c>
      <c r="M65" s="13">
        <v>10321.8456685</v>
      </c>
      <c r="N65" s="13">
        <v>10025.9115</v>
      </c>
      <c r="O65" s="13">
        <v>0</v>
      </c>
    </row>
    <row r="66" spans="2:15">
      <c r="B66" s="7" t="s">
        <v>330</v>
      </c>
      <c r="C66" s="7" t="s">
        <v>47</v>
      </c>
      <c r="D66" s="7" t="s">
        <v>333</v>
      </c>
      <c r="E66" s="7" t="s">
        <v>232</v>
      </c>
      <c r="F66" s="20">
        <v>0</v>
      </c>
      <c r="G66" s="20">
        <v>0</v>
      </c>
      <c r="H66" s="20">
        <v>0</v>
      </c>
      <c r="I66" s="19">
        <v>0</v>
      </c>
      <c r="K66" s="14" t="s">
        <v>293</v>
      </c>
      <c r="L66" s="13">
        <v>0.85200500000000001</v>
      </c>
      <c r="M66" s="13">
        <v>61.064848683685007</v>
      </c>
      <c r="N66" s="13">
        <v>59.043946499999997</v>
      </c>
      <c r="O66" s="13">
        <v>0</v>
      </c>
    </row>
    <row r="67" spans="2:15">
      <c r="B67" s="7" t="s">
        <v>330</v>
      </c>
      <c r="C67" s="7" t="s">
        <v>47</v>
      </c>
      <c r="D67" s="7" t="s">
        <v>333</v>
      </c>
      <c r="E67" s="7" t="s">
        <v>231</v>
      </c>
      <c r="F67" s="20">
        <v>0</v>
      </c>
      <c r="G67" s="20">
        <v>0</v>
      </c>
      <c r="H67" s="20">
        <v>0</v>
      </c>
      <c r="I67" s="19">
        <v>0</v>
      </c>
      <c r="K67" s="14" t="s">
        <v>230</v>
      </c>
      <c r="L67" s="13">
        <v>0</v>
      </c>
      <c r="M67" s="13">
        <v>0</v>
      </c>
      <c r="N67" s="13">
        <v>0</v>
      </c>
      <c r="O67" s="13">
        <v>0</v>
      </c>
    </row>
    <row r="68" spans="2:15">
      <c r="B68" s="7" t="s">
        <v>330</v>
      </c>
      <c r="C68" s="7" t="s">
        <v>47</v>
      </c>
      <c r="D68" s="7" t="s">
        <v>333</v>
      </c>
      <c r="E68" s="7" t="s">
        <v>294</v>
      </c>
      <c r="F68" s="20">
        <v>9.3198019999999993</v>
      </c>
      <c r="G68" s="20">
        <v>606.5597415858</v>
      </c>
      <c r="H68" s="20">
        <v>588.07950619999997</v>
      </c>
      <c r="I68" s="19">
        <v>0</v>
      </c>
      <c r="K68" s="15" t="s">
        <v>338</v>
      </c>
      <c r="L68" s="13">
        <v>208.07769500000001</v>
      </c>
      <c r="M68" s="13">
        <v>14272.546336287549</v>
      </c>
      <c r="N68" s="13">
        <v>13151.536657300001</v>
      </c>
      <c r="O68" s="13">
        <v>0</v>
      </c>
    </row>
    <row r="69" spans="2:15">
      <c r="B69" s="7" t="s">
        <v>330</v>
      </c>
      <c r="C69" s="7" t="s">
        <v>47</v>
      </c>
      <c r="D69" s="7" t="s">
        <v>333</v>
      </c>
      <c r="E69" s="7" t="s">
        <v>3</v>
      </c>
      <c r="F69" s="20">
        <v>4.3686129999999999</v>
      </c>
      <c r="G69" s="20">
        <v>318.25682088201</v>
      </c>
      <c r="H69" s="20">
        <v>323.71422330000001</v>
      </c>
      <c r="I69" s="19">
        <v>0</v>
      </c>
      <c r="K69" s="14" t="s">
        <v>229</v>
      </c>
      <c r="L69" s="13">
        <v>2.9323039999999998</v>
      </c>
      <c r="M69" s="13">
        <v>232.97213926079996</v>
      </c>
      <c r="N69" s="13">
        <v>236.63693279999998</v>
      </c>
      <c r="O69" s="13">
        <v>0</v>
      </c>
    </row>
    <row r="70" spans="2:15">
      <c r="B70" s="7" t="s">
        <v>330</v>
      </c>
      <c r="C70" s="7" t="s">
        <v>47</v>
      </c>
      <c r="D70" s="7" t="s">
        <v>333</v>
      </c>
      <c r="E70" s="7" t="s">
        <v>229</v>
      </c>
      <c r="F70" s="20">
        <v>2.2258830000000001</v>
      </c>
      <c r="G70" s="20">
        <v>176.84684952660001</v>
      </c>
      <c r="H70" s="20">
        <v>179.6287581</v>
      </c>
      <c r="I70" s="19">
        <v>0</v>
      </c>
      <c r="K70" s="14" t="s">
        <v>232</v>
      </c>
      <c r="L70" s="13">
        <v>65.126006000000004</v>
      </c>
      <c r="M70" s="13">
        <v>7137.6806568480597</v>
      </c>
      <c r="N70" s="13">
        <v>6160.9201676000002</v>
      </c>
      <c r="O70" s="13">
        <v>0</v>
      </c>
    </row>
    <row r="71" spans="2:15">
      <c r="B71" s="7" t="s">
        <v>330</v>
      </c>
      <c r="C71" s="7" t="s">
        <v>47</v>
      </c>
      <c r="D71" s="7" t="s">
        <v>333</v>
      </c>
      <c r="E71" s="7" t="s">
        <v>10</v>
      </c>
      <c r="F71" s="20">
        <v>9.2739999999999991</v>
      </c>
      <c r="G71" s="20">
        <v>535.62821659999997</v>
      </c>
      <c r="H71" s="20">
        <v>520.27139999999997</v>
      </c>
      <c r="I71" s="19">
        <v>0</v>
      </c>
      <c r="K71" s="14" t="s">
        <v>231</v>
      </c>
      <c r="L71" s="13">
        <v>2.2635710000000002</v>
      </c>
      <c r="M71" s="13">
        <v>178.80200848952001</v>
      </c>
      <c r="N71" s="13">
        <v>220.69817250000003</v>
      </c>
      <c r="O71" s="13">
        <v>0</v>
      </c>
    </row>
    <row r="72" spans="2:15">
      <c r="B72" s="7" t="s">
        <v>330</v>
      </c>
      <c r="C72" s="7" t="s">
        <v>47</v>
      </c>
      <c r="D72" s="7" t="s">
        <v>333</v>
      </c>
      <c r="E72" s="7" t="s">
        <v>4</v>
      </c>
      <c r="F72" s="20">
        <v>36.293999999999997</v>
      </c>
      <c r="G72" s="20">
        <v>0</v>
      </c>
      <c r="H72" s="20">
        <v>0</v>
      </c>
      <c r="I72" s="19">
        <v>0</v>
      </c>
      <c r="K72" s="14" t="s">
        <v>3</v>
      </c>
      <c r="L72" s="13">
        <v>0.88261100000000003</v>
      </c>
      <c r="M72" s="13">
        <v>64.298890960470004</v>
      </c>
      <c r="N72" s="13">
        <v>65.401475099999999</v>
      </c>
      <c r="O72" s="13">
        <v>0</v>
      </c>
    </row>
    <row r="73" spans="2:15">
      <c r="B73" s="7" t="s">
        <v>330</v>
      </c>
      <c r="C73" s="7" t="s">
        <v>47</v>
      </c>
      <c r="D73" s="7" t="s">
        <v>332</v>
      </c>
      <c r="E73" s="7" t="s">
        <v>271</v>
      </c>
      <c r="F73" s="20">
        <v>0</v>
      </c>
      <c r="G73" s="20">
        <v>0</v>
      </c>
      <c r="H73" s="20">
        <v>0</v>
      </c>
      <c r="I73" s="19">
        <v>0</v>
      </c>
      <c r="K73" s="14" t="s">
        <v>4</v>
      </c>
      <c r="L73" s="13">
        <v>21.582000000000001</v>
      </c>
      <c r="M73" s="13">
        <v>0</v>
      </c>
      <c r="N73" s="13">
        <v>0</v>
      </c>
      <c r="O73" s="13">
        <v>0</v>
      </c>
    </row>
    <row r="74" spans="2:15">
      <c r="B74" s="7" t="s">
        <v>330</v>
      </c>
      <c r="C74" s="7" t="s">
        <v>47</v>
      </c>
      <c r="D74" s="7" t="s">
        <v>332</v>
      </c>
      <c r="E74" s="7" t="s">
        <v>294</v>
      </c>
      <c r="F74" s="20">
        <v>0.40593800000000002</v>
      </c>
      <c r="G74" s="20">
        <v>26.419622260200001</v>
      </c>
      <c r="H74" s="20">
        <v>25.614687799999999</v>
      </c>
      <c r="I74" s="19">
        <v>0</v>
      </c>
      <c r="K74" s="14" t="s">
        <v>294</v>
      </c>
      <c r="L74" s="13">
        <v>6.2030000000000002E-3</v>
      </c>
      <c r="M74" s="13">
        <v>0.40370922870000003</v>
      </c>
      <c r="N74" s="13">
        <v>0.39140930000000002</v>
      </c>
      <c r="O74" s="13">
        <v>0</v>
      </c>
    </row>
    <row r="75" spans="2:15">
      <c r="B75" s="7" t="s">
        <v>330</v>
      </c>
      <c r="C75" s="7" t="s">
        <v>47</v>
      </c>
      <c r="D75" s="7" t="s">
        <v>332</v>
      </c>
      <c r="E75" s="7" t="s">
        <v>3</v>
      </c>
      <c r="F75" s="20">
        <v>1.29373</v>
      </c>
      <c r="G75" s="20">
        <v>94.249226672100008</v>
      </c>
      <c r="H75" s="20">
        <v>95.865392999999997</v>
      </c>
      <c r="I75" s="19">
        <v>0</v>
      </c>
      <c r="K75" s="14" t="s">
        <v>10</v>
      </c>
      <c r="L75" s="13">
        <v>115.285</v>
      </c>
      <c r="M75" s="13">
        <v>6658.3889314999997</v>
      </c>
      <c r="N75" s="13">
        <v>6467.4885000000004</v>
      </c>
      <c r="O75" s="13">
        <v>0</v>
      </c>
    </row>
    <row r="76" spans="2:15">
      <c r="B76" s="7" t="s">
        <v>330</v>
      </c>
      <c r="C76" s="7" t="s">
        <v>47</v>
      </c>
      <c r="D76" s="7" t="s">
        <v>332</v>
      </c>
      <c r="E76" s="7" t="s">
        <v>229</v>
      </c>
      <c r="F76" s="20">
        <v>5.1573520000000004</v>
      </c>
      <c r="G76" s="20">
        <v>409.75264787039998</v>
      </c>
      <c r="H76" s="20">
        <v>416.19830640000004</v>
      </c>
      <c r="I76" s="19">
        <v>0</v>
      </c>
      <c r="K76" s="14" t="s">
        <v>230</v>
      </c>
      <c r="L76" s="13">
        <v>0</v>
      </c>
      <c r="M76" s="13">
        <v>0</v>
      </c>
      <c r="N76" s="13">
        <v>0</v>
      </c>
      <c r="O76" s="13">
        <v>0</v>
      </c>
    </row>
    <row r="77" spans="2:15">
      <c r="B77" s="7" t="s">
        <v>330</v>
      </c>
      <c r="C77" s="7" t="s">
        <v>47</v>
      </c>
      <c r="D77" s="7" t="s">
        <v>332</v>
      </c>
      <c r="E77" s="7" t="s">
        <v>10</v>
      </c>
      <c r="F77" s="20">
        <v>32.664000000000001</v>
      </c>
      <c r="G77" s="20">
        <v>1886.5387176000002</v>
      </c>
      <c r="H77" s="20">
        <v>1832.4504000000002</v>
      </c>
      <c r="I77" s="19">
        <v>0</v>
      </c>
      <c r="K77" s="15" t="s">
        <v>337</v>
      </c>
      <c r="L77" s="13">
        <v>149.16928500000003</v>
      </c>
      <c r="M77" s="13">
        <v>9120.6014167456306</v>
      </c>
      <c r="N77" s="13">
        <v>10827.0812305</v>
      </c>
      <c r="O77" s="13">
        <v>0</v>
      </c>
    </row>
    <row r="78" spans="2:15">
      <c r="B78" s="7" t="s">
        <v>330</v>
      </c>
      <c r="C78" s="7" t="s">
        <v>47</v>
      </c>
      <c r="D78" s="7" t="s">
        <v>332</v>
      </c>
      <c r="E78" s="7" t="s">
        <v>4</v>
      </c>
      <c r="F78" s="20">
        <v>10.295999999999999</v>
      </c>
      <c r="G78" s="20">
        <v>0</v>
      </c>
      <c r="H78" s="20">
        <v>0</v>
      </c>
      <c r="I78" s="19">
        <v>0</v>
      </c>
      <c r="K78" s="14" t="s">
        <v>287</v>
      </c>
      <c r="L78" s="13">
        <v>5.8601640000000002</v>
      </c>
      <c r="M78" s="13">
        <v>749.55863382179996</v>
      </c>
      <c r="N78" s="13">
        <v>591.87656400000003</v>
      </c>
      <c r="O78" s="13">
        <v>0</v>
      </c>
    </row>
    <row r="79" spans="2:15">
      <c r="B79" s="7" t="s">
        <v>330</v>
      </c>
      <c r="C79" s="7" t="s">
        <v>47</v>
      </c>
      <c r="D79" s="7" t="s">
        <v>331</v>
      </c>
      <c r="E79" s="7" t="s">
        <v>231</v>
      </c>
      <c r="F79" s="20">
        <v>6.2199999999999998E-3</v>
      </c>
      <c r="G79" s="20">
        <v>0.49132476639999995</v>
      </c>
      <c r="H79" s="20">
        <v>0.60644999999999993</v>
      </c>
      <c r="I79" s="19">
        <v>0</v>
      </c>
      <c r="K79" s="14" t="s">
        <v>229</v>
      </c>
      <c r="L79" s="13">
        <v>1.4900869999999999</v>
      </c>
      <c r="M79" s="13">
        <v>118.38771016739999</v>
      </c>
      <c r="N79" s="13">
        <v>120.2500209</v>
      </c>
      <c r="O79" s="13">
        <v>0</v>
      </c>
    </row>
    <row r="80" spans="2:15">
      <c r="B80" s="7" t="s">
        <v>330</v>
      </c>
      <c r="C80" s="7" t="s">
        <v>47</v>
      </c>
      <c r="D80" s="7" t="s">
        <v>331</v>
      </c>
      <c r="E80" s="7" t="s">
        <v>294</v>
      </c>
      <c r="F80" s="20">
        <v>0.14721300000000001</v>
      </c>
      <c r="G80" s="20">
        <v>9.5810489577000002</v>
      </c>
      <c r="H80" s="20">
        <v>9.2891403000000015</v>
      </c>
      <c r="I80" s="19">
        <v>0</v>
      </c>
      <c r="K80" s="14" t="s">
        <v>232</v>
      </c>
      <c r="L80" s="13">
        <v>0</v>
      </c>
      <c r="M80" s="13">
        <v>0</v>
      </c>
      <c r="N80" s="13">
        <v>0</v>
      </c>
      <c r="O80" s="13">
        <v>0</v>
      </c>
    </row>
    <row r="81" spans="2:15">
      <c r="B81" s="7" t="s">
        <v>330</v>
      </c>
      <c r="C81" s="7" t="s">
        <v>47</v>
      </c>
      <c r="D81" s="7" t="s">
        <v>331</v>
      </c>
      <c r="E81" s="7" t="s">
        <v>3</v>
      </c>
      <c r="F81" s="20">
        <v>0.152535</v>
      </c>
      <c r="G81" s="20">
        <v>11.11229220195</v>
      </c>
      <c r="H81" s="20">
        <v>11.302843500000002</v>
      </c>
      <c r="I81" s="19">
        <v>0</v>
      </c>
      <c r="K81" s="14" t="s">
        <v>231</v>
      </c>
      <c r="L81" s="13">
        <v>100.994443</v>
      </c>
      <c r="M81" s="13">
        <v>7977.6641663461596</v>
      </c>
      <c r="N81" s="13">
        <v>9846.9581925000002</v>
      </c>
      <c r="O81" s="13">
        <v>0</v>
      </c>
    </row>
    <row r="82" spans="2:15">
      <c r="B82" s="7" t="s">
        <v>330</v>
      </c>
      <c r="C82" s="7" t="s">
        <v>47</v>
      </c>
      <c r="D82" s="7" t="s">
        <v>331</v>
      </c>
      <c r="E82" s="7" t="s">
        <v>229</v>
      </c>
      <c r="F82" s="20">
        <v>2.3273769999999998</v>
      </c>
      <c r="G82" s="20">
        <v>184.91056812539998</v>
      </c>
      <c r="H82" s="20">
        <v>187.8193239</v>
      </c>
      <c r="I82" s="19">
        <v>0</v>
      </c>
      <c r="K82" s="14" t="s">
        <v>3</v>
      </c>
      <c r="L82" s="13">
        <v>0.26655099999999998</v>
      </c>
      <c r="M82" s="13">
        <v>19.41844559427</v>
      </c>
      <c r="N82" s="13">
        <v>19.751429099999999</v>
      </c>
      <c r="O82" s="13">
        <v>0</v>
      </c>
    </row>
    <row r="83" spans="2:15">
      <c r="B83" s="7" t="s">
        <v>330</v>
      </c>
      <c r="C83" s="7" t="s">
        <v>47</v>
      </c>
      <c r="D83" s="7" t="s">
        <v>331</v>
      </c>
      <c r="E83" s="7" t="s">
        <v>10</v>
      </c>
      <c r="F83" s="20">
        <v>48.554000000000002</v>
      </c>
      <c r="G83" s="20">
        <v>2804.2799686000003</v>
      </c>
      <c r="H83" s="20">
        <v>2723.8793999999998</v>
      </c>
      <c r="I83" s="19">
        <v>0</v>
      </c>
      <c r="K83" s="14" t="s">
        <v>4</v>
      </c>
      <c r="L83" s="13">
        <v>36.133000000000003</v>
      </c>
      <c r="M83" s="13">
        <v>0</v>
      </c>
      <c r="N83" s="13">
        <v>0</v>
      </c>
      <c r="O83" s="13">
        <v>0</v>
      </c>
    </row>
    <row r="84" spans="2:15">
      <c r="B84" s="7" t="s">
        <v>330</v>
      </c>
      <c r="C84" s="7" t="s">
        <v>47</v>
      </c>
      <c r="D84" s="7" t="s">
        <v>331</v>
      </c>
      <c r="E84" s="7" t="s">
        <v>4</v>
      </c>
      <c r="F84" s="20">
        <v>4.1779999999999999</v>
      </c>
      <c r="G84" s="20">
        <v>0</v>
      </c>
      <c r="H84" s="20">
        <v>0</v>
      </c>
      <c r="I84" s="19">
        <v>0</v>
      </c>
      <c r="K84" s="14" t="s">
        <v>294</v>
      </c>
      <c r="L84" s="13">
        <v>4.0000000000000003E-5</v>
      </c>
      <c r="M84" s="13">
        <v>2.6033160000000005E-3</v>
      </c>
      <c r="N84" s="13">
        <v>2.5240000000000002E-3</v>
      </c>
      <c r="O84" s="13">
        <v>0</v>
      </c>
    </row>
    <row r="85" spans="2:15">
      <c r="B85" s="7" t="s">
        <v>330</v>
      </c>
      <c r="C85" s="7" t="s">
        <v>47</v>
      </c>
      <c r="D85" s="7" t="s">
        <v>328</v>
      </c>
      <c r="E85" s="7" t="s">
        <v>294</v>
      </c>
      <c r="F85" s="20">
        <v>0.814222</v>
      </c>
      <c r="G85" s="20">
        <v>52.991929003800003</v>
      </c>
      <c r="H85" s="20">
        <v>51.377408199999998</v>
      </c>
      <c r="I85" s="19">
        <v>0</v>
      </c>
      <c r="K85" s="14" t="s">
        <v>10</v>
      </c>
      <c r="L85" s="13">
        <v>4.4249999999999998</v>
      </c>
      <c r="M85" s="13">
        <v>255.56985749999998</v>
      </c>
      <c r="N85" s="13">
        <v>248.24250000000001</v>
      </c>
      <c r="O85" s="13">
        <v>0</v>
      </c>
    </row>
    <row r="86" spans="2:15">
      <c r="B86" s="7" t="s">
        <v>330</v>
      </c>
      <c r="C86" s="7" t="s">
        <v>47</v>
      </c>
      <c r="D86" s="7" t="s">
        <v>328</v>
      </c>
      <c r="E86" s="7" t="s">
        <v>3</v>
      </c>
      <c r="F86" s="20">
        <v>0.140374</v>
      </c>
      <c r="G86" s="20">
        <v>10.226353987980001</v>
      </c>
      <c r="H86" s="20">
        <v>10.4017134</v>
      </c>
      <c r="I86" s="19">
        <v>0</v>
      </c>
      <c r="K86" s="15" t="s">
        <v>336</v>
      </c>
      <c r="L86" s="13">
        <v>67.153760999999989</v>
      </c>
      <c r="M86" s="13">
        <v>6342.3823994884533</v>
      </c>
      <c r="N86" s="13">
        <v>6947.9922235000004</v>
      </c>
      <c r="O86" s="13">
        <v>0</v>
      </c>
    </row>
    <row r="87" spans="2:15">
      <c r="B87" s="7" t="s">
        <v>330</v>
      </c>
      <c r="C87" s="7" t="s">
        <v>47</v>
      </c>
      <c r="D87" s="7" t="s">
        <v>328</v>
      </c>
      <c r="E87" s="7" t="s">
        <v>229</v>
      </c>
      <c r="F87" s="20">
        <v>2.080508</v>
      </c>
      <c r="G87" s="20">
        <v>165.29677670160001</v>
      </c>
      <c r="H87" s="20">
        <v>167.8969956</v>
      </c>
      <c r="I87" s="19">
        <v>0</v>
      </c>
      <c r="K87" s="14" t="s">
        <v>271</v>
      </c>
      <c r="L87" s="13">
        <v>59.526828000000002</v>
      </c>
      <c r="M87" s="13">
        <v>6065.7458042806529</v>
      </c>
      <c r="N87" s="13">
        <v>6667.0047360000008</v>
      </c>
      <c r="O87" s="13">
        <v>0</v>
      </c>
    </row>
    <row r="88" spans="2:15">
      <c r="B88" s="7" t="s">
        <v>330</v>
      </c>
      <c r="C88" s="7" t="s">
        <v>47</v>
      </c>
      <c r="D88" s="7" t="s">
        <v>328</v>
      </c>
      <c r="E88" s="7" t="s">
        <v>10</v>
      </c>
      <c r="F88" s="20">
        <v>15.255000000000001</v>
      </c>
      <c r="G88" s="20">
        <v>881.06625450000001</v>
      </c>
      <c r="H88" s="20">
        <v>855.80550000000005</v>
      </c>
      <c r="I88" s="19">
        <v>0</v>
      </c>
      <c r="K88" s="14" t="s">
        <v>229</v>
      </c>
      <c r="L88" s="13">
        <v>3.4816769999999999</v>
      </c>
      <c r="M88" s="13">
        <v>276.61993398539994</v>
      </c>
      <c r="N88" s="13">
        <v>280.97133389999999</v>
      </c>
      <c r="O88" s="13">
        <v>0</v>
      </c>
    </row>
    <row r="89" spans="2:15">
      <c r="B89" s="7" t="s">
        <v>330</v>
      </c>
      <c r="C89" s="7" t="s">
        <v>47</v>
      </c>
      <c r="D89" s="7" t="s">
        <v>328</v>
      </c>
      <c r="E89" s="7" t="s">
        <v>4</v>
      </c>
      <c r="F89" s="20">
        <v>3.6819999999999999</v>
      </c>
      <c r="G89" s="20">
        <v>0</v>
      </c>
      <c r="H89" s="20">
        <v>0</v>
      </c>
      <c r="I89" s="19">
        <v>0</v>
      </c>
      <c r="K89" s="14" t="s">
        <v>3</v>
      </c>
      <c r="L89" s="13">
        <v>0</v>
      </c>
      <c r="M89" s="13">
        <v>0</v>
      </c>
      <c r="N89" s="13">
        <v>0</v>
      </c>
      <c r="O89" s="13">
        <v>0</v>
      </c>
    </row>
    <row r="90" spans="2:15">
      <c r="B90" s="7" t="s">
        <v>330</v>
      </c>
      <c r="C90" s="7" t="s">
        <v>47</v>
      </c>
      <c r="D90" s="7" t="s">
        <v>335</v>
      </c>
      <c r="E90" s="7" t="s">
        <v>4</v>
      </c>
      <c r="F90" s="20">
        <v>1.7729999999999999</v>
      </c>
      <c r="G90" s="20">
        <v>0</v>
      </c>
      <c r="H90" s="20">
        <v>0</v>
      </c>
      <c r="I90" s="19">
        <v>0</v>
      </c>
      <c r="K90" s="14" t="s">
        <v>4</v>
      </c>
      <c r="L90" s="13">
        <v>4.1449999999999996</v>
      </c>
      <c r="M90" s="13">
        <v>0</v>
      </c>
      <c r="N90" s="13">
        <v>0</v>
      </c>
      <c r="O90" s="13">
        <v>0</v>
      </c>
    </row>
    <row r="91" spans="2:15">
      <c r="B91" s="7" t="s">
        <v>330</v>
      </c>
      <c r="C91" s="7" t="s">
        <v>47</v>
      </c>
      <c r="D91" s="7" t="s">
        <v>326</v>
      </c>
      <c r="E91" s="7" t="s">
        <v>294</v>
      </c>
      <c r="F91" s="20">
        <v>1.283507</v>
      </c>
      <c r="G91" s="20">
        <v>83.534357730300002</v>
      </c>
      <c r="H91" s="20">
        <v>80.989291699999995</v>
      </c>
      <c r="I91" s="19">
        <v>0</v>
      </c>
      <c r="K91" s="14" t="s">
        <v>294</v>
      </c>
      <c r="L91" s="13">
        <v>2.5599999999999999E-4</v>
      </c>
      <c r="M91" s="13">
        <v>1.6661222399999998E-2</v>
      </c>
      <c r="N91" s="13">
        <v>1.6153600000000001E-2</v>
      </c>
      <c r="O91" s="13">
        <v>0</v>
      </c>
    </row>
    <row r="92" spans="2:15">
      <c r="B92" s="7" t="s">
        <v>330</v>
      </c>
      <c r="C92" s="7" t="s">
        <v>47</v>
      </c>
      <c r="D92" s="7" t="s">
        <v>326</v>
      </c>
      <c r="E92" s="7" t="s">
        <v>3</v>
      </c>
      <c r="F92" s="20">
        <v>3.5512489999999999</v>
      </c>
      <c r="G92" s="20">
        <v>258.71122411173002</v>
      </c>
      <c r="H92" s="20">
        <v>263.1475509</v>
      </c>
      <c r="I92" s="19">
        <v>0</v>
      </c>
      <c r="K92" s="15" t="s">
        <v>286</v>
      </c>
      <c r="L92" s="13">
        <v>116.426737</v>
      </c>
      <c r="M92" s="13">
        <v>6437.4366608987002</v>
      </c>
      <c r="N92" s="13">
        <v>6254.6607818999992</v>
      </c>
      <c r="O92" s="13">
        <v>0</v>
      </c>
    </row>
    <row r="93" spans="2:15">
      <c r="B93" s="7" t="s">
        <v>330</v>
      </c>
      <c r="C93" s="7" t="s">
        <v>47</v>
      </c>
      <c r="D93" s="7" t="s">
        <v>326</v>
      </c>
      <c r="E93" s="7" t="s">
        <v>229</v>
      </c>
      <c r="F93" s="20">
        <v>0.67199600000000004</v>
      </c>
      <c r="G93" s="20">
        <v>53.390216599200002</v>
      </c>
      <c r="H93" s="20">
        <v>54.230077199999997</v>
      </c>
      <c r="I93" s="19">
        <v>0</v>
      </c>
      <c r="K93" s="14" t="s">
        <v>229</v>
      </c>
      <c r="L93" s="13">
        <v>9.5646999999999996E-2</v>
      </c>
      <c r="M93" s="13">
        <v>7.5991732793999986</v>
      </c>
      <c r="N93" s="13">
        <v>7.7187128999999999</v>
      </c>
      <c r="O93" s="13">
        <v>0</v>
      </c>
    </row>
    <row r="94" spans="2:15">
      <c r="B94" s="7" t="s">
        <v>330</v>
      </c>
      <c r="C94" s="7" t="s">
        <v>47</v>
      </c>
      <c r="D94" s="7" t="s">
        <v>326</v>
      </c>
      <c r="E94" s="7" t="s">
        <v>10</v>
      </c>
      <c r="F94" s="20">
        <v>0.96099999999999997</v>
      </c>
      <c r="G94" s="20">
        <v>55.503419899999997</v>
      </c>
      <c r="H94" s="20">
        <v>53.912099999999995</v>
      </c>
      <c r="I94" s="19">
        <v>0</v>
      </c>
      <c r="K94" s="14" t="s">
        <v>3</v>
      </c>
      <c r="L94" s="13">
        <v>0.43508999999999998</v>
      </c>
      <c r="M94" s="13">
        <v>31.696641519299998</v>
      </c>
      <c r="N94" s="13">
        <v>32.240168999999995</v>
      </c>
      <c r="O94" s="13">
        <v>0</v>
      </c>
    </row>
    <row r="95" spans="2:15">
      <c r="B95" s="7" t="s">
        <v>330</v>
      </c>
      <c r="C95" s="7" t="s">
        <v>47</v>
      </c>
      <c r="D95" s="7" t="s">
        <v>326</v>
      </c>
      <c r="E95" s="7" t="s">
        <v>4</v>
      </c>
      <c r="F95" s="20">
        <v>3.0630000000000002</v>
      </c>
      <c r="G95" s="20">
        <v>0</v>
      </c>
      <c r="H95" s="20">
        <v>0</v>
      </c>
      <c r="I95" s="19">
        <v>0</v>
      </c>
      <c r="K95" s="14" t="s">
        <v>4</v>
      </c>
      <c r="L95" s="13">
        <v>5.117</v>
      </c>
      <c r="M95" s="13">
        <v>0</v>
      </c>
      <c r="N95" s="13">
        <v>0</v>
      </c>
      <c r="O95" s="13">
        <v>0</v>
      </c>
    </row>
    <row r="96" spans="2:15">
      <c r="B96" s="7" t="s">
        <v>330</v>
      </c>
      <c r="C96" s="7" t="s">
        <v>47</v>
      </c>
      <c r="D96" s="7" t="s">
        <v>321</v>
      </c>
      <c r="E96" s="7" t="s">
        <v>294</v>
      </c>
      <c r="F96" s="20">
        <v>0.54942100000000005</v>
      </c>
      <c r="G96" s="20">
        <v>35.757912000900006</v>
      </c>
      <c r="H96" s="20">
        <v>34.668465099999999</v>
      </c>
      <c r="I96" s="19">
        <v>0</v>
      </c>
      <c r="K96" s="14" t="s">
        <v>10</v>
      </c>
      <c r="L96" s="13">
        <v>110.779</v>
      </c>
      <c r="M96" s="13">
        <v>6398.1408461000001</v>
      </c>
      <c r="N96" s="13">
        <v>6214.7018999999991</v>
      </c>
      <c r="O96" s="13">
        <v>0</v>
      </c>
    </row>
    <row r="97" spans="2:15">
      <c r="B97" s="7" t="s">
        <v>330</v>
      </c>
      <c r="C97" s="7" t="s">
        <v>47</v>
      </c>
      <c r="D97" s="7" t="s">
        <v>321</v>
      </c>
      <c r="E97" s="7" t="s">
        <v>3</v>
      </c>
      <c r="F97" s="20">
        <v>0.82255599999999995</v>
      </c>
      <c r="G97" s="20">
        <v>59.923837968120004</v>
      </c>
      <c r="H97" s="20">
        <v>60.951399599999995</v>
      </c>
      <c r="I97" s="19">
        <v>0</v>
      </c>
      <c r="K97" s="14" t="s">
        <v>293</v>
      </c>
      <c r="L97" s="13">
        <v>0</v>
      </c>
      <c r="M97" s="13">
        <v>0</v>
      </c>
      <c r="N97" s="13">
        <v>0</v>
      </c>
      <c r="O97" s="13">
        <v>0</v>
      </c>
    </row>
    <row r="98" spans="2:15">
      <c r="B98" s="7" t="s">
        <v>330</v>
      </c>
      <c r="C98" s="7" t="s">
        <v>47</v>
      </c>
      <c r="D98" s="7" t="s">
        <v>321</v>
      </c>
      <c r="E98" s="7" t="s">
        <v>229</v>
      </c>
      <c r="F98" s="20">
        <v>0</v>
      </c>
      <c r="G98" s="20">
        <v>0</v>
      </c>
      <c r="H98" s="20">
        <v>0</v>
      </c>
      <c r="I98" s="19">
        <v>0</v>
      </c>
      <c r="K98" s="15" t="s">
        <v>334</v>
      </c>
      <c r="L98" s="13">
        <v>93.726444000000001</v>
      </c>
      <c r="M98" s="13">
        <v>4607.2840536679305</v>
      </c>
      <c r="N98" s="13">
        <v>4540.5353286</v>
      </c>
      <c r="O98" s="13">
        <v>0</v>
      </c>
    </row>
    <row r="99" spans="2:15">
      <c r="B99" s="7" t="s">
        <v>330</v>
      </c>
      <c r="C99" s="7" t="s">
        <v>47</v>
      </c>
      <c r="D99" s="7" t="s">
        <v>321</v>
      </c>
      <c r="E99" s="7" t="s">
        <v>10</v>
      </c>
      <c r="F99" s="20">
        <v>4.7320000000000002</v>
      </c>
      <c r="G99" s="20">
        <v>273.30091880000003</v>
      </c>
      <c r="H99" s="20">
        <v>265.46520000000004</v>
      </c>
      <c r="I99" s="19">
        <v>0</v>
      </c>
      <c r="K99" s="14" t="s">
        <v>229</v>
      </c>
      <c r="L99" s="13">
        <v>3.3719830000000002</v>
      </c>
      <c r="M99" s="13">
        <v>267.90472374659998</v>
      </c>
      <c r="N99" s="13">
        <v>272.11902809999998</v>
      </c>
      <c r="O99" s="13">
        <v>0</v>
      </c>
    </row>
    <row r="100" spans="2:15">
      <c r="B100" s="7" t="s">
        <v>330</v>
      </c>
      <c r="C100" s="7" t="s">
        <v>47</v>
      </c>
      <c r="D100" s="7" t="s">
        <v>321</v>
      </c>
      <c r="E100" s="7" t="s">
        <v>4</v>
      </c>
      <c r="F100" s="20">
        <v>7.875</v>
      </c>
      <c r="G100" s="20">
        <v>0</v>
      </c>
      <c r="H100" s="20">
        <v>0</v>
      </c>
      <c r="I100" s="19">
        <v>0</v>
      </c>
      <c r="K100" s="14" t="s">
        <v>231</v>
      </c>
      <c r="L100" s="13">
        <v>1.9029609999999999</v>
      </c>
      <c r="M100" s="13">
        <v>150.31702070631997</v>
      </c>
      <c r="N100" s="13">
        <v>185.53869749999998</v>
      </c>
      <c r="O100" s="13">
        <v>0</v>
      </c>
    </row>
    <row r="101" spans="2:15">
      <c r="B101" s="7" t="s">
        <v>330</v>
      </c>
      <c r="C101" s="7" t="s">
        <v>47</v>
      </c>
      <c r="D101" s="7" t="s">
        <v>314</v>
      </c>
      <c r="E101" s="7" t="s">
        <v>294</v>
      </c>
      <c r="F101" s="20">
        <v>1.8652999999999999E-2</v>
      </c>
      <c r="G101" s="20">
        <v>1.2139913337000001</v>
      </c>
      <c r="H101" s="20">
        <v>1.1770043000000001</v>
      </c>
      <c r="I101" s="19">
        <v>0</v>
      </c>
      <c r="K101" s="14" t="s">
        <v>3</v>
      </c>
      <c r="L101" s="13">
        <v>4.1992229999999999</v>
      </c>
      <c r="M101" s="13">
        <v>305.91662895170998</v>
      </c>
      <c r="N101" s="13">
        <v>311.1624243</v>
      </c>
      <c r="O101" s="13">
        <v>0</v>
      </c>
    </row>
    <row r="102" spans="2:15">
      <c r="B102" s="7" t="s">
        <v>330</v>
      </c>
      <c r="C102" s="7" t="s">
        <v>47</v>
      </c>
      <c r="D102" s="7" t="s">
        <v>314</v>
      </c>
      <c r="E102" s="7" t="s">
        <v>3</v>
      </c>
      <c r="F102" s="20">
        <v>1.942977</v>
      </c>
      <c r="G102" s="20">
        <v>141.54737054229</v>
      </c>
      <c r="H102" s="20">
        <v>143.97459570000001</v>
      </c>
      <c r="I102" s="19">
        <v>0</v>
      </c>
      <c r="K102" s="14" t="s">
        <v>4</v>
      </c>
      <c r="L102" s="13">
        <v>17.125</v>
      </c>
      <c r="M102" s="13">
        <v>0</v>
      </c>
      <c r="N102" s="13">
        <v>0</v>
      </c>
      <c r="O102" s="13">
        <v>0</v>
      </c>
    </row>
    <row r="103" spans="2:15">
      <c r="B103" s="7" t="s">
        <v>330</v>
      </c>
      <c r="C103" s="7" t="s">
        <v>47</v>
      </c>
      <c r="D103" s="7" t="s">
        <v>314</v>
      </c>
      <c r="E103" s="7" t="s">
        <v>229</v>
      </c>
      <c r="F103" s="20">
        <v>0.50555899999999998</v>
      </c>
      <c r="G103" s="20">
        <v>40.166763661799997</v>
      </c>
      <c r="H103" s="20">
        <v>40.798611299999997</v>
      </c>
      <c r="I103" s="19">
        <v>0</v>
      </c>
      <c r="K103" s="14" t="s">
        <v>294</v>
      </c>
      <c r="L103" s="13">
        <v>0.83927700000000005</v>
      </c>
      <c r="M103" s="13">
        <v>54.622581063300011</v>
      </c>
      <c r="N103" s="13">
        <v>52.958378700000004</v>
      </c>
      <c r="O103" s="13">
        <v>0</v>
      </c>
    </row>
    <row r="104" spans="2:15">
      <c r="B104" s="7" t="s">
        <v>330</v>
      </c>
      <c r="C104" s="7" t="s">
        <v>47</v>
      </c>
      <c r="D104" s="7" t="s">
        <v>314</v>
      </c>
      <c r="E104" s="7" t="s">
        <v>10</v>
      </c>
      <c r="F104" s="20">
        <v>5.4610000000000003</v>
      </c>
      <c r="G104" s="20">
        <v>315.40496990000003</v>
      </c>
      <c r="H104" s="20">
        <v>306.36210000000005</v>
      </c>
      <c r="I104" s="19">
        <v>0</v>
      </c>
      <c r="K104" s="14" t="s">
        <v>10</v>
      </c>
      <c r="L104" s="13">
        <v>66.287999999999997</v>
      </c>
      <c r="M104" s="13">
        <v>3828.5230992000002</v>
      </c>
      <c r="N104" s="13">
        <v>3718.7567999999997</v>
      </c>
      <c r="O104" s="13">
        <v>0</v>
      </c>
    </row>
    <row r="105" spans="2:15">
      <c r="B105" s="7" t="s">
        <v>330</v>
      </c>
      <c r="C105" s="7" t="s">
        <v>47</v>
      </c>
      <c r="D105" s="7" t="s">
        <v>314</v>
      </c>
      <c r="E105" s="7" t="s">
        <v>4</v>
      </c>
      <c r="F105" s="20">
        <v>1.6479999999999999</v>
      </c>
      <c r="G105" s="20">
        <v>0</v>
      </c>
      <c r="H105" s="20">
        <v>0</v>
      </c>
      <c r="I105" s="19">
        <v>0</v>
      </c>
      <c r="K105" s="15" t="s">
        <v>333</v>
      </c>
      <c r="L105" s="13">
        <v>61.482298</v>
      </c>
      <c r="M105" s="13">
        <v>1637.2916285944102</v>
      </c>
      <c r="N105" s="13">
        <v>1611.6938875999999</v>
      </c>
      <c r="O105" s="13">
        <v>0</v>
      </c>
    </row>
    <row r="106" spans="2:15">
      <c r="B106" s="7" t="s">
        <v>330</v>
      </c>
      <c r="C106" s="7" t="s">
        <v>47</v>
      </c>
      <c r="D106" s="7" t="s">
        <v>308</v>
      </c>
      <c r="E106" s="7" t="s">
        <v>3</v>
      </c>
      <c r="F106" s="20">
        <v>0.162296</v>
      </c>
      <c r="G106" s="20">
        <v>11.82338856792</v>
      </c>
      <c r="H106" s="20">
        <v>12.0261336</v>
      </c>
      <c r="I106" s="19">
        <v>0</v>
      </c>
      <c r="K106" s="14" t="s">
        <v>229</v>
      </c>
      <c r="L106" s="13">
        <v>2.2258830000000001</v>
      </c>
      <c r="M106" s="13">
        <v>176.84684952660001</v>
      </c>
      <c r="N106" s="13">
        <v>179.6287581</v>
      </c>
      <c r="O106" s="13">
        <v>0</v>
      </c>
    </row>
    <row r="107" spans="2:15">
      <c r="B107" s="7" t="s">
        <v>330</v>
      </c>
      <c r="C107" s="7" t="s">
        <v>47</v>
      </c>
      <c r="D107" s="7" t="s">
        <v>308</v>
      </c>
      <c r="E107" s="7" t="s">
        <v>229</v>
      </c>
      <c r="F107" s="20">
        <v>0</v>
      </c>
      <c r="G107" s="20">
        <v>0</v>
      </c>
      <c r="H107" s="20">
        <v>0</v>
      </c>
      <c r="I107" s="19">
        <v>0</v>
      </c>
      <c r="K107" s="14" t="s">
        <v>232</v>
      </c>
      <c r="L107" s="13">
        <v>0</v>
      </c>
      <c r="M107" s="13">
        <v>0</v>
      </c>
      <c r="N107" s="13">
        <v>0</v>
      </c>
      <c r="O107" s="13">
        <v>0</v>
      </c>
    </row>
    <row r="108" spans="2:15">
      <c r="B108" s="7" t="s">
        <v>330</v>
      </c>
      <c r="C108" s="7" t="s">
        <v>47</v>
      </c>
      <c r="D108" s="7" t="s">
        <v>308</v>
      </c>
      <c r="E108" s="7" t="s">
        <v>10</v>
      </c>
      <c r="F108" s="20">
        <v>0.51700000000000002</v>
      </c>
      <c r="G108" s="20">
        <v>29.859800300000003</v>
      </c>
      <c r="H108" s="20">
        <v>29.003700000000002</v>
      </c>
      <c r="I108" s="19">
        <v>0</v>
      </c>
      <c r="K108" s="14" t="s">
        <v>231</v>
      </c>
      <c r="L108" s="13">
        <v>0</v>
      </c>
      <c r="M108" s="13">
        <v>0</v>
      </c>
      <c r="N108" s="13">
        <v>0</v>
      </c>
      <c r="O108" s="13">
        <v>0</v>
      </c>
    </row>
    <row r="109" spans="2:15">
      <c r="B109" s="7" t="s">
        <v>330</v>
      </c>
      <c r="C109" s="7" t="s">
        <v>47</v>
      </c>
      <c r="D109" s="7" t="s">
        <v>308</v>
      </c>
      <c r="E109" s="7" t="s">
        <v>4</v>
      </c>
      <c r="F109" s="20">
        <v>0.47499999999999998</v>
      </c>
      <c r="G109" s="20">
        <v>0</v>
      </c>
      <c r="H109" s="20">
        <v>0</v>
      </c>
      <c r="I109" s="19">
        <v>0</v>
      </c>
      <c r="K109" s="14" t="s">
        <v>3</v>
      </c>
      <c r="L109" s="13">
        <v>4.3686129999999999</v>
      </c>
      <c r="M109" s="13">
        <v>318.25682088201</v>
      </c>
      <c r="N109" s="13">
        <v>323.71422330000001</v>
      </c>
      <c r="O109" s="13">
        <v>0</v>
      </c>
    </row>
    <row r="110" spans="2:15">
      <c r="B110" s="7" t="s">
        <v>330</v>
      </c>
      <c r="C110" s="7" t="s">
        <v>47</v>
      </c>
      <c r="D110" s="7" t="s">
        <v>300</v>
      </c>
      <c r="E110" s="7" t="s">
        <v>294</v>
      </c>
      <c r="F110" s="20">
        <v>0</v>
      </c>
      <c r="G110" s="20">
        <v>0</v>
      </c>
      <c r="H110" s="20">
        <v>0</v>
      </c>
      <c r="I110" s="19">
        <v>0</v>
      </c>
      <c r="K110" s="14" t="s">
        <v>4</v>
      </c>
      <c r="L110" s="13">
        <v>36.293999999999997</v>
      </c>
      <c r="M110" s="13">
        <v>0</v>
      </c>
      <c r="N110" s="13">
        <v>0</v>
      </c>
      <c r="O110" s="13">
        <v>0</v>
      </c>
    </row>
    <row r="111" spans="2:15">
      <c r="B111" s="7" t="s">
        <v>330</v>
      </c>
      <c r="C111" s="7" t="s">
        <v>47</v>
      </c>
      <c r="D111" s="7" t="s">
        <v>300</v>
      </c>
      <c r="E111" s="7" t="s">
        <v>3</v>
      </c>
      <c r="F111" s="20">
        <v>0</v>
      </c>
      <c r="G111" s="20">
        <v>0</v>
      </c>
      <c r="H111" s="20">
        <v>0</v>
      </c>
      <c r="I111" s="19">
        <v>0</v>
      </c>
      <c r="K111" s="14" t="s">
        <v>294</v>
      </c>
      <c r="L111" s="13">
        <v>9.3198019999999993</v>
      </c>
      <c r="M111" s="13">
        <v>606.5597415858</v>
      </c>
      <c r="N111" s="13">
        <v>588.07950619999997</v>
      </c>
      <c r="O111" s="13">
        <v>0</v>
      </c>
    </row>
    <row r="112" spans="2:15">
      <c r="B112" s="7" t="s">
        <v>330</v>
      </c>
      <c r="C112" s="7" t="s">
        <v>47</v>
      </c>
      <c r="D112" s="7" t="s">
        <v>300</v>
      </c>
      <c r="E112" s="7" t="s">
        <v>229</v>
      </c>
      <c r="F112" s="20">
        <v>8.7880000000000007E-3</v>
      </c>
      <c r="G112" s="20">
        <v>0.6982083576</v>
      </c>
      <c r="H112" s="20">
        <v>0.70919160000000014</v>
      </c>
      <c r="I112" s="19">
        <v>0</v>
      </c>
      <c r="K112" s="14" t="s">
        <v>10</v>
      </c>
      <c r="L112" s="13">
        <v>9.2739999999999991</v>
      </c>
      <c r="M112" s="13">
        <v>535.62821659999997</v>
      </c>
      <c r="N112" s="13">
        <v>520.27139999999997</v>
      </c>
      <c r="O112" s="13">
        <v>0</v>
      </c>
    </row>
    <row r="113" spans="2:15">
      <c r="B113" s="7" t="s">
        <v>330</v>
      </c>
      <c r="C113" s="7" t="s">
        <v>47</v>
      </c>
      <c r="D113" s="7" t="s">
        <v>300</v>
      </c>
      <c r="E113" s="7" t="s">
        <v>10</v>
      </c>
      <c r="F113" s="20">
        <v>0.27300000000000002</v>
      </c>
      <c r="G113" s="20">
        <v>15.767360700000001</v>
      </c>
      <c r="H113" s="20">
        <v>15.315300000000001</v>
      </c>
      <c r="I113" s="19">
        <v>0</v>
      </c>
      <c r="K113" s="15" t="s">
        <v>332</v>
      </c>
      <c r="L113" s="13">
        <v>49.817019999999999</v>
      </c>
      <c r="M113" s="13">
        <v>2416.9602144027003</v>
      </c>
      <c r="N113" s="13">
        <v>2370.1287872000003</v>
      </c>
      <c r="O113" s="13">
        <v>0</v>
      </c>
    </row>
    <row r="114" spans="2:15">
      <c r="B114" s="7" t="s">
        <v>330</v>
      </c>
      <c r="C114" s="7" t="s">
        <v>47</v>
      </c>
      <c r="D114" s="7" t="s">
        <v>300</v>
      </c>
      <c r="E114" s="7" t="s">
        <v>4</v>
      </c>
      <c r="F114" s="20">
        <v>0.24199999999999999</v>
      </c>
      <c r="G114" s="20">
        <v>0</v>
      </c>
      <c r="H114" s="20">
        <v>0</v>
      </c>
      <c r="I114" s="19">
        <v>0</v>
      </c>
      <c r="K114" s="14" t="s">
        <v>271</v>
      </c>
      <c r="L114" s="13">
        <v>0</v>
      </c>
      <c r="M114" s="13">
        <v>0</v>
      </c>
      <c r="N114" s="13">
        <v>0</v>
      </c>
      <c r="O114" s="13">
        <v>0</v>
      </c>
    </row>
    <row r="115" spans="2:15">
      <c r="B115" s="7" t="s">
        <v>330</v>
      </c>
      <c r="C115" s="7" t="s">
        <v>47</v>
      </c>
      <c r="D115" s="7" t="s">
        <v>329</v>
      </c>
      <c r="E115" s="7" t="s">
        <v>234</v>
      </c>
      <c r="F115" s="20">
        <v>0.38100000000000001</v>
      </c>
      <c r="G115" s="20">
        <v>0</v>
      </c>
      <c r="H115" s="20">
        <v>0</v>
      </c>
      <c r="I115" s="19">
        <v>0</v>
      </c>
      <c r="K115" s="14" t="s">
        <v>229</v>
      </c>
      <c r="L115" s="13">
        <v>5.1573520000000004</v>
      </c>
      <c r="M115" s="13">
        <v>409.75264787039998</v>
      </c>
      <c r="N115" s="13">
        <v>416.19830640000004</v>
      </c>
      <c r="O115" s="13">
        <v>0</v>
      </c>
    </row>
    <row r="116" spans="2:15">
      <c r="B116" s="7" t="s">
        <v>330</v>
      </c>
      <c r="C116" s="7" t="s">
        <v>47</v>
      </c>
      <c r="D116" s="7" t="s">
        <v>329</v>
      </c>
      <c r="E116" s="7" t="s">
        <v>271</v>
      </c>
      <c r="F116" s="20">
        <v>4.2556149999999988</v>
      </c>
      <c r="G116" s="20">
        <v>433.64445407512386</v>
      </c>
      <c r="H116" s="20">
        <v>476.62887999999987</v>
      </c>
      <c r="I116" s="19">
        <v>0</v>
      </c>
      <c r="K116" s="14" t="s">
        <v>3</v>
      </c>
      <c r="L116" s="13">
        <v>1.29373</v>
      </c>
      <c r="M116" s="13">
        <v>94.249226672100008</v>
      </c>
      <c r="N116" s="13">
        <v>95.865392999999997</v>
      </c>
      <c r="O116" s="13">
        <v>0</v>
      </c>
    </row>
    <row r="117" spans="2:15">
      <c r="B117" s="7" t="s">
        <v>330</v>
      </c>
      <c r="C117" s="7" t="s">
        <v>47</v>
      </c>
      <c r="D117" s="7" t="s">
        <v>329</v>
      </c>
      <c r="E117" s="7" t="s">
        <v>287</v>
      </c>
      <c r="F117" s="20">
        <v>94.208432999999999</v>
      </c>
      <c r="G117" s="20">
        <v>12049.96043352585</v>
      </c>
      <c r="H117" s="20">
        <v>9515.0517329999984</v>
      </c>
      <c r="I117" s="19">
        <v>0</v>
      </c>
      <c r="K117" s="14" t="s">
        <v>4</v>
      </c>
      <c r="L117" s="13">
        <v>10.295999999999999</v>
      </c>
      <c r="M117" s="13">
        <v>0</v>
      </c>
      <c r="N117" s="13">
        <v>0</v>
      </c>
      <c r="O117" s="13">
        <v>0</v>
      </c>
    </row>
    <row r="118" spans="2:15">
      <c r="B118" s="7" t="s">
        <v>330</v>
      </c>
      <c r="C118" s="7" t="s">
        <v>47</v>
      </c>
      <c r="D118" s="7" t="s">
        <v>329</v>
      </c>
      <c r="E118" s="7" t="s">
        <v>231</v>
      </c>
      <c r="F118" s="20">
        <v>5.9778859999999998</v>
      </c>
      <c r="G118" s="20">
        <v>472.19991037232001</v>
      </c>
      <c r="H118" s="20">
        <v>582.843885</v>
      </c>
      <c r="I118" s="19">
        <v>0</v>
      </c>
      <c r="K118" s="14" t="s">
        <v>294</v>
      </c>
      <c r="L118" s="13">
        <v>0.40593800000000002</v>
      </c>
      <c r="M118" s="13">
        <v>26.419622260200001</v>
      </c>
      <c r="N118" s="13">
        <v>25.614687799999999</v>
      </c>
      <c r="O118" s="13">
        <v>0</v>
      </c>
    </row>
    <row r="119" spans="2:15">
      <c r="B119" s="7" t="s">
        <v>330</v>
      </c>
      <c r="C119" s="7" t="s">
        <v>47</v>
      </c>
      <c r="D119" s="7" t="s">
        <v>329</v>
      </c>
      <c r="E119" s="7" t="s">
        <v>294</v>
      </c>
      <c r="F119" s="20">
        <v>30.583707</v>
      </c>
      <c r="G119" s="20">
        <v>1990.4763443103</v>
      </c>
      <c r="H119" s="20">
        <v>1929.8319117000001</v>
      </c>
      <c r="I119" s="19">
        <v>0</v>
      </c>
      <c r="K119" s="14" t="s">
        <v>10</v>
      </c>
      <c r="L119" s="13">
        <v>32.664000000000001</v>
      </c>
      <c r="M119" s="13">
        <v>1886.5387176000002</v>
      </c>
      <c r="N119" s="13">
        <v>1832.4504000000002</v>
      </c>
      <c r="O119" s="13">
        <v>0</v>
      </c>
    </row>
    <row r="120" spans="2:15">
      <c r="B120" s="7" t="s">
        <v>330</v>
      </c>
      <c r="C120" s="7" t="s">
        <v>47</v>
      </c>
      <c r="D120" s="7" t="s">
        <v>329</v>
      </c>
      <c r="E120" s="7" t="s">
        <v>293</v>
      </c>
      <c r="F120" s="20">
        <v>0.85200500000000001</v>
      </c>
      <c r="G120" s="20">
        <v>61.064848683685007</v>
      </c>
      <c r="H120" s="20">
        <v>59.043946499999997</v>
      </c>
      <c r="I120" s="19">
        <v>0</v>
      </c>
      <c r="K120" s="15" t="s">
        <v>331</v>
      </c>
      <c r="L120" s="13">
        <v>55.365345000000005</v>
      </c>
      <c r="M120" s="13">
        <v>3010.3752026514503</v>
      </c>
      <c r="N120" s="13">
        <v>2932.8971576999998</v>
      </c>
      <c r="O120" s="13">
        <v>0</v>
      </c>
    </row>
    <row r="121" spans="2:15">
      <c r="B121" s="7" t="s">
        <v>330</v>
      </c>
      <c r="C121" s="7" t="s">
        <v>47</v>
      </c>
      <c r="D121" s="7" t="s">
        <v>329</v>
      </c>
      <c r="E121" s="7" t="s">
        <v>230</v>
      </c>
      <c r="F121" s="20">
        <v>0</v>
      </c>
      <c r="G121" s="20">
        <v>0</v>
      </c>
      <c r="H121" s="20">
        <v>0</v>
      </c>
      <c r="I121" s="19">
        <v>0</v>
      </c>
      <c r="K121" s="14" t="s">
        <v>229</v>
      </c>
      <c r="L121" s="13">
        <v>2.3273769999999998</v>
      </c>
      <c r="M121" s="13">
        <v>184.91056812539998</v>
      </c>
      <c r="N121" s="13">
        <v>187.8193239</v>
      </c>
      <c r="O121" s="13">
        <v>0</v>
      </c>
    </row>
    <row r="122" spans="2:15">
      <c r="B122" s="7" t="s">
        <v>330</v>
      </c>
      <c r="C122" s="7" t="s">
        <v>47</v>
      </c>
      <c r="D122" s="7" t="s">
        <v>329</v>
      </c>
      <c r="E122" s="7" t="s">
        <v>3</v>
      </c>
      <c r="F122" s="20">
        <v>35.364891</v>
      </c>
      <c r="G122" s="20">
        <v>2576.3595403160698</v>
      </c>
      <c r="H122" s="20">
        <v>2620.5384230999998</v>
      </c>
      <c r="I122" s="19">
        <v>0</v>
      </c>
      <c r="K122" s="14" t="s">
        <v>231</v>
      </c>
      <c r="L122" s="13">
        <v>6.2199999999999998E-3</v>
      </c>
      <c r="M122" s="13">
        <v>0.49132476639999995</v>
      </c>
      <c r="N122" s="13">
        <v>0.60644999999999993</v>
      </c>
      <c r="O122" s="13">
        <v>0</v>
      </c>
    </row>
    <row r="123" spans="2:15">
      <c r="B123" s="7" t="s">
        <v>330</v>
      </c>
      <c r="C123" s="7" t="s">
        <v>47</v>
      </c>
      <c r="D123" s="7" t="s">
        <v>329</v>
      </c>
      <c r="E123" s="7" t="s">
        <v>229</v>
      </c>
      <c r="F123" s="20">
        <v>1.0112719999999999</v>
      </c>
      <c r="G123" s="20">
        <v>80.345762654399991</v>
      </c>
      <c r="H123" s="20">
        <v>81.609650399999992</v>
      </c>
      <c r="I123" s="19">
        <v>0</v>
      </c>
      <c r="K123" s="14" t="s">
        <v>3</v>
      </c>
      <c r="L123" s="13">
        <v>0.152535</v>
      </c>
      <c r="M123" s="13">
        <v>11.11229220195</v>
      </c>
      <c r="N123" s="13">
        <v>11.302843500000002</v>
      </c>
      <c r="O123" s="13">
        <v>0</v>
      </c>
    </row>
    <row r="124" spans="2:15">
      <c r="B124" s="7" t="s">
        <v>330</v>
      </c>
      <c r="C124" s="7" t="s">
        <v>47</v>
      </c>
      <c r="D124" s="7" t="s">
        <v>329</v>
      </c>
      <c r="E124" s="7" t="s">
        <v>10</v>
      </c>
      <c r="F124" s="20">
        <v>178.715</v>
      </c>
      <c r="G124" s="20">
        <v>10321.8456685</v>
      </c>
      <c r="H124" s="20">
        <v>10025.9115</v>
      </c>
      <c r="I124" s="19">
        <v>0</v>
      </c>
      <c r="K124" s="14" t="s">
        <v>4</v>
      </c>
      <c r="L124" s="13">
        <v>4.1779999999999999</v>
      </c>
      <c r="M124" s="13">
        <v>0</v>
      </c>
      <c r="N124" s="13">
        <v>0</v>
      </c>
      <c r="O124" s="13">
        <v>0</v>
      </c>
    </row>
    <row r="125" spans="2:15">
      <c r="B125" s="7" t="s">
        <v>330</v>
      </c>
      <c r="C125" s="7" t="s">
        <v>47</v>
      </c>
      <c r="D125" s="7" t="s">
        <v>329</v>
      </c>
      <c r="E125" s="7" t="s">
        <v>4</v>
      </c>
      <c r="F125" s="20">
        <v>376.97500000000002</v>
      </c>
      <c r="G125" s="20">
        <v>0</v>
      </c>
      <c r="H125" s="20">
        <v>0</v>
      </c>
      <c r="I125" s="19">
        <v>0</v>
      </c>
      <c r="K125" s="14" t="s">
        <v>294</v>
      </c>
      <c r="L125" s="13">
        <v>0.14721300000000001</v>
      </c>
      <c r="M125" s="13">
        <v>9.5810489577000002</v>
      </c>
      <c r="N125" s="13">
        <v>9.2891403000000015</v>
      </c>
      <c r="O125" s="13">
        <v>0</v>
      </c>
    </row>
    <row r="126" spans="2:15">
      <c r="B126" s="7" t="s">
        <v>290</v>
      </c>
      <c r="C126" s="7" t="s">
        <v>289</v>
      </c>
      <c r="D126" s="7" t="s">
        <v>288</v>
      </c>
      <c r="E126" s="7" t="s">
        <v>287</v>
      </c>
      <c r="F126" s="20">
        <v>0</v>
      </c>
      <c r="G126" s="20">
        <v>0</v>
      </c>
      <c r="H126" s="20">
        <v>0</v>
      </c>
      <c r="I126" s="19">
        <v>0</v>
      </c>
      <c r="K126" s="14" t="s">
        <v>10</v>
      </c>
      <c r="L126" s="13">
        <v>48.554000000000002</v>
      </c>
      <c r="M126" s="13">
        <v>2804.2799686000003</v>
      </c>
      <c r="N126" s="13">
        <v>2723.8793999999998</v>
      </c>
      <c r="O126" s="13">
        <v>0</v>
      </c>
    </row>
    <row r="127" spans="2:15">
      <c r="B127" s="7" t="s">
        <v>290</v>
      </c>
      <c r="C127" s="7" t="s">
        <v>289</v>
      </c>
      <c r="D127" s="7" t="s">
        <v>288</v>
      </c>
      <c r="E127" s="7" t="s">
        <v>327</v>
      </c>
      <c r="F127" s="20">
        <v>3.526732</v>
      </c>
      <c r="G127" s="20">
        <v>386.52280900331999</v>
      </c>
      <c r="H127" s="20">
        <v>333.6288472</v>
      </c>
      <c r="I127" s="19">
        <v>0</v>
      </c>
      <c r="K127" s="15" t="s">
        <v>328</v>
      </c>
      <c r="L127" s="13">
        <v>21.972104000000002</v>
      </c>
      <c r="M127" s="13">
        <v>1109.58131419338</v>
      </c>
      <c r="N127" s="13">
        <v>1085.4816172000001</v>
      </c>
      <c r="O127" s="13">
        <v>0</v>
      </c>
    </row>
    <row r="128" spans="2:15">
      <c r="B128" s="7" t="s">
        <v>290</v>
      </c>
      <c r="C128" s="7" t="s">
        <v>289</v>
      </c>
      <c r="D128" s="7" t="s">
        <v>285</v>
      </c>
      <c r="E128" s="7" t="s">
        <v>282</v>
      </c>
      <c r="F128" s="20">
        <v>132.85906083999998</v>
      </c>
      <c r="G128" s="20">
        <v>7728.5417709424228</v>
      </c>
      <c r="H128" s="20">
        <v>7652.6819043839996</v>
      </c>
      <c r="I128" s="19">
        <v>0</v>
      </c>
      <c r="K128" s="14" t="s">
        <v>229</v>
      </c>
      <c r="L128" s="13">
        <v>2.080508</v>
      </c>
      <c r="M128" s="13">
        <v>165.29677670160001</v>
      </c>
      <c r="N128" s="13">
        <v>167.8969956</v>
      </c>
      <c r="O128" s="13">
        <v>0</v>
      </c>
    </row>
    <row r="129" spans="2:15">
      <c r="B129" s="7" t="s">
        <v>290</v>
      </c>
      <c r="C129" s="7" t="s">
        <v>289</v>
      </c>
      <c r="D129" s="7" t="s">
        <v>285</v>
      </c>
      <c r="E129" s="7" t="s">
        <v>10</v>
      </c>
      <c r="F129" s="20">
        <v>250.59017733356711</v>
      </c>
      <c r="G129" s="20">
        <v>14473.061223059769</v>
      </c>
      <c r="H129" s="20">
        <v>14058.108948413115</v>
      </c>
      <c r="I129" s="19">
        <v>0</v>
      </c>
      <c r="K129" s="14" t="s">
        <v>3</v>
      </c>
      <c r="L129" s="13">
        <v>0.140374</v>
      </c>
      <c r="M129" s="13">
        <v>10.226353987980001</v>
      </c>
      <c r="N129" s="13">
        <v>10.4017134</v>
      </c>
      <c r="O129" s="13">
        <v>0</v>
      </c>
    </row>
    <row r="130" spans="2:15">
      <c r="B130" s="7" t="s">
        <v>290</v>
      </c>
      <c r="C130" s="7" t="s">
        <v>289</v>
      </c>
      <c r="D130" s="7" t="s">
        <v>371</v>
      </c>
      <c r="E130" s="7" t="s">
        <v>10</v>
      </c>
      <c r="F130" s="20">
        <v>112.85074853466141</v>
      </c>
      <c r="G130" s="20">
        <v>6517.7965472930509</v>
      </c>
      <c r="H130" s="20">
        <v>6330.9269927945052</v>
      </c>
      <c r="I130" s="19">
        <v>0</v>
      </c>
      <c r="K130" s="14" t="s">
        <v>4</v>
      </c>
      <c r="L130" s="13">
        <v>3.6819999999999999</v>
      </c>
      <c r="M130" s="13">
        <v>0</v>
      </c>
      <c r="N130" s="13">
        <v>0</v>
      </c>
      <c r="O130" s="13">
        <v>0</v>
      </c>
    </row>
    <row r="131" spans="2:15">
      <c r="B131" s="7" t="s">
        <v>290</v>
      </c>
      <c r="C131" s="7" t="s">
        <v>289</v>
      </c>
      <c r="D131" s="7" t="s">
        <v>284</v>
      </c>
      <c r="E131" s="7" t="s">
        <v>10</v>
      </c>
      <c r="F131" s="20">
        <v>96.149994922306163</v>
      </c>
      <c r="G131" s="20">
        <v>5553.2294917332219</v>
      </c>
      <c r="H131" s="20">
        <v>5394.0147151413757</v>
      </c>
      <c r="I131" s="19">
        <v>0</v>
      </c>
      <c r="K131" s="14" t="s">
        <v>294</v>
      </c>
      <c r="L131" s="13">
        <v>0.814222</v>
      </c>
      <c r="M131" s="13">
        <v>52.991929003800003</v>
      </c>
      <c r="N131" s="13">
        <v>51.377408199999998</v>
      </c>
      <c r="O131" s="13">
        <v>0</v>
      </c>
    </row>
    <row r="132" spans="2:15">
      <c r="B132" s="7" t="s">
        <v>290</v>
      </c>
      <c r="C132" s="7" t="s">
        <v>289</v>
      </c>
      <c r="D132" s="7" t="s">
        <v>283</v>
      </c>
      <c r="E132" s="7" t="s">
        <v>282</v>
      </c>
      <c r="F132" s="20">
        <v>169.09335016</v>
      </c>
      <c r="G132" s="20">
        <v>9836.3258902903581</v>
      </c>
      <c r="H132" s="20">
        <v>9739.776969216</v>
      </c>
      <c r="I132" s="19">
        <v>0</v>
      </c>
      <c r="K132" s="14" t="s">
        <v>10</v>
      </c>
      <c r="L132" s="13">
        <v>15.255000000000001</v>
      </c>
      <c r="M132" s="13">
        <v>881.06625450000001</v>
      </c>
      <c r="N132" s="13">
        <v>855.80550000000005</v>
      </c>
      <c r="O132" s="13">
        <v>0</v>
      </c>
    </row>
    <row r="133" spans="2:15">
      <c r="B133" s="7" t="s">
        <v>290</v>
      </c>
      <c r="C133" s="7" t="s">
        <v>289</v>
      </c>
      <c r="D133" s="7" t="s">
        <v>283</v>
      </c>
      <c r="E133" s="7" t="s">
        <v>10</v>
      </c>
      <c r="F133" s="20">
        <v>96.888034597104721</v>
      </c>
      <c r="G133" s="20">
        <v>5595.8556373869205</v>
      </c>
      <c r="H133" s="20">
        <v>5435.418740897574</v>
      </c>
      <c r="I133" s="19">
        <v>0</v>
      </c>
      <c r="K133" s="15" t="s">
        <v>326</v>
      </c>
      <c r="L133" s="13">
        <v>9.5307520000000014</v>
      </c>
      <c r="M133" s="13">
        <v>451.13921834122999</v>
      </c>
      <c r="N133" s="13">
        <v>452.27901980000001</v>
      </c>
      <c r="O133" s="13">
        <v>0</v>
      </c>
    </row>
    <row r="134" spans="2:15">
      <c r="B134" s="7" t="s">
        <v>304</v>
      </c>
      <c r="C134" s="7" t="s">
        <v>303</v>
      </c>
      <c r="D134" s="7" t="s">
        <v>325</v>
      </c>
      <c r="E134" s="7" t="s">
        <v>287</v>
      </c>
      <c r="F134" s="20">
        <v>298.21721077909376</v>
      </c>
      <c r="G134" s="20">
        <v>38144.202976866392</v>
      </c>
      <c r="H134" s="20">
        <v>30119.93828868847</v>
      </c>
      <c r="I134" s="19">
        <v>25018.789872247271</v>
      </c>
      <c r="K134" s="14" t="s">
        <v>229</v>
      </c>
      <c r="L134" s="13">
        <v>0.67199600000000004</v>
      </c>
      <c r="M134" s="13">
        <v>53.390216599200002</v>
      </c>
      <c r="N134" s="13">
        <v>54.230077199999997</v>
      </c>
      <c r="O134" s="13">
        <v>0</v>
      </c>
    </row>
    <row r="135" spans="2:15">
      <c r="B135" s="7" t="s">
        <v>304</v>
      </c>
      <c r="C135" s="7" t="s">
        <v>303</v>
      </c>
      <c r="D135" s="7" t="s">
        <v>324</v>
      </c>
      <c r="E135" s="7" t="s">
        <v>10</v>
      </c>
      <c r="F135" s="20">
        <v>1051.4445238765484</v>
      </c>
      <c r="G135" s="20">
        <v>60727.124776561541</v>
      </c>
      <c r="H135" s="20">
        <v>58986.037789474358</v>
      </c>
      <c r="I135" s="19">
        <v>50268.849253219865</v>
      </c>
      <c r="K135" s="14" t="s">
        <v>3</v>
      </c>
      <c r="L135" s="13">
        <v>3.5512489999999999</v>
      </c>
      <c r="M135" s="13">
        <v>258.71122411173002</v>
      </c>
      <c r="N135" s="13">
        <v>263.1475509</v>
      </c>
      <c r="O135" s="13">
        <v>0</v>
      </c>
    </row>
    <row r="136" spans="2:15">
      <c r="B136" s="7" t="s">
        <v>304</v>
      </c>
      <c r="C136" s="7" t="s">
        <v>303</v>
      </c>
      <c r="D136" s="7" t="s">
        <v>323</v>
      </c>
      <c r="E136" s="7" t="s">
        <v>10</v>
      </c>
      <c r="F136" s="20">
        <v>16.284303395455634</v>
      </c>
      <c r="G136" s="20">
        <v>940.51459847759611</v>
      </c>
      <c r="H136" s="20">
        <v>913.54942048506098</v>
      </c>
      <c r="I136" s="19">
        <v>778.54149599999994</v>
      </c>
      <c r="K136" s="14" t="s">
        <v>4</v>
      </c>
      <c r="L136" s="13">
        <v>3.0630000000000002</v>
      </c>
      <c r="M136" s="13">
        <v>0</v>
      </c>
      <c r="N136" s="13">
        <v>0</v>
      </c>
      <c r="O136" s="13">
        <v>0</v>
      </c>
    </row>
    <row r="137" spans="2:15">
      <c r="B137" s="7" t="s">
        <v>304</v>
      </c>
      <c r="C137" s="7" t="s">
        <v>303</v>
      </c>
      <c r="D137" s="7" t="s">
        <v>322</v>
      </c>
      <c r="E137" s="7" t="s">
        <v>229</v>
      </c>
      <c r="F137" s="20">
        <v>408.48248020040592</v>
      </c>
      <c r="G137" s="20">
        <v>32454.014748418289</v>
      </c>
      <c r="H137" s="20">
        <v>32964.536152172761</v>
      </c>
      <c r="I137" s="19">
        <v>1688.8980994351048</v>
      </c>
      <c r="K137" s="14" t="s">
        <v>294</v>
      </c>
      <c r="L137" s="13">
        <v>1.283507</v>
      </c>
      <c r="M137" s="13">
        <v>83.534357730300002</v>
      </c>
      <c r="N137" s="13">
        <v>80.989291699999995</v>
      </c>
      <c r="O137" s="13">
        <v>0</v>
      </c>
    </row>
    <row r="138" spans="2:15">
      <c r="B138" s="7" t="s">
        <v>304</v>
      </c>
      <c r="C138" s="7" t="s">
        <v>303</v>
      </c>
      <c r="D138" s="7" t="s">
        <v>320</v>
      </c>
      <c r="E138" s="7" t="s">
        <v>301</v>
      </c>
      <c r="F138" s="20">
        <v>0</v>
      </c>
      <c r="G138" s="20">
        <v>0</v>
      </c>
      <c r="H138" s="20">
        <v>0</v>
      </c>
      <c r="I138" s="19">
        <v>0</v>
      </c>
      <c r="K138" s="14" t="s">
        <v>10</v>
      </c>
      <c r="L138" s="13">
        <v>0.96099999999999997</v>
      </c>
      <c r="M138" s="13">
        <v>55.503419899999997</v>
      </c>
      <c r="N138" s="13">
        <v>53.912099999999995</v>
      </c>
      <c r="O138" s="13">
        <v>0</v>
      </c>
    </row>
    <row r="139" spans="2:15">
      <c r="B139" s="7" t="s">
        <v>304</v>
      </c>
      <c r="C139" s="7" t="s">
        <v>303</v>
      </c>
      <c r="D139" s="7" t="s">
        <v>319</v>
      </c>
      <c r="E139" s="7" t="s">
        <v>229</v>
      </c>
      <c r="F139" s="20">
        <v>0.12404279959408351</v>
      </c>
      <c r="G139" s="20">
        <v>9.8552252363098543</v>
      </c>
      <c r="H139" s="20">
        <v>10.010253927242541</v>
      </c>
      <c r="I139" s="19">
        <v>0.51286324049999998</v>
      </c>
      <c r="K139" s="15" t="s">
        <v>321</v>
      </c>
      <c r="L139" s="13">
        <v>13.978977</v>
      </c>
      <c r="M139" s="13">
        <v>368.98266876902005</v>
      </c>
      <c r="N139" s="13">
        <v>361.08506470000003</v>
      </c>
      <c r="O139" s="13">
        <v>0</v>
      </c>
    </row>
    <row r="140" spans="2:15">
      <c r="B140" s="7" t="s">
        <v>304</v>
      </c>
      <c r="C140" s="7" t="s">
        <v>303</v>
      </c>
      <c r="D140" s="7" t="s">
        <v>318</v>
      </c>
      <c r="E140" s="7" t="s">
        <v>233</v>
      </c>
      <c r="F140" s="20">
        <v>6.5296000000000003</v>
      </c>
      <c r="G140" s="20">
        <v>0</v>
      </c>
      <c r="H140" s="20">
        <v>0</v>
      </c>
      <c r="I140" s="19">
        <v>0</v>
      </c>
      <c r="K140" s="14" t="s">
        <v>229</v>
      </c>
      <c r="L140" s="13">
        <v>0</v>
      </c>
      <c r="M140" s="13">
        <v>0</v>
      </c>
      <c r="N140" s="13">
        <v>0</v>
      </c>
      <c r="O140" s="13">
        <v>0</v>
      </c>
    </row>
    <row r="141" spans="2:15">
      <c r="B141" s="7" t="s">
        <v>304</v>
      </c>
      <c r="C141" s="7" t="s">
        <v>303</v>
      </c>
      <c r="D141" s="7" t="s">
        <v>317</v>
      </c>
      <c r="E141" s="7" t="s">
        <v>301</v>
      </c>
      <c r="F141" s="20">
        <v>0</v>
      </c>
      <c r="G141" s="20">
        <v>0</v>
      </c>
      <c r="H141" s="20">
        <v>0</v>
      </c>
      <c r="I141" s="19">
        <v>0</v>
      </c>
      <c r="K141" s="14" t="s">
        <v>3</v>
      </c>
      <c r="L141" s="13">
        <v>0.82255599999999995</v>
      </c>
      <c r="M141" s="13">
        <v>59.923837968120004</v>
      </c>
      <c r="N141" s="13">
        <v>60.951399599999995</v>
      </c>
      <c r="O141" s="13">
        <v>0</v>
      </c>
    </row>
    <row r="142" spans="2:15">
      <c r="B142" s="7" t="s">
        <v>304</v>
      </c>
      <c r="C142" s="7" t="s">
        <v>303</v>
      </c>
      <c r="D142" s="7" t="s">
        <v>316</v>
      </c>
      <c r="E142" s="7" t="s">
        <v>301</v>
      </c>
      <c r="F142" s="20">
        <v>0</v>
      </c>
      <c r="G142" s="20">
        <v>0</v>
      </c>
      <c r="H142" s="20">
        <v>0</v>
      </c>
      <c r="I142" s="19">
        <v>0</v>
      </c>
      <c r="K142" s="14" t="s">
        <v>4</v>
      </c>
      <c r="L142" s="13">
        <v>7.875</v>
      </c>
      <c r="M142" s="13">
        <v>0</v>
      </c>
      <c r="N142" s="13">
        <v>0</v>
      </c>
      <c r="O142" s="13">
        <v>0</v>
      </c>
    </row>
    <row r="143" spans="2:15">
      <c r="B143" s="7" t="s">
        <v>304</v>
      </c>
      <c r="C143" s="7" t="s">
        <v>303</v>
      </c>
      <c r="D143" s="7" t="s">
        <v>315</v>
      </c>
      <c r="E143" s="7" t="s">
        <v>235</v>
      </c>
      <c r="F143" s="20">
        <v>131.31599900000001</v>
      </c>
      <c r="G143" s="20">
        <v>0</v>
      </c>
      <c r="H143" s="20">
        <v>0</v>
      </c>
      <c r="I143" s="19">
        <v>0</v>
      </c>
      <c r="K143" s="14" t="s">
        <v>294</v>
      </c>
      <c r="L143" s="13">
        <v>0.54942100000000005</v>
      </c>
      <c r="M143" s="13">
        <v>35.757912000900006</v>
      </c>
      <c r="N143" s="13">
        <v>34.668465099999999</v>
      </c>
      <c r="O143" s="13">
        <v>0</v>
      </c>
    </row>
    <row r="144" spans="2:15">
      <c r="B144" s="7" t="s">
        <v>304</v>
      </c>
      <c r="C144" s="7" t="s">
        <v>303</v>
      </c>
      <c r="D144" s="7" t="s">
        <v>313</v>
      </c>
      <c r="E144" s="7" t="s">
        <v>236</v>
      </c>
      <c r="F144" s="20">
        <v>98.798878999999999</v>
      </c>
      <c r="G144" s="20">
        <v>0</v>
      </c>
      <c r="H144" s="20">
        <v>0</v>
      </c>
      <c r="I144" s="19">
        <v>0</v>
      </c>
      <c r="K144" s="14" t="s">
        <v>10</v>
      </c>
      <c r="L144" s="13">
        <v>4.7320000000000002</v>
      </c>
      <c r="M144" s="13">
        <v>273.30091880000003</v>
      </c>
      <c r="N144" s="13">
        <v>265.46520000000004</v>
      </c>
      <c r="O144" s="13">
        <v>0</v>
      </c>
    </row>
    <row r="145" spans="2:15">
      <c r="B145" s="7" t="s">
        <v>304</v>
      </c>
      <c r="C145" s="7" t="s">
        <v>303</v>
      </c>
      <c r="D145" s="7" t="s">
        <v>312</v>
      </c>
      <c r="E145" s="7" t="s">
        <v>287</v>
      </c>
      <c r="F145" s="20">
        <v>40.19138022090619</v>
      </c>
      <c r="G145" s="20">
        <v>5140.7769560365468</v>
      </c>
      <c r="H145" s="20">
        <v>4059.3294023115254</v>
      </c>
      <c r="I145" s="19">
        <v>3432.6637270000001</v>
      </c>
      <c r="K145" s="15" t="s">
        <v>314</v>
      </c>
      <c r="L145" s="13">
        <v>9.5761889999999994</v>
      </c>
      <c r="M145" s="13">
        <v>498.33309543779001</v>
      </c>
      <c r="N145" s="13">
        <v>492.31231130000003</v>
      </c>
      <c r="O145" s="13">
        <v>0</v>
      </c>
    </row>
    <row r="146" spans="2:15">
      <c r="B146" s="7" t="s">
        <v>304</v>
      </c>
      <c r="C146" s="7" t="s">
        <v>303</v>
      </c>
      <c r="D146" s="7" t="s">
        <v>311</v>
      </c>
      <c r="E146" s="7" t="s">
        <v>237</v>
      </c>
      <c r="F146" s="20">
        <v>122.597565</v>
      </c>
      <c r="G146" s="20">
        <v>0</v>
      </c>
      <c r="H146" s="20">
        <v>0</v>
      </c>
      <c r="I146" s="19">
        <v>0</v>
      </c>
      <c r="K146" s="14" t="s">
        <v>229</v>
      </c>
      <c r="L146" s="13">
        <v>0.50555899999999998</v>
      </c>
      <c r="M146" s="13">
        <v>40.166763661799997</v>
      </c>
      <c r="N146" s="13">
        <v>40.798611299999997</v>
      </c>
      <c r="O146" s="13">
        <v>0</v>
      </c>
    </row>
    <row r="147" spans="2:15">
      <c r="B147" s="7" t="s">
        <v>304</v>
      </c>
      <c r="C147" s="7" t="s">
        <v>303</v>
      </c>
      <c r="D147" s="7" t="s">
        <v>11</v>
      </c>
      <c r="E147" s="7" t="s">
        <v>234</v>
      </c>
      <c r="F147" s="20">
        <v>4.7E-2</v>
      </c>
      <c r="G147" s="20">
        <v>0</v>
      </c>
      <c r="H147" s="20">
        <v>0</v>
      </c>
      <c r="I147" s="19">
        <v>0</v>
      </c>
      <c r="K147" s="14" t="s">
        <v>3</v>
      </c>
      <c r="L147" s="13">
        <v>1.942977</v>
      </c>
      <c r="M147" s="13">
        <v>141.54737054229</v>
      </c>
      <c r="N147" s="13">
        <v>143.97459570000001</v>
      </c>
      <c r="O147" s="13">
        <v>0</v>
      </c>
    </row>
    <row r="148" spans="2:15">
      <c r="B148" s="7" t="s">
        <v>304</v>
      </c>
      <c r="C148" s="7" t="s">
        <v>303</v>
      </c>
      <c r="D148" s="7" t="s">
        <v>310</v>
      </c>
      <c r="E148" s="7" t="s">
        <v>3</v>
      </c>
      <c r="F148" s="20">
        <v>24.049492999999998</v>
      </c>
      <c r="G148" s="20">
        <v>1752.02408315961</v>
      </c>
      <c r="H148" s="20">
        <v>1782.0674312999997</v>
      </c>
      <c r="I148" s="19">
        <v>36085.958794464073</v>
      </c>
      <c r="K148" s="14" t="s">
        <v>4</v>
      </c>
      <c r="L148" s="13">
        <v>1.6479999999999999</v>
      </c>
      <c r="M148" s="13">
        <v>0</v>
      </c>
      <c r="N148" s="13">
        <v>0</v>
      </c>
      <c r="O148" s="13">
        <v>0</v>
      </c>
    </row>
    <row r="149" spans="2:15">
      <c r="B149" s="7" t="s">
        <v>304</v>
      </c>
      <c r="C149" s="7" t="s">
        <v>303</v>
      </c>
      <c r="D149" s="7" t="s">
        <v>309</v>
      </c>
      <c r="E149" s="7" t="s">
        <v>301</v>
      </c>
      <c r="F149" s="20">
        <v>0</v>
      </c>
      <c r="G149" s="20">
        <v>0</v>
      </c>
      <c r="H149" s="20">
        <v>0</v>
      </c>
      <c r="I149" s="19">
        <v>0</v>
      </c>
      <c r="K149" s="14" t="s">
        <v>294</v>
      </c>
      <c r="L149" s="13">
        <v>1.8652999999999999E-2</v>
      </c>
      <c r="M149" s="13">
        <v>1.2139913337000001</v>
      </c>
      <c r="N149" s="13">
        <v>1.1770043000000001</v>
      </c>
      <c r="O149" s="13">
        <v>0</v>
      </c>
    </row>
    <row r="150" spans="2:15">
      <c r="B150" s="7" t="s">
        <v>304</v>
      </c>
      <c r="C150" s="7" t="s">
        <v>303</v>
      </c>
      <c r="D150" s="7" t="s">
        <v>307</v>
      </c>
      <c r="E150" s="7" t="s">
        <v>10</v>
      </c>
      <c r="F150" s="20">
        <v>69.814172727996038</v>
      </c>
      <c r="G150" s="20">
        <v>4032.1803786608666</v>
      </c>
      <c r="H150" s="20">
        <v>3916.5750900405774</v>
      </c>
      <c r="I150" s="19">
        <v>4710.0784222051198</v>
      </c>
      <c r="K150" s="14" t="s">
        <v>10</v>
      </c>
      <c r="L150" s="13">
        <v>5.4610000000000003</v>
      </c>
      <c r="M150" s="13">
        <v>315.40496990000003</v>
      </c>
      <c r="N150" s="13">
        <v>306.36210000000005</v>
      </c>
      <c r="O150" s="13">
        <v>0</v>
      </c>
    </row>
    <row r="151" spans="2:15">
      <c r="B151" s="7" t="s">
        <v>304</v>
      </c>
      <c r="C151" s="7" t="s">
        <v>303</v>
      </c>
      <c r="D151" s="7" t="s">
        <v>306</v>
      </c>
      <c r="E151" s="7" t="s">
        <v>301</v>
      </c>
      <c r="F151" s="20">
        <v>0</v>
      </c>
      <c r="G151" s="20">
        <v>0</v>
      </c>
      <c r="H151" s="20">
        <v>0</v>
      </c>
      <c r="I151" s="19">
        <v>0</v>
      </c>
      <c r="K151" s="15" t="s">
        <v>308</v>
      </c>
      <c r="L151" s="13">
        <v>1.154296</v>
      </c>
      <c r="M151" s="13">
        <v>41.683188867920002</v>
      </c>
      <c r="N151" s="13">
        <v>41.029833600000003</v>
      </c>
      <c r="O151" s="13">
        <v>0</v>
      </c>
    </row>
    <row r="152" spans="2:15">
      <c r="B152" s="7" t="s">
        <v>304</v>
      </c>
      <c r="C152" s="7" t="s">
        <v>303</v>
      </c>
      <c r="D152" s="7" t="s">
        <v>305</v>
      </c>
      <c r="E152" s="7" t="s">
        <v>10</v>
      </c>
      <c r="F152" s="20">
        <v>0</v>
      </c>
      <c r="G152" s="20">
        <v>0</v>
      </c>
      <c r="H152" s="20">
        <v>0</v>
      </c>
      <c r="I152" s="19">
        <v>0</v>
      </c>
      <c r="K152" s="14" t="s">
        <v>229</v>
      </c>
      <c r="L152" s="13">
        <v>0</v>
      </c>
      <c r="M152" s="13">
        <v>0</v>
      </c>
      <c r="N152" s="13">
        <v>0</v>
      </c>
      <c r="O152" s="13">
        <v>0</v>
      </c>
    </row>
    <row r="153" spans="2:15">
      <c r="B153" s="18" t="s">
        <v>304</v>
      </c>
      <c r="C153" s="18" t="s">
        <v>303</v>
      </c>
      <c r="D153" s="18" t="s">
        <v>302</v>
      </c>
      <c r="E153" s="18" t="s">
        <v>301</v>
      </c>
      <c r="F153" s="17">
        <v>0</v>
      </c>
      <c r="G153" s="17">
        <v>0</v>
      </c>
      <c r="H153" s="17">
        <v>0</v>
      </c>
      <c r="I153" s="17">
        <v>0</v>
      </c>
      <c r="K153" s="14" t="s">
        <v>3</v>
      </c>
      <c r="L153" s="13">
        <v>0.162296</v>
      </c>
      <c r="M153" s="13">
        <v>11.82338856792</v>
      </c>
      <c r="N153" s="13">
        <v>12.0261336</v>
      </c>
      <c r="O153" s="13">
        <v>0</v>
      </c>
    </row>
    <row r="154" spans="2:15">
      <c r="K154" s="14" t="s">
        <v>4</v>
      </c>
      <c r="L154" s="13">
        <v>0.47499999999999998</v>
      </c>
      <c r="M154" s="13">
        <v>0</v>
      </c>
      <c r="N154" s="13">
        <v>0</v>
      </c>
      <c r="O154" s="13">
        <v>0</v>
      </c>
    </row>
    <row r="155" spans="2:15">
      <c r="E155" s="13"/>
      <c r="F155" s="13"/>
      <c r="G155" s="13"/>
      <c r="K155" s="14" t="s">
        <v>10</v>
      </c>
      <c r="L155" s="13">
        <v>0.51700000000000002</v>
      </c>
      <c r="M155" s="13">
        <v>29.859800300000003</v>
      </c>
      <c r="N155" s="13">
        <v>29.003700000000002</v>
      </c>
      <c r="O155" s="13">
        <v>0</v>
      </c>
    </row>
    <row r="156" spans="2:15">
      <c r="E156" s="13"/>
      <c r="F156" s="13"/>
      <c r="G156" s="13"/>
      <c r="K156" s="15" t="s">
        <v>300</v>
      </c>
      <c r="L156" s="13">
        <v>0.52378800000000003</v>
      </c>
      <c r="M156" s="13">
        <v>16.4655690576</v>
      </c>
      <c r="N156" s="13">
        <v>16.024491600000001</v>
      </c>
      <c r="O156" s="13">
        <v>0</v>
      </c>
    </row>
    <row r="157" spans="2:15">
      <c r="E157" s="13"/>
      <c r="F157" s="13"/>
      <c r="G157" s="13"/>
      <c r="K157" s="14" t="s">
        <v>229</v>
      </c>
      <c r="L157" s="13">
        <v>8.7880000000000007E-3</v>
      </c>
      <c r="M157" s="13">
        <v>0.6982083576</v>
      </c>
      <c r="N157" s="13">
        <v>0.70919160000000014</v>
      </c>
      <c r="O157" s="13">
        <v>0</v>
      </c>
    </row>
    <row r="158" spans="2:15">
      <c r="K158" s="14" t="s">
        <v>3</v>
      </c>
      <c r="L158" s="13">
        <v>0</v>
      </c>
      <c r="M158" s="13">
        <v>0</v>
      </c>
      <c r="N158" s="13">
        <v>0</v>
      </c>
      <c r="O158" s="13">
        <v>0</v>
      </c>
    </row>
    <row r="159" spans="2:15">
      <c r="K159" s="14" t="s">
        <v>4</v>
      </c>
      <c r="L159" s="13">
        <v>0.24199999999999999</v>
      </c>
      <c r="M159" s="13">
        <v>0</v>
      </c>
      <c r="N159" s="13">
        <v>0</v>
      </c>
      <c r="O159" s="13">
        <v>0</v>
      </c>
    </row>
    <row r="160" spans="2:15">
      <c r="K160" s="14" t="s">
        <v>294</v>
      </c>
      <c r="L160" s="13">
        <v>0</v>
      </c>
      <c r="M160" s="13">
        <v>0</v>
      </c>
      <c r="N160" s="13">
        <v>0</v>
      </c>
      <c r="O160" s="13">
        <v>0</v>
      </c>
    </row>
    <row r="161" spans="11:15">
      <c r="K161" s="14" t="s">
        <v>10</v>
      </c>
      <c r="L161" s="13">
        <v>0.27300000000000002</v>
      </c>
      <c r="M161" s="13">
        <v>15.767360700000001</v>
      </c>
      <c r="N161" s="13">
        <v>15.315300000000001</v>
      </c>
      <c r="O161" s="13">
        <v>0</v>
      </c>
    </row>
    <row r="162" spans="11:15">
      <c r="K162" s="16" t="s">
        <v>299</v>
      </c>
      <c r="L162" s="13">
        <v>909.56041000000005</v>
      </c>
      <c r="M162" s="13">
        <v>23967.57411795907</v>
      </c>
      <c r="N162" s="13">
        <v>23162.142488500001</v>
      </c>
      <c r="O162" s="13">
        <v>0</v>
      </c>
    </row>
    <row r="163" spans="11:15">
      <c r="K163" s="15" t="s">
        <v>298</v>
      </c>
      <c r="L163" s="13">
        <v>133.424137</v>
      </c>
      <c r="M163" s="13">
        <v>5193.5860810697104</v>
      </c>
      <c r="N163" s="13">
        <v>5051.7527176999993</v>
      </c>
      <c r="O163" s="13">
        <v>0</v>
      </c>
    </row>
    <row r="164" spans="11:15">
      <c r="K164" s="14" t="s">
        <v>3</v>
      </c>
      <c r="L164" s="13">
        <v>4.3962430000000001</v>
      </c>
      <c r="M164" s="13">
        <v>320.26968765711007</v>
      </c>
      <c r="N164" s="13">
        <v>325.76160629999998</v>
      </c>
      <c r="O164" s="13">
        <v>0</v>
      </c>
    </row>
    <row r="165" spans="11:15">
      <c r="K165" s="14" t="s">
        <v>4</v>
      </c>
      <c r="L165" s="13">
        <v>50.081000000000003</v>
      </c>
      <c r="M165" s="13">
        <v>0</v>
      </c>
      <c r="N165" s="13">
        <v>0</v>
      </c>
      <c r="O165" s="13">
        <v>0</v>
      </c>
    </row>
    <row r="166" spans="11:15">
      <c r="K166" s="14" t="s">
        <v>234</v>
      </c>
      <c r="L166" s="13">
        <v>2.819</v>
      </c>
      <c r="M166" s="13">
        <v>0</v>
      </c>
      <c r="N166" s="13">
        <v>0</v>
      </c>
      <c r="O166" s="13">
        <v>0</v>
      </c>
    </row>
    <row r="167" spans="11:15">
      <c r="K167" s="14" t="s">
        <v>294</v>
      </c>
      <c r="L167" s="13">
        <v>65.030894000000004</v>
      </c>
      <c r="M167" s="13">
        <v>4232.3991711126009</v>
      </c>
      <c r="N167" s="13">
        <v>4103.4494113999999</v>
      </c>
      <c r="O167" s="13">
        <v>0</v>
      </c>
    </row>
    <row r="168" spans="11:15">
      <c r="K168" s="14" t="s">
        <v>10</v>
      </c>
      <c r="L168" s="13">
        <v>11.097</v>
      </c>
      <c r="M168" s="13">
        <v>640.91722230000005</v>
      </c>
      <c r="N168" s="13">
        <v>622.54169999999999</v>
      </c>
      <c r="O168" s="13">
        <v>0</v>
      </c>
    </row>
    <row r="169" spans="11:15">
      <c r="K169" s="15" t="s">
        <v>281</v>
      </c>
      <c r="L169" s="13">
        <v>742.70927300000005</v>
      </c>
      <c r="M169" s="13">
        <v>18773.988036889361</v>
      </c>
      <c r="N169" s="13">
        <v>18110.3897708</v>
      </c>
      <c r="O169" s="13">
        <v>0</v>
      </c>
    </row>
    <row r="170" spans="11:15">
      <c r="K170" s="14" t="s">
        <v>4</v>
      </c>
      <c r="L170" s="13">
        <v>191.13900000000001</v>
      </c>
      <c r="M170" s="13">
        <v>0</v>
      </c>
      <c r="N170" s="13">
        <v>0</v>
      </c>
      <c r="O170" s="13">
        <v>0</v>
      </c>
    </row>
    <row r="171" spans="11:15">
      <c r="K171" s="14" t="s">
        <v>234</v>
      </c>
      <c r="L171" s="13">
        <v>4.0359999999999996</v>
      </c>
      <c r="M171" s="13">
        <v>0</v>
      </c>
      <c r="N171" s="13">
        <v>0</v>
      </c>
      <c r="O171" s="13">
        <v>0</v>
      </c>
    </row>
    <row r="172" spans="11:15">
      <c r="K172" s="14" t="s">
        <v>294</v>
      </c>
      <c r="L172" s="13">
        <v>256.95786800000002</v>
      </c>
      <c r="M172" s="13">
        <v>16723.5632272572</v>
      </c>
      <c r="N172" s="13">
        <v>16214.041470800001</v>
      </c>
      <c r="O172" s="13">
        <v>0</v>
      </c>
    </row>
    <row r="173" spans="11:15">
      <c r="K173" s="14" t="s">
        <v>10</v>
      </c>
      <c r="L173" s="13">
        <v>33.802999999999997</v>
      </c>
      <c r="M173" s="13">
        <v>1952.3226877</v>
      </c>
      <c r="N173" s="13">
        <v>1896.3482999999999</v>
      </c>
      <c r="O173" s="13">
        <v>0</v>
      </c>
    </row>
    <row r="174" spans="11:15">
      <c r="K174" s="14" t="s">
        <v>17</v>
      </c>
      <c r="L174" s="13">
        <v>255.42239699999999</v>
      </c>
      <c r="M174" s="13">
        <v>0</v>
      </c>
      <c r="N174" s="13">
        <v>0</v>
      </c>
      <c r="O174" s="13">
        <v>0</v>
      </c>
    </row>
    <row r="175" spans="11:15">
      <c r="K175" s="14" t="s">
        <v>230</v>
      </c>
      <c r="L175" s="13">
        <v>1.351008</v>
      </c>
      <c r="M175" s="13">
        <v>98.102121932160003</v>
      </c>
      <c r="N175" s="13">
        <v>0</v>
      </c>
      <c r="O175" s="13">
        <v>0</v>
      </c>
    </row>
    <row r="176" spans="11:15">
      <c r="K176" s="15" t="s">
        <v>297</v>
      </c>
      <c r="L176" s="13">
        <v>33.427</v>
      </c>
      <c r="M176" s="13">
        <v>0</v>
      </c>
      <c r="N176" s="13">
        <v>0</v>
      </c>
      <c r="O176" s="13">
        <v>0</v>
      </c>
    </row>
    <row r="177" spans="11:15">
      <c r="K177" s="14" t="s">
        <v>4</v>
      </c>
      <c r="L177" s="13">
        <v>33.427</v>
      </c>
      <c r="M177" s="13">
        <v>0</v>
      </c>
      <c r="N177" s="13">
        <v>0</v>
      </c>
      <c r="O177" s="13">
        <v>0</v>
      </c>
    </row>
    <row r="178" spans="11:15">
      <c r="K178" s="16" t="s">
        <v>48</v>
      </c>
      <c r="L178" s="13">
        <v>2387.7638479999991</v>
      </c>
      <c r="M178" s="13">
        <v>171444.61183457237</v>
      </c>
      <c r="N178" s="13">
        <v>159583.49180770002</v>
      </c>
      <c r="O178" s="13">
        <v>0</v>
      </c>
    </row>
    <row r="179" spans="11:15">
      <c r="K179" s="15" t="s">
        <v>296</v>
      </c>
      <c r="L179" s="13">
        <v>127.186144</v>
      </c>
      <c r="M179" s="13">
        <v>9234.6903336014566</v>
      </c>
      <c r="N179" s="13">
        <v>59.353717500000002</v>
      </c>
      <c r="O179" s="13">
        <v>0</v>
      </c>
    </row>
    <row r="180" spans="11:15">
      <c r="K180" s="14" t="s">
        <v>293</v>
      </c>
      <c r="L180" s="13">
        <v>0.85647499999999999</v>
      </c>
      <c r="M180" s="13">
        <v>61.385222242075002</v>
      </c>
      <c r="N180" s="13">
        <v>59.353717500000002</v>
      </c>
      <c r="O180" s="13">
        <v>0</v>
      </c>
    </row>
    <row r="181" spans="11:15">
      <c r="K181" s="14" t="s">
        <v>230</v>
      </c>
      <c r="L181" s="13">
        <v>126.329669</v>
      </c>
      <c r="M181" s="13">
        <v>9173.305111359381</v>
      </c>
      <c r="N181" s="13">
        <v>0</v>
      </c>
      <c r="O181" s="13">
        <v>0</v>
      </c>
    </row>
    <row r="182" spans="11:15">
      <c r="K182" s="15" t="s">
        <v>280</v>
      </c>
      <c r="L182" s="13">
        <v>2074.64885</v>
      </c>
      <c r="M182" s="13">
        <v>148972.26497318601</v>
      </c>
      <c r="N182" s="13">
        <v>146059.49410900002</v>
      </c>
      <c r="O182" s="13">
        <v>0</v>
      </c>
    </row>
    <row r="183" spans="11:15">
      <c r="K183" s="14" t="s">
        <v>3</v>
      </c>
      <c r="L183" s="13">
        <v>548.57963900000004</v>
      </c>
      <c r="M183" s="13">
        <v>39964.449107472035</v>
      </c>
      <c r="N183" s="13">
        <v>40649.751249900008</v>
      </c>
      <c r="O183" s="13">
        <v>0</v>
      </c>
    </row>
    <row r="184" spans="11:15">
      <c r="K184" s="14" t="s">
        <v>294</v>
      </c>
      <c r="L184" s="13">
        <v>54.098236</v>
      </c>
      <c r="M184" s="13">
        <v>3520.8700837644001</v>
      </c>
      <c r="N184" s="13">
        <v>3413.5986916000002</v>
      </c>
      <c r="O184" s="13">
        <v>0</v>
      </c>
    </row>
    <row r="185" spans="11:15">
      <c r="K185" s="14" t="s">
        <v>10</v>
      </c>
      <c r="L185" s="13">
        <v>0.86699999999999999</v>
      </c>
      <c r="M185" s="13">
        <v>50.074365299999997</v>
      </c>
      <c r="N185" s="13">
        <v>48.6387</v>
      </c>
      <c r="O185" s="13">
        <v>0</v>
      </c>
    </row>
    <row r="186" spans="11:15">
      <c r="K186" s="14" t="s">
        <v>293</v>
      </c>
      <c r="L186" s="13">
        <v>1471.103975</v>
      </c>
      <c r="M186" s="13">
        <v>105436.87141664958</v>
      </c>
      <c r="N186" s="13">
        <v>101947.5054675</v>
      </c>
      <c r="O186" s="13">
        <v>0</v>
      </c>
    </row>
    <row r="187" spans="11:15">
      <c r="K187" s="15" t="s">
        <v>295</v>
      </c>
      <c r="L187" s="13">
        <v>26.609539000000002</v>
      </c>
      <c r="M187" s="13">
        <v>1926.7964315250301</v>
      </c>
      <c r="N187" s="13">
        <v>1959.8367398999999</v>
      </c>
      <c r="O187" s="13">
        <v>0</v>
      </c>
    </row>
    <row r="188" spans="11:15">
      <c r="K188" s="14" t="s">
        <v>3</v>
      </c>
      <c r="L188" s="13">
        <v>26.448539</v>
      </c>
      <c r="M188" s="13">
        <v>1926.7964315250301</v>
      </c>
      <c r="N188" s="13">
        <v>1959.8367398999999</v>
      </c>
      <c r="O188" s="13">
        <v>0</v>
      </c>
    </row>
    <row r="189" spans="11:15">
      <c r="K189" s="14" t="s">
        <v>4</v>
      </c>
      <c r="L189" s="13">
        <v>0.161</v>
      </c>
      <c r="M189" s="13">
        <v>0</v>
      </c>
      <c r="N189" s="13">
        <v>0</v>
      </c>
      <c r="O189" s="13">
        <v>0</v>
      </c>
    </row>
    <row r="190" spans="11:15">
      <c r="K190" s="14" t="s">
        <v>294</v>
      </c>
      <c r="L190" s="13">
        <v>0</v>
      </c>
      <c r="M190" s="13">
        <v>0</v>
      </c>
      <c r="N190" s="13">
        <v>0</v>
      </c>
      <c r="O190" s="13">
        <v>0</v>
      </c>
    </row>
    <row r="191" spans="11:15">
      <c r="K191" s="14" t="s">
        <v>293</v>
      </c>
      <c r="L191" s="13">
        <v>0</v>
      </c>
      <c r="M191" s="13">
        <v>0</v>
      </c>
      <c r="N191" s="13">
        <v>0</v>
      </c>
      <c r="O191" s="13">
        <v>0</v>
      </c>
    </row>
    <row r="192" spans="11:15">
      <c r="K192" s="15" t="s">
        <v>292</v>
      </c>
      <c r="L192" s="13">
        <v>28.755616999999997</v>
      </c>
      <c r="M192" s="13">
        <v>2095.4053937323802</v>
      </c>
      <c r="N192" s="13">
        <v>2131.3278195000003</v>
      </c>
      <c r="O192" s="13">
        <v>0</v>
      </c>
    </row>
    <row r="193" spans="11:15">
      <c r="K193" s="14" t="s">
        <v>229</v>
      </c>
      <c r="L193" s="13">
        <v>8.1303E-2</v>
      </c>
      <c r="M193" s="13">
        <v>6.4595396106000003</v>
      </c>
      <c r="N193" s="13">
        <v>6.5611521000000002</v>
      </c>
      <c r="O193" s="13">
        <v>0</v>
      </c>
    </row>
    <row r="194" spans="11:15">
      <c r="K194" s="14" t="s">
        <v>3</v>
      </c>
      <c r="L194" s="13">
        <v>28.674313999999999</v>
      </c>
      <c r="M194" s="13">
        <v>2088.94585412178</v>
      </c>
      <c r="N194" s="13">
        <v>2124.7666674000002</v>
      </c>
      <c r="O194" s="13">
        <v>0</v>
      </c>
    </row>
    <row r="195" spans="11:15">
      <c r="K195" s="15" t="s">
        <v>291</v>
      </c>
      <c r="L195" s="13">
        <v>4.0659999999999998</v>
      </c>
      <c r="M195" s="13">
        <v>0</v>
      </c>
      <c r="N195" s="13">
        <v>0</v>
      </c>
      <c r="O195" s="13">
        <v>0</v>
      </c>
    </row>
    <row r="196" spans="11:15">
      <c r="K196" s="14" t="s">
        <v>4</v>
      </c>
      <c r="L196" s="13">
        <v>4.0659999999999998</v>
      </c>
      <c r="M196" s="13">
        <v>0</v>
      </c>
      <c r="N196" s="13">
        <v>0</v>
      </c>
      <c r="O196" s="13">
        <v>0</v>
      </c>
    </row>
    <row r="197" spans="11:15">
      <c r="K197" s="15" t="s">
        <v>370</v>
      </c>
      <c r="L197" s="13">
        <v>115.550152</v>
      </c>
      <c r="M197" s="13">
        <v>8417.9175468170397</v>
      </c>
      <c r="N197" s="13">
        <v>8562.2662631999992</v>
      </c>
      <c r="O197" s="13">
        <v>0</v>
      </c>
    </row>
    <row r="198" spans="11:15">
      <c r="K198" s="14" t="s">
        <v>3</v>
      </c>
      <c r="L198" s="13">
        <v>115.550152</v>
      </c>
      <c r="M198" s="13">
        <v>8417.9175468170397</v>
      </c>
      <c r="N198" s="13">
        <v>8562.2662631999992</v>
      </c>
      <c r="O198" s="13">
        <v>0</v>
      </c>
    </row>
    <row r="199" spans="11:15">
      <c r="K199" s="15" t="s">
        <v>382</v>
      </c>
      <c r="L199" s="13">
        <v>10.947546000000001</v>
      </c>
      <c r="M199" s="13">
        <v>797.53715571042005</v>
      </c>
      <c r="N199" s="13">
        <v>811.21315860000004</v>
      </c>
      <c r="O199" s="13">
        <v>0</v>
      </c>
    </row>
    <row r="200" spans="11:15">
      <c r="K200" s="14" t="s">
        <v>3</v>
      </c>
      <c r="L200" s="13">
        <v>10.947546000000001</v>
      </c>
      <c r="M200" s="13">
        <v>797.53715571042005</v>
      </c>
      <c r="N200" s="13">
        <v>811.21315860000004</v>
      </c>
      <c r="O200" s="13">
        <v>0</v>
      </c>
    </row>
    <row r="201" spans="11:15">
      <c r="K201" s="192" t="s">
        <v>290</v>
      </c>
      <c r="L201" s="13">
        <v>861.95809838763944</v>
      </c>
      <c r="M201" s="13">
        <v>50091.333369709064</v>
      </c>
      <c r="N201" s="13">
        <v>48944.55711804657</v>
      </c>
      <c r="O201" s="13">
        <v>0</v>
      </c>
    </row>
    <row r="202" spans="11:15">
      <c r="K202" s="16" t="s">
        <v>289</v>
      </c>
      <c r="L202" s="13">
        <v>861.95809838763944</v>
      </c>
      <c r="M202" s="13">
        <v>50091.333369709064</v>
      </c>
      <c r="N202" s="13">
        <v>48944.55711804657</v>
      </c>
      <c r="O202" s="13">
        <v>0</v>
      </c>
    </row>
    <row r="203" spans="11:15">
      <c r="K203" s="15" t="s">
        <v>288</v>
      </c>
      <c r="L203" s="13">
        <v>3.526732</v>
      </c>
      <c r="M203" s="13">
        <v>386.52280900331999</v>
      </c>
      <c r="N203" s="13">
        <v>333.6288472</v>
      </c>
      <c r="O203" s="13">
        <v>0</v>
      </c>
    </row>
    <row r="204" spans="11:15">
      <c r="K204" s="14" t="s">
        <v>287</v>
      </c>
      <c r="L204" s="13">
        <v>0</v>
      </c>
      <c r="M204" s="13">
        <v>0</v>
      </c>
      <c r="N204" s="13">
        <v>0</v>
      </c>
      <c r="O204" s="13">
        <v>0</v>
      </c>
    </row>
    <row r="205" spans="11:15">
      <c r="K205" s="14" t="s">
        <v>232</v>
      </c>
      <c r="L205" s="13">
        <v>3.526732</v>
      </c>
      <c r="M205" s="13">
        <v>386.52280900331999</v>
      </c>
      <c r="N205" s="13">
        <v>333.6288472</v>
      </c>
      <c r="O205" s="13">
        <v>0</v>
      </c>
    </row>
    <row r="206" spans="11:15">
      <c r="K206" s="15" t="s">
        <v>285</v>
      </c>
      <c r="L206" s="13">
        <v>383.4492381735671</v>
      </c>
      <c r="M206" s="13">
        <v>22201.602994002191</v>
      </c>
      <c r="N206" s="13">
        <v>21710.790852797116</v>
      </c>
      <c r="O206" s="13">
        <v>0</v>
      </c>
    </row>
    <row r="207" spans="11:15">
      <c r="K207" s="14" t="s">
        <v>282</v>
      </c>
      <c r="L207" s="13">
        <v>132.85906083999998</v>
      </c>
      <c r="M207" s="13">
        <v>7728.5417709424228</v>
      </c>
      <c r="N207" s="13">
        <v>7652.6819043839996</v>
      </c>
      <c r="O207" s="13">
        <v>0</v>
      </c>
    </row>
    <row r="208" spans="11:15">
      <c r="K208" s="14" t="s">
        <v>10</v>
      </c>
      <c r="L208" s="13">
        <v>250.59017733356711</v>
      </c>
      <c r="M208" s="13">
        <v>14473.061223059769</v>
      </c>
      <c r="N208" s="13">
        <v>14058.108948413115</v>
      </c>
      <c r="O208" s="13">
        <v>0</v>
      </c>
    </row>
    <row r="209" spans="11:15">
      <c r="K209" s="15" t="s">
        <v>284</v>
      </c>
      <c r="L209" s="13">
        <v>96.149994922306163</v>
      </c>
      <c r="M209" s="13">
        <v>5553.2294917332219</v>
      </c>
      <c r="N209" s="13">
        <v>5394.0147151413757</v>
      </c>
      <c r="O209" s="13">
        <v>0</v>
      </c>
    </row>
    <row r="210" spans="11:15">
      <c r="K210" s="14" t="s">
        <v>10</v>
      </c>
      <c r="L210" s="13">
        <v>96.149994922306163</v>
      </c>
      <c r="M210" s="13">
        <v>5553.2294917332219</v>
      </c>
      <c r="N210" s="13">
        <v>5394.0147151413757</v>
      </c>
      <c r="O210" s="13">
        <v>0</v>
      </c>
    </row>
    <row r="211" spans="11:15">
      <c r="K211" s="15" t="s">
        <v>283</v>
      </c>
      <c r="L211" s="13">
        <v>265.98138475710471</v>
      </c>
      <c r="M211" s="13">
        <v>15432.18152767728</v>
      </c>
      <c r="N211" s="13">
        <v>15175.195710113574</v>
      </c>
      <c r="O211" s="13">
        <v>0</v>
      </c>
    </row>
    <row r="212" spans="11:15">
      <c r="K212" s="14" t="s">
        <v>282</v>
      </c>
      <c r="L212" s="13">
        <v>169.09335016</v>
      </c>
      <c r="M212" s="13">
        <v>9836.3258902903581</v>
      </c>
      <c r="N212" s="13">
        <v>9739.776969216</v>
      </c>
      <c r="O212" s="13">
        <v>0</v>
      </c>
    </row>
    <row r="213" spans="11:15">
      <c r="K213" s="14" t="s">
        <v>10</v>
      </c>
      <c r="L213" s="13">
        <v>96.888034597104721</v>
      </c>
      <c r="M213" s="13">
        <v>5595.8556373869205</v>
      </c>
      <c r="N213" s="13">
        <v>5435.418740897574</v>
      </c>
      <c r="O213" s="13">
        <v>0</v>
      </c>
    </row>
    <row r="214" spans="11:15">
      <c r="K214" s="15" t="s">
        <v>371</v>
      </c>
      <c r="L214" s="13">
        <v>112.85074853466141</v>
      </c>
      <c r="M214" s="13">
        <v>6517.7965472930509</v>
      </c>
      <c r="N214" s="13">
        <v>6330.9269927945052</v>
      </c>
      <c r="O214" s="13">
        <v>0</v>
      </c>
    </row>
    <row r="215" spans="11:15">
      <c r="K215" s="14" t="s">
        <v>10</v>
      </c>
      <c r="L215" s="13">
        <v>112.85074853466141</v>
      </c>
      <c r="M215" s="13">
        <v>6517.7965472930509</v>
      </c>
      <c r="N215" s="13">
        <v>6330.9269927945052</v>
      </c>
      <c r="O215" s="13">
        <v>0</v>
      </c>
    </row>
    <row r="216" spans="11:15">
      <c r="K216" s="192" t="s">
        <v>46</v>
      </c>
      <c r="L216" s="13">
        <v>8058.2964873876408</v>
      </c>
      <c r="M216" s="13">
        <v>467414.13840904291</v>
      </c>
      <c r="N216" s="13">
        <v>441198.85444154654</v>
      </c>
      <c r="O216" s="13">
        <v>121984.29252781192</v>
      </c>
    </row>
  </sheetData>
  <mergeCells count="11">
    <mergeCell ref="Q31:V31"/>
    <mergeCell ref="Q32:V32"/>
    <mergeCell ref="Q33:V33"/>
    <mergeCell ref="Q25:V26"/>
    <mergeCell ref="Q27:V29"/>
    <mergeCell ref="Q30:V30"/>
    <mergeCell ref="Q23:V23"/>
    <mergeCell ref="Q24:V24"/>
    <mergeCell ref="Q18:V18"/>
    <mergeCell ref="Q16:V17"/>
    <mergeCell ref="Q19:V21"/>
  </mergeCells>
  <hyperlinks>
    <hyperlink ref="G3" r:id="rId2" display="INECC@2014"/>
    <hyperlink ref="H3" r:id="rId3" display="IPCC@2006"/>
    <hyperlink ref="S4" r:id="rId4" display="INECC@2014"/>
    <hyperlink ref="T4" r:id="rId5" display="IPCC@2006"/>
    <hyperlink ref="I3" r:id="rId6" display="IPCC@2006"/>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100"/>
  <sheetViews>
    <sheetView workbookViewId="0">
      <pane xSplit="2" topLeftCell="C1" activePane="topRight" state="frozen"/>
      <selection pane="topRight" activeCell="I59" sqref="I59"/>
    </sheetView>
  </sheetViews>
  <sheetFormatPr baseColWidth="10" defaultRowHeight="12.75"/>
  <cols>
    <col min="1" max="1" width="11" style="183"/>
    <col min="2" max="2" width="74.25" style="183" bestFit="1" customWidth="1"/>
    <col min="3" max="3" width="12.125" style="182" customWidth="1"/>
    <col min="4" max="4" width="7.625" style="182" customWidth="1"/>
    <col min="5" max="5" width="6.125" style="182" customWidth="1"/>
    <col min="6" max="6" width="10" style="182" customWidth="1"/>
    <col min="7" max="8" width="7.375" style="182" customWidth="1"/>
    <col min="9" max="9" width="5" style="182" customWidth="1"/>
    <col min="10" max="10" width="8.625" style="182" customWidth="1"/>
    <col min="11" max="11" width="10.125" style="182" customWidth="1"/>
    <col min="12" max="12" width="9.5" style="182" customWidth="1"/>
    <col min="13" max="13" width="8.375" style="182" customWidth="1"/>
    <col min="14" max="14" width="8.5" style="182" customWidth="1"/>
    <col min="15" max="15" width="6.625" style="182" customWidth="1"/>
    <col min="16" max="16" width="8.25" style="182" customWidth="1"/>
    <col min="17" max="17" width="8.75" style="182" customWidth="1"/>
    <col min="18" max="18" width="9.75" style="182" customWidth="1"/>
    <col min="19" max="19" width="4.125" style="182" customWidth="1"/>
    <col min="20" max="20" width="10" style="182" customWidth="1"/>
    <col min="21" max="21" width="9.125" style="182" customWidth="1"/>
    <col min="22" max="22" width="6" style="182" customWidth="1"/>
    <col min="23" max="23" width="12.75" style="182" customWidth="1"/>
    <col min="24" max="24" width="8.625" style="182" customWidth="1"/>
    <col min="25" max="25" width="12.5" style="182" customWidth="1"/>
    <col min="26" max="26" width="8.625" style="182" customWidth="1"/>
    <col min="27" max="27" width="12.5" style="182" customWidth="1"/>
    <col min="28" max="28" width="8.625" style="182" customWidth="1"/>
    <col min="29" max="29" width="12.5" style="182" customWidth="1"/>
    <col min="30" max="30" width="8.625" style="182" customWidth="1"/>
    <col min="31" max="31" width="12.875" style="182" customWidth="1"/>
    <col min="32" max="32" width="8.625" style="182" customWidth="1"/>
    <col min="33" max="33" width="12.875" style="182" customWidth="1"/>
    <col min="34" max="34" width="8.625" style="182" customWidth="1"/>
    <col min="35" max="35" width="12.875" style="182" customWidth="1"/>
    <col min="36" max="36" width="8.625" style="182" customWidth="1"/>
    <col min="37" max="37" width="12.875" style="182" customWidth="1"/>
    <col min="38" max="38" width="8.625" style="182" customWidth="1"/>
    <col min="39" max="39" width="12.875" style="182" customWidth="1"/>
    <col min="40" max="40" width="12.375" style="182" customWidth="1"/>
    <col min="41" max="41" width="30.25" style="183" bestFit="1" customWidth="1"/>
    <col min="42" max="42" width="20.25" style="183" customWidth="1"/>
    <col min="43" max="16384" width="11" style="183"/>
  </cols>
  <sheetData>
    <row r="2" spans="2:42" ht="26.25">
      <c r="B2" s="620" t="s">
        <v>934</v>
      </c>
      <c r="C2" s="621" t="s">
        <v>44</v>
      </c>
      <c r="W2"/>
      <c r="X2"/>
      <c r="Y2"/>
      <c r="Z2"/>
      <c r="AA2"/>
      <c r="AB2"/>
      <c r="AC2"/>
      <c r="AD2"/>
      <c r="AE2"/>
      <c r="AF2"/>
      <c r="AG2"/>
      <c r="AH2"/>
      <c r="AI2"/>
      <c r="AJ2"/>
      <c r="AK2"/>
      <c r="AL2"/>
      <c r="AM2"/>
      <c r="AN2"/>
      <c r="AO2"/>
      <c r="AP2"/>
    </row>
    <row r="3" spans="2:42" ht="39">
      <c r="B3" s="620" t="s">
        <v>45</v>
      </c>
      <c r="C3" s="182" t="s">
        <v>301</v>
      </c>
      <c r="D3" s="182" t="s">
        <v>271</v>
      </c>
      <c r="E3" s="182" t="s">
        <v>287</v>
      </c>
      <c r="F3" s="182" t="s">
        <v>229</v>
      </c>
      <c r="G3" s="182" t="s">
        <v>232</v>
      </c>
      <c r="H3" s="182" t="s">
        <v>231</v>
      </c>
      <c r="I3" s="182" t="s">
        <v>3</v>
      </c>
      <c r="J3" s="182" t="s">
        <v>4</v>
      </c>
      <c r="K3" s="182" t="s">
        <v>233</v>
      </c>
      <c r="L3" s="182" t="s">
        <v>234</v>
      </c>
      <c r="M3" s="182" t="s">
        <v>294</v>
      </c>
      <c r="N3" s="182" t="s">
        <v>282</v>
      </c>
      <c r="O3" s="182" t="s">
        <v>10</v>
      </c>
      <c r="P3" s="182" t="s">
        <v>293</v>
      </c>
      <c r="Q3" s="182" t="s">
        <v>235</v>
      </c>
      <c r="R3" s="182" t="s">
        <v>236</v>
      </c>
      <c r="S3" s="182" t="s">
        <v>17</v>
      </c>
      <c r="T3" s="182" t="s">
        <v>237</v>
      </c>
      <c r="U3" s="182" t="s">
        <v>230</v>
      </c>
      <c r="V3" s="182" t="s">
        <v>46</v>
      </c>
      <c r="W3"/>
      <c r="X3"/>
      <c r="Y3"/>
      <c r="Z3"/>
      <c r="AA3"/>
      <c r="AB3"/>
      <c r="AC3"/>
      <c r="AD3"/>
      <c r="AE3"/>
      <c r="AF3"/>
      <c r="AG3"/>
      <c r="AH3"/>
      <c r="AI3"/>
      <c r="AJ3"/>
      <c r="AK3"/>
      <c r="AL3"/>
      <c r="AM3"/>
      <c r="AN3"/>
      <c r="AO3"/>
      <c r="AP3"/>
    </row>
    <row r="4" spans="2:42" ht="15.75">
      <c r="B4" s="614" t="s">
        <v>227</v>
      </c>
      <c r="C4" s="615"/>
      <c r="D4" s="615"/>
      <c r="E4" s="615"/>
      <c r="F4" s="615"/>
      <c r="G4" s="615"/>
      <c r="H4" s="615"/>
      <c r="I4" s="615">
        <v>115.550152</v>
      </c>
      <c r="J4" s="615">
        <v>37.027999999999999</v>
      </c>
      <c r="K4" s="615"/>
      <c r="L4" s="615"/>
      <c r="M4" s="615">
        <v>6.0288570000000004</v>
      </c>
      <c r="N4" s="615"/>
      <c r="O4" s="615"/>
      <c r="P4" s="615"/>
      <c r="Q4" s="615"/>
      <c r="R4" s="615"/>
      <c r="S4" s="615"/>
      <c r="T4" s="615"/>
      <c r="U4" s="615">
        <v>8.1239999999999993E-3</v>
      </c>
      <c r="V4" s="615">
        <v>158.61513299999999</v>
      </c>
      <c r="W4"/>
      <c r="X4"/>
      <c r="Y4"/>
      <c r="Z4"/>
      <c r="AA4"/>
      <c r="AB4"/>
      <c r="AC4"/>
      <c r="AD4"/>
      <c r="AE4"/>
      <c r="AF4"/>
      <c r="AG4"/>
      <c r="AH4"/>
      <c r="AI4"/>
      <c r="AJ4"/>
      <c r="AK4"/>
      <c r="AL4"/>
      <c r="AM4"/>
      <c r="AN4"/>
      <c r="AO4"/>
      <c r="AP4"/>
    </row>
    <row r="5" spans="2:42" ht="15.75">
      <c r="B5" s="616" t="s">
        <v>227</v>
      </c>
      <c r="C5" s="615"/>
      <c r="D5" s="615"/>
      <c r="E5" s="615"/>
      <c r="F5" s="615"/>
      <c r="G5" s="615"/>
      <c r="H5" s="615"/>
      <c r="I5" s="615">
        <v>115.550152</v>
      </c>
      <c r="J5" s="615">
        <v>37.027999999999999</v>
      </c>
      <c r="K5" s="615"/>
      <c r="L5" s="615"/>
      <c r="M5" s="615">
        <v>6.0288570000000004</v>
      </c>
      <c r="N5" s="615"/>
      <c r="O5" s="615"/>
      <c r="P5" s="615"/>
      <c r="Q5" s="615"/>
      <c r="R5" s="615"/>
      <c r="S5" s="615"/>
      <c r="T5" s="615"/>
      <c r="U5" s="615">
        <v>8.1239999999999993E-3</v>
      </c>
      <c r="V5" s="615">
        <v>158.61513299999999</v>
      </c>
      <c r="W5"/>
      <c r="X5"/>
      <c r="Y5"/>
      <c r="Z5"/>
      <c r="AA5"/>
      <c r="AB5"/>
      <c r="AC5"/>
      <c r="AD5"/>
      <c r="AE5"/>
      <c r="AF5"/>
      <c r="AG5"/>
      <c r="AH5"/>
      <c r="AI5"/>
      <c r="AJ5"/>
      <c r="AK5"/>
      <c r="AL5"/>
      <c r="AM5"/>
      <c r="AN5"/>
      <c r="AO5"/>
      <c r="AP5"/>
    </row>
    <row r="6" spans="2:42" ht="15.75">
      <c r="B6" s="614" t="s">
        <v>289</v>
      </c>
      <c r="C6" s="615"/>
      <c r="D6" s="615"/>
      <c r="E6" s="615">
        <v>0</v>
      </c>
      <c r="F6" s="615"/>
      <c r="G6" s="615">
        <v>3.526732</v>
      </c>
      <c r="H6" s="615"/>
      <c r="I6" s="615"/>
      <c r="J6" s="615"/>
      <c r="K6" s="615"/>
      <c r="L6" s="615"/>
      <c r="M6" s="615"/>
      <c r="N6" s="615">
        <v>301.95241099999998</v>
      </c>
      <c r="O6" s="615">
        <v>556.47895538763942</v>
      </c>
      <c r="P6" s="615"/>
      <c r="Q6" s="615"/>
      <c r="R6" s="615"/>
      <c r="S6" s="615"/>
      <c r="T6" s="615"/>
      <c r="U6" s="615"/>
      <c r="V6" s="615">
        <v>861.95809838763932</v>
      </c>
      <c r="W6"/>
      <c r="X6"/>
      <c r="Y6"/>
      <c r="Z6"/>
      <c r="AA6"/>
      <c r="AB6"/>
      <c r="AC6"/>
      <c r="AD6"/>
      <c r="AE6"/>
      <c r="AF6"/>
      <c r="AG6"/>
      <c r="AH6"/>
      <c r="AI6"/>
      <c r="AJ6"/>
      <c r="AK6"/>
      <c r="AL6"/>
      <c r="AM6"/>
      <c r="AN6"/>
      <c r="AO6"/>
      <c r="AP6"/>
    </row>
    <row r="7" spans="2:42" ht="15.75">
      <c r="B7" s="616" t="s">
        <v>288</v>
      </c>
      <c r="C7" s="615"/>
      <c r="D7" s="615"/>
      <c r="E7" s="615">
        <v>0</v>
      </c>
      <c r="F7" s="615"/>
      <c r="G7" s="615">
        <v>3.526732</v>
      </c>
      <c r="H7" s="615"/>
      <c r="I7" s="615"/>
      <c r="J7" s="615"/>
      <c r="K7" s="615"/>
      <c r="L7" s="615"/>
      <c r="M7" s="615"/>
      <c r="N7" s="615"/>
      <c r="O7" s="615"/>
      <c r="P7" s="615"/>
      <c r="Q7" s="615"/>
      <c r="R7" s="615"/>
      <c r="S7" s="615"/>
      <c r="T7" s="615"/>
      <c r="U7" s="615"/>
      <c r="V7" s="615">
        <v>3.526732</v>
      </c>
      <c r="W7"/>
      <c r="X7"/>
      <c r="Y7"/>
      <c r="Z7"/>
      <c r="AA7"/>
      <c r="AB7"/>
      <c r="AC7"/>
      <c r="AD7"/>
      <c r="AE7"/>
      <c r="AF7" s="617"/>
      <c r="AG7"/>
      <c r="AH7"/>
      <c r="AI7"/>
      <c r="AJ7"/>
      <c r="AK7"/>
      <c r="AL7"/>
      <c r="AM7"/>
      <c r="AN7"/>
      <c r="AO7"/>
      <c r="AP7"/>
    </row>
    <row r="8" spans="2:42" ht="15.75">
      <c r="B8" s="616" t="s">
        <v>285</v>
      </c>
      <c r="C8" s="615"/>
      <c r="D8" s="615"/>
      <c r="E8" s="615"/>
      <c r="F8" s="615"/>
      <c r="G8" s="615"/>
      <c r="H8" s="615"/>
      <c r="I8" s="615"/>
      <c r="J8" s="615"/>
      <c r="K8" s="615"/>
      <c r="L8" s="615"/>
      <c r="M8" s="615"/>
      <c r="N8" s="615">
        <v>132.85906083999998</v>
      </c>
      <c r="O8" s="615">
        <v>250.59017733356711</v>
      </c>
      <c r="P8" s="615"/>
      <c r="Q8" s="615"/>
      <c r="R8" s="615"/>
      <c r="S8" s="615"/>
      <c r="T8" s="615"/>
      <c r="U8" s="615"/>
      <c r="V8" s="615">
        <v>383.4492381735671</v>
      </c>
      <c r="W8"/>
      <c r="X8"/>
      <c r="Y8"/>
      <c r="Z8"/>
      <c r="AA8"/>
      <c r="AB8"/>
      <c r="AC8"/>
      <c r="AD8"/>
      <c r="AE8"/>
      <c r="AF8"/>
      <c r="AG8"/>
      <c r="AH8"/>
      <c r="AI8"/>
      <c r="AJ8"/>
      <c r="AK8"/>
      <c r="AL8"/>
      <c r="AM8"/>
      <c r="AN8"/>
      <c r="AO8"/>
      <c r="AP8"/>
    </row>
    <row r="9" spans="2:42" ht="15.75">
      <c r="B9" s="616" t="s">
        <v>284</v>
      </c>
      <c r="C9" s="615"/>
      <c r="D9" s="615"/>
      <c r="E9" s="615"/>
      <c r="F9" s="615"/>
      <c r="G9" s="615"/>
      <c r="H9" s="615"/>
      <c r="I9" s="615"/>
      <c r="J9" s="615"/>
      <c r="K9" s="615"/>
      <c r="L9" s="615"/>
      <c r="M9" s="615"/>
      <c r="N9" s="615"/>
      <c r="O9" s="615">
        <v>96.149994922306163</v>
      </c>
      <c r="P9" s="615"/>
      <c r="Q9" s="615"/>
      <c r="R9" s="615"/>
      <c r="S9" s="615"/>
      <c r="T9" s="615"/>
      <c r="U9" s="615"/>
      <c r="V9" s="615">
        <v>96.149994922306163</v>
      </c>
      <c r="W9"/>
      <c r="X9"/>
      <c r="Y9"/>
      <c r="Z9"/>
      <c r="AA9"/>
      <c r="AB9"/>
      <c r="AC9"/>
      <c r="AD9"/>
      <c r="AE9"/>
      <c r="AF9"/>
      <c r="AG9"/>
      <c r="AH9"/>
      <c r="AI9"/>
      <c r="AJ9"/>
      <c r="AK9"/>
      <c r="AL9"/>
      <c r="AM9"/>
      <c r="AN9"/>
      <c r="AO9"/>
      <c r="AP9"/>
    </row>
    <row r="10" spans="2:42" ht="15.75">
      <c r="B10" s="616" t="s">
        <v>283</v>
      </c>
      <c r="C10" s="615"/>
      <c r="D10" s="615"/>
      <c r="E10" s="615"/>
      <c r="F10" s="615"/>
      <c r="G10" s="615"/>
      <c r="H10" s="615"/>
      <c r="I10" s="615"/>
      <c r="J10" s="615"/>
      <c r="K10" s="615"/>
      <c r="L10" s="615"/>
      <c r="M10" s="615"/>
      <c r="N10" s="615">
        <v>169.09335016</v>
      </c>
      <c r="O10" s="615">
        <v>96.888034597104721</v>
      </c>
      <c r="P10" s="615"/>
      <c r="Q10" s="615"/>
      <c r="R10" s="615"/>
      <c r="S10" s="615"/>
      <c r="T10" s="615"/>
      <c r="U10" s="615"/>
      <c r="V10" s="615">
        <v>265.98138475710471</v>
      </c>
      <c r="W10"/>
      <c r="X10"/>
      <c r="Y10"/>
      <c r="Z10"/>
      <c r="AA10"/>
      <c r="AB10"/>
      <c r="AC10"/>
      <c r="AD10"/>
      <c r="AE10"/>
      <c r="AF10"/>
      <c r="AG10"/>
      <c r="AH10"/>
      <c r="AI10"/>
      <c r="AJ10"/>
      <c r="AK10"/>
      <c r="AL10"/>
      <c r="AM10"/>
      <c r="AN10"/>
      <c r="AO10"/>
      <c r="AP10"/>
    </row>
    <row r="11" spans="2:42" ht="15.75">
      <c r="B11" s="616" t="s">
        <v>936</v>
      </c>
      <c r="C11" s="615"/>
      <c r="D11" s="615"/>
      <c r="E11" s="615"/>
      <c r="F11" s="615"/>
      <c r="G11" s="615"/>
      <c r="H11" s="615"/>
      <c r="I11" s="615"/>
      <c r="J11" s="615"/>
      <c r="K11" s="615"/>
      <c r="L11" s="615"/>
      <c r="M11" s="615"/>
      <c r="N11" s="615"/>
      <c r="O11" s="615">
        <v>112.85074853466141</v>
      </c>
      <c r="P11" s="615"/>
      <c r="Q11" s="615"/>
      <c r="R11" s="615"/>
      <c r="S11" s="615"/>
      <c r="T11" s="615"/>
      <c r="U11" s="615"/>
      <c r="V11" s="615">
        <v>112.85074853466141</v>
      </c>
      <c r="W11"/>
      <c r="X11"/>
      <c r="Y11"/>
      <c r="Z11"/>
      <c r="AA11"/>
      <c r="AB11"/>
      <c r="AC11"/>
      <c r="AD11"/>
      <c r="AE11"/>
      <c r="AF11"/>
      <c r="AG11"/>
      <c r="AH11"/>
      <c r="AI11"/>
      <c r="AJ11"/>
      <c r="AK11"/>
      <c r="AL11"/>
      <c r="AM11"/>
      <c r="AN11"/>
      <c r="AO11"/>
      <c r="AP11"/>
    </row>
    <row r="12" spans="2:42" ht="15.75">
      <c r="B12" s="614" t="s">
        <v>47</v>
      </c>
      <c r="C12" s="615"/>
      <c r="D12" s="615">
        <v>63.782443000000001</v>
      </c>
      <c r="E12" s="615">
        <v>100.068597</v>
      </c>
      <c r="F12" s="615">
        <v>25.360433</v>
      </c>
      <c r="G12" s="615">
        <v>65.126006000000004</v>
      </c>
      <c r="H12" s="615">
        <v>111.145081</v>
      </c>
      <c r="I12" s="615">
        <v>64.530242000000001</v>
      </c>
      <c r="J12" s="615">
        <v>530.60300000000007</v>
      </c>
      <c r="K12" s="615"/>
      <c r="L12" s="615">
        <v>0.38100000000000001</v>
      </c>
      <c r="M12" s="615">
        <v>43.968238999999997</v>
      </c>
      <c r="N12" s="615"/>
      <c r="O12" s="615">
        <v>593.18299999999999</v>
      </c>
      <c r="P12" s="615">
        <v>0.85200500000000001</v>
      </c>
      <c r="Q12" s="615"/>
      <c r="R12" s="615"/>
      <c r="S12" s="615"/>
      <c r="T12" s="615"/>
      <c r="U12" s="615">
        <v>0</v>
      </c>
      <c r="V12" s="615">
        <v>1599.0000459999999</v>
      </c>
      <c r="W12"/>
      <c r="X12"/>
      <c r="Y12"/>
      <c r="Z12"/>
      <c r="AA12"/>
      <c r="AB12"/>
      <c r="AC12"/>
      <c r="AD12"/>
      <c r="AE12"/>
      <c r="AF12"/>
      <c r="AG12"/>
      <c r="AH12"/>
      <c r="AI12"/>
      <c r="AJ12"/>
      <c r="AK12"/>
      <c r="AL12"/>
      <c r="AM12"/>
      <c r="AN12"/>
      <c r="AO12"/>
      <c r="AP12"/>
    </row>
    <row r="13" spans="2:42" ht="15.75">
      <c r="B13" s="616" t="s">
        <v>335</v>
      </c>
      <c r="C13" s="615"/>
      <c r="D13" s="615"/>
      <c r="E13" s="615"/>
      <c r="F13" s="615"/>
      <c r="G13" s="615"/>
      <c r="H13" s="615"/>
      <c r="I13" s="615"/>
      <c r="J13" s="615">
        <v>1.7729999999999999</v>
      </c>
      <c r="K13" s="615"/>
      <c r="L13" s="615"/>
      <c r="M13" s="615"/>
      <c r="N13" s="615"/>
      <c r="O13" s="615"/>
      <c r="P13" s="615"/>
      <c r="Q13" s="615"/>
      <c r="R13" s="615"/>
      <c r="S13" s="615"/>
      <c r="T13" s="615"/>
      <c r="U13" s="615"/>
      <c r="V13" s="618">
        <v>1.7729999999999999</v>
      </c>
      <c r="W13"/>
      <c r="X13"/>
      <c r="Y13"/>
      <c r="Z13"/>
      <c r="AA13"/>
      <c r="AB13"/>
      <c r="AC13"/>
      <c r="AD13"/>
      <c r="AE13"/>
      <c r="AF13"/>
      <c r="AG13"/>
      <c r="AH13"/>
      <c r="AI13"/>
      <c r="AJ13"/>
      <c r="AK13"/>
      <c r="AL13"/>
      <c r="AM13"/>
      <c r="AN13"/>
      <c r="AO13"/>
      <c r="AP13"/>
    </row>
    <row r="14" spans="2:42" ht="15.75">
      <c r="B14" s="616" t="s">
        <v>937</v>
      </c>
      <c r="C14" s="615"/>
      <c r="D14" s="615"/>
      <c r="E14" s="615"/>
      <c r="F14" s="615"/>
      <c r="G14" s="615"/>
      <c r="H14" s="615"/>
      <c r="I14" s="615">
        <v>10.947546000000001</v>
      </c>
      <c r="J14" s="615"/>
      <c r="K14" s="615"/>
      <c r="L14" s="615"/>
      <c r="M14" s="615"/>
      <c r="N14" s="615"/>
      <c r="O14" s="615"/>
      <c r="P14" s="615"/>
      <c r="Q14" s="615"/>
      <c r="R14" s="615"/>
      <c r="S14" s="615"/>
      <c r="T14" s="615"/>
      <c r="U14" s="615"/>
      <c r="V14" s="619">
        <v>10.947546000000001</v>
      </c>
      <c r="W14"/>
      <c r="X14"/>
      <c r="Y14"/>
      <c r="Z14"/>
      <c r="AA14"/>
      <c r="AB14"/>
      <c r="AC14"/>
      <c r="AD14"/>
      <c r="AE14"/>
      <c r="AF14"/>
      <c r="AG14"/>
      <c r="AH14"/>
      <c r="AI14"/>
      <c r="AJ14"/>
      <c r="AK14"/>
      <c r="AL14"/>
      <c r="AM14"/>
      <c r="AN14"/>
      <c r="AO14"/>
      <c r="AP14"/>
    </row>
    <row r="15" spans="2:42" ht="15.75">
      <c r="B15" s="616" t="s">
        <v>336</v>
      </c>
      <c r="C15" s="615"/>
      <c r="D15" s="615">
        <v>59.526828000000002</v>
      </c>
      <c r="E15" s="615"/>
      <c r="F15" s="615">
        <v>3.4816769999999999</v>
      </c>
      <c r="G15" s="615"/>
      <c r="H15" s="615"/>
      <c r="I15" s="615">
        <v>0</v>
      </c>
      <c r="J15" s="615">
        <v>4.1449999999999996</v>
      </c>
      <c r="K15" s="615"/>
      <c r="L15" s="615"/>
      <c r="M15" s="615">
        <v>2.5599999999999999E-4</v>
      </c>
      <c r="N15" s="615"/>
      <c r="O15" s="615"/>
      <c r="P15" s="615"/>
      <c r="Q15" s="615"/>
      <c r="R15" s="615"/>
      <c r="S15" s="615"/>
      <c r="T15" s="615"/>
      <c r="U15" s="615"/>
      <c r="V15" s="619">
        <v>67.153760999999989</v>
      </c>
      <c r="W15"/>
      <c r="X15"/>
      <c r="Y15"/>
      <c r="Z15"/>
      <c r="AA15"/>
      <c r="AB15"/>
      <c r="AC15"/>
      <c r="AD15"/>
      <c r="AE15"/>
      <c r="AF15"/>
      <c r="AG15"/>
      <c r="AH15"/>
      <c r="AI15"/>
      <c r="AJ15"/>
      <c r="AK15"/>
      <c r="AL15"/>
      <c r="AM15"/>
      <c r="AN15"/>
      <c r="AO15"/>
      <c r="AP15"/>
    </row>
    <row r="16" spans="2:42" ht="15.75">
      <c r="B16" s="616" t="s">
        <v>328</v>
      </c>
      <c r="C16" s="615"/>
      <c r="D16" s="615"/>
      <c r="E16" s="615"/>
      <c r="F16" s="615">
        <v>2.080508</v>
      </c>
      <c r="G16" s="615"/>
      <c r="H16" s="615"/>
      <c r="I16" s="615">
        <v>0.140374</v>
      </c>
      <c r="J16" s="615">
        <v>3.6819999999999999</v>
      </c>
      <c r="K16" s="615"/>
      <c r="L16" s="615"/>
      <c r="M16" s="615">
        <v>0.814222</v>
      </c>
      <c r="N16" s="615"/>
      <c r="O16" s="615">
        <v>15.255000000000001</v>
      </c>
      <c r="P16" s="615"/>
      <c r="Q16" s="615"/>
      <c r="R16" s="615"/>
      <c r="S16" s="615"/>
      <c r="T16" s="615"/>
      <c r="U16" s="615"/>
      <c r="V16" s="619">
        <v>21.972104000000002</v>
      </c>
      <c r="W16"/>
      <c r="X16"/>
      <c r="Y16"/>
      <c r="Z16"/>
      <c r="AA16"/>
      <c r="AB16"/>
      <c r="AC16"/>
      <c r="AD16"/>
      <c r="AE16"/>
      <c r="AF16"/>
      <c r="AG16"/>
      <c r="AH16"/>
      <c r="AI16"/>
      <c r="AJ16"/>
      <c r="AK16"/>
      <c r="AL16"/>
      <c r="AM16"/>
      <c r="AN16"/>
      <c r="AO16"/>
      <c r="AP16"/>
    </row>
    <row r="17" spans="2:42" ht="15.75">
      <c r="B17" s="616" t="s">
        <v>300</v>
      </c>
      <c r="C17" s="615"/>
      <c r="D17" s="615"/>
      <c r="E17" s="615"/>
      <c r="F17" s="615">
        <v>8.7880000000000007E-3</v>
      </c>
      <c r="G17" s="615"/>
      <c r="H17" s="615"/>
      <c r="I17" s="615">
        <v>0</v>
      </c>
      <c r="J17" s="615">
        <v>0.24199999999999999</v>
      </c>
      <c r="K17" s="615"/>
      <c r="L17" s="615"/>
      <c r="M17" s="615">
        <v>0</v>
      </c>
      <c r="N17" s="615"/>
      <c r="O17" s="615">
        <v>0.27300000000000002</v>
      </c>
      <c r="P17" s="615"/>
      <c r="Q17" s="615"/>
      <c r="R17" s="615"/>
      <c r="S17" s="615"/>
      <c r="T17" s="615"/>
      <c r="U17" s="615"/>
      <c r="V17" s="619">
        <v>0.52378800000000003</v>
      </c>
      <c r="W17"/>
      <c r="X17"/>
      <c r="Y17"/>
      <c r="Z17"/>
      <c r="AA17"/>
      <c r="AB17"/>
      <c r="AC17"/>
      <c r="AD17"/>
      <c r="AE17"/>
      <c r="AF17"/>
      <c r="AG17"/>
      <c r="AH17"/>
      <c r="AI17"/>
      <c r="AJ17"/>
      <c r="AK17"/>
      <c r="AL17"/>
      <c r="AM17"/>
      <c r="AN17"/>
      <c r="AO17"/>
      <c r="AP17"/>
    </row>
    <row r="18" spans="2:42" ht="15.75">
      <c r="B18" s="616" t="s">
        <v>326</v>
      </c>
      <c r="C18" s="615"/>
      <c r="D18" s="615"/>
      <c r="E18" s="615"/>
      <c r="F18" s="615">
        <v>0.67199600000000004</v>
      </c>
      <c r="G18" s="615"/>
      <c r="H18" s="615"/>
      <c r="I18" s="615">
        <v>3.5512489999999999</v>
      </c>
      <c r="J18" s="615">
        <v>3.0630000000000002</v>
      </c>
      <c r="K18" s="615"/>
      <c r="L18" s="615"/>
      <c r="M18" s="615">
        <v>1.283507</v>
      </c>
      <c r="N18" s="615"/>
      <c r="O18" s="615">
        <v>0.96099999999999997</v>
      </c>
      <c r="P18" s="615"/>
      <c r="Q18" s="615"/>
      <c r="R18" s="615"/>
      <c r="S18" s="615"/>
      <c r="T18" s="615"/>
      <c r="U18" s="615"/>
      <c r="V18" s="619">
        <v>9.5307520000000014</v>
      </c>
      <c r="W18"/>
      <c r="X18"/>
      <c r="Y18"/>
      <c r="Z18"/>
      <c r="AA18"/>
      <c r="AB18"/>
      <c r="AC18"/>
      <c r="AD18"/>
      <c r="AE18"/>
      <c r="AF18"/>
      <c r="AG18"/>
      <c r="AH18"/>
      <c r="AI18"/>
      <c r="AJ18"/>
      <c r="AK18"/>
      <c r="AL18"/>
      <c r="AM18"/>
      <c r="AN18"/>
      <c r="AO18"/>
      <c r="AP18"/>
    </row>
    <row r="19" spans="2:42" ht="15.75">
      <c r="B19" s="616" t="s">
        <v>321</v>
      </c>
      <c r="C19" s="615"/>
      <c r="D19" s="615"/>
      <c r="E19" s="615"/>
      <c r="F19" s="615">
        <v>0</v>
      </c>
      <c r="G19" s="615"/>
      <c r="H19" s="615"/>
      <c r="I19" s="615">
        <v>0.82255599999999995</v>
      </c>
      <c r="J19" s="615">
        <v>7.875</v>
      </c>
      <c r="K19" s="615"/>
      <c r="L19" s="615"/>
      <c r="M19" s="615">
        <v>0.54942100000000005</v>
      </c>
      <c r="N19" s="615"/>
      <c r="O19" s="615">
        <v>4.7320000000000002</v>
      </c>
      <c r="P19" s="615"/>
      <c r="Q19" s="615"/>
      <c r="R19" s="615"/>
      <c r="S19" s="615"/>
      <c r="T19" s="615"/>
      <c r="U19" s="615"/>
      <c r="V19" s="619">
        <v>13.978977</v>
      </c>
      <c r="W19"/>
      <c r="X19"/>
      <c r="Y19"/>
      <c r="Z19"/>
      <c r="AA19"/>
      <c r="AB19"/>
      <c r="AC19"/>
      <c r="AD19"/>
      <c r="AE19"/>
      <c r="AF19"/>
      <c r="AG19"/>
      <c r="AH19"/>
      <c r="AI19"/>
      <c r="AJ19"/>
      <c r="AK19"/>
      <c r="AL19"/>
      <c r="AM19"/>
      <c r="AN19"/>
      <c r="AO19"/>
      <c r="AP19"/>
    </row>
    <row r="20" spans="2:42" ht="15.75">
      <c r="B20" s="616" t="s">
        <v>337</v>
      </c>
      <c r="C20" s="615"/>
      <c r="D20" s="615"/>
      <c r="E20" s="615">
        <v>5.8601640000000002</v>
      </c>
      <c r="F20" s="615">
        <v>1.4900869999999999</v>
      </c>
      <c r="G20" s="615">
        <v>0</v>
      </c>
      <c r="H20" s="615">
        <v>100.994443</v>
      </c>
      <c r="I20" s="615">
        <v>0.26655099999999998</v>
      </c>
      <c r="J20" s="615">
        <v>36.133000000000003</v>
      </c>
      <c r="K20" s="615"/>
      <c r="L20" s="615"/>
      <c r="M20" s="615">
        <v>4.0000000000000003E-5</v>
      </c>
      <c r="N20" s="615"/>
      <c r="O20" s="615">
        <v>4.4249999999999998</v>
      </c>
      <c r="P20" s="615"/>
      <c r="Q20" s="615"/>
      <c r="R20" s="615"/>
      <c r="S20" s="615"/>
      <c r="T20" s="615"/>
      <c r="U20" s="615"/>
      <c r="V20" s="619">
        <v>149.16928500000003</v>
      </c>
      <c r="W20"/>
      <c r="X20"/>
      <c r="Y20"/>
      <c r="Z20"/>
      <c r="AA20"/>
      <c r="AB20"/>
      <c r="AC20"/>
      <c r="AD20"/>
      <c r="AE20"/>
      <c r="AF20"/>
      <c r="AG20"/>
      <c r="AH20"/>
      <c r="AI20"/>
      <c r="AJ20"/>
      <c r="AK20"/>
      <c r="AL20"/>
      <c r="AM20"/>
      <c r="AN20"/>
      <c r="AO20"/>
      <c r="AP20"/>
    </row>
    <row r="21" spans="2:42" ht="15.75">
      <c r="B21" s="616" t="s">
        <v>308</v>
      </c>
      <c r="C21" s="615"/>
      <c r="D21" s="615"/>
      <c r="E21" s="615"/>
      <c r="F21" s="615">
        <v>0</v>
      </c>
      <c r="G21" s="615"/>
      <c r="H21" s="615"/>
      <c r="I21" s="615">
        <v>0.162296</v>
      </c>
      <c r="J21" s="615">
        <v>0.47499999999999998</v>
      </c>
      <c r="K21" s="615"/>
      <c r="L21" s="615"/>
      <c r="M21" s="615"/>
      <c r="N21" s="615"/>
      <c r="O21" s="615">
        <v>0.51700000000000002</v>
      </c>
      <c r="P21" s="615"/>
      <c r="Q21" s="615"/>
      <c r="R21" s="615"/>
      <c r="S21" s="615"/>
      <c r="T21" s="615"/>
      <c r="U21" s="615"/>
      <c r="V21" s="619">
        <v>1.154296</v>
      </c>
      <c r="W21"/>
      <c r="X21"/>
      <c r="Y21"/>
      <c r="Z21"/>
      <c r="AA21"/>
      <c r="AB21"/>
      <c r="AC21"/>
      <c r="AD21"/>
      <c r="AE21"/>
      <c r="AF21"/>
      <c r="AG21"/>
      <c r="AH21"/>
      <c r="AI21"/>
      <c r="AJ21"/>
      <c r="AK21"/>
      <c r="AL21"/>
      <c r="AM21"/>
      <c r="AN21"/>
      <c r="AO21"/>
      <c r="AP21"/>
    </row>
    <row r="22" spans="2:42" ht="15.75">
      <c r="B22" s="616" t="s">
        <v>314</v>
      </c>
      <c r="C22" s="615"/>
      <c r="D22" s="615"/>
      <c r="E22" s="615"/>
      <c r="F22" s="615">
        <v>0.50555899999999998</v>
      </c>
      <c r="G22" s="615"/>
      <c r="H22" s="615"/>
      <c r="I22" s="615">
        <v>1.942977</v>
      </c>
      <c r="J22" s="615">
        <v>1.6479999999999999</v>
      </c>
      <c r="K22" s="615"/>
      <c r="L22" s="615"/>
      <c r="M22" s="615">
        <v>1.8652999999999999E-2</v>
      </c>
      <c r="N22" s="615"/>
      <c r="O22" s="615">
        <v>5.4610000000000003</v>
      </c>
      <c r="P22" s="615"/>
      <c r="Q22" s="615"/>
      <c r="R22" s="615"/>
      <c r="S22" s="615"/>
      <c r="T22" s="615"/>
      <c r="U22" s="615"/>
      <c r="V22" s="619">
        <v>9.5761889999999994</v>
      </c>
      <c r="W22"/>
      <c r="X22"/>
      <c r="Y22"/>
      <c r="Z22"/>
      <c r="AA22"/>
      <c r="AB22"/>
      <c r="AC22"/>
      <c r="AD22"/>
      <c r="AE22"/>
      <c r="AF22"/>
      <c r="AG22"/>
      <c r="AH22"/>
      <c r="AI22"/>
      <c r="AJ22"/>
      <c r="AK22"/>
      <c r="AL22"/>
      <c r="AM22"/>
      <c r="AN22"/>
      <c r="AO22"/>
      <c r="AP22"/>
    </row>
    <row r="23" spans="2:42" ht="15.75">
      <c r="B23" s="616" t="s">
        <v>332</v>
      </c>
      <c r="C23" s="615"/>
      <c r="D23" s="615">
        <v>0</v>
      </c>
      <c r="E23" s="615"/>
      <c r="F23" s="615">
        <v>5.1573520000000004</v>
      </c>
      <c r="G23" s="615"/>
      <c r="H23" s="615"/>
      <c r="I23" s="615">
        <v>1.29373</v>
      </c>
      <c r="J23" s="615">
        <v>10.295999999999999</v>
      </c>
      <c r="K23" s="615"/>
      <c r="L23" s="615"/>
      <c r="M23" s="615">
        <v>0.40593800000000002</v>
      </c>
      <c r="N23" s="615"/>
      <c r="O23" s="615">
        <v>32.664000000000001</v>
      </c>
      <c r="P23" s="615"/>
      <c r="Q23" s="615"/>
      <c r="R23" s="615"/>
      <c r="S23" s="615"/>
      <c r="T23" s="615"/>
      <c r="U23" s="615"/>
      <c r="V23" s="619">
        <v>49.817019999999999</v>
      </c>
      <c r="W23"/>
      <c r="X23"/>
      <c r="Y23"/>
      <c r="Z23"/>
      <c r="AA23"/>
      <c r="AB23"/>
      <c r="AC23"/>
      <c r="AD23"/>
      <c r="AE23"/>
      <c r="AF23"/>
      <c r="AG23"/>
      <c r="AH23"/>
      <c r="AI23"/>
      <c r="AJ23"/>
      <c r="AK23"/>
      <c r="AL23"/>
      <c r="AM23"/>
      <c r="AN23"/>
      <c r="AO23"/>
      <c r="AP23"/>
    </row>
    <row r="24" spans="2:42" ht="15.75">
      <c r="B24" s="616" t="s">
        <v>331</v>
      </c>
      <c r="C24" s="615"/>
      <c r="D24" s="615"/>
      <c r="E24" s="615"/>
      <c r="F24" s="615">
        <v>2.3273769999999998</v>
      </c>
      <c r="G24" s="615"/>
      <c r="H24" s="615">
        <v>6.2199999999999998E-3</v>
      </c>
      <c r="I24" s="615">
        <v>0.152535</v>
      </c>
      <c r="J24" s="615">
        <v>4.1779999999999999</v>
      </c>
      <c r="K24" s="615"/>
      <c r="L24" s="615"/>
      <c r="M24" s="615">
        <v>0.14721300000000001</v>
      </c>
      <c r="N24" s="615"/>
      <c r="O24" s="615">
        <v>48.554000000000002</v>
      </c>
      <c r="P24" s="615"/>
      <c r="Q24" s="615"/>
      <c r="R24" s="615"/>
      <c r="S24" s="615"/>
      <c r="T24" s="615"/>
      <c r="U24" s="615"/>
      <c r="V24" s="619">
        <v>55.365345000000005</v>
      </c>
      <c r="W24"/>
      <c r="X24"/>
      <c r="Y24"/>
      <c r="Z24"/>
      <c r="AA24"/>
      <c r="AB24"/>
      <c r="AC24"/>
      <c r="AD24"/>
      <c r="AE24"/>
      <c r="AF24"/>
      <c r="AG24"/>
      <c r="AH24"/>
      <c r="AI24"/>
      <c r="AJ24"/>
      <c r="AK24"/>
      <c r="AL24"/>
      <c r="AM24"/>
      <c r="AN24"/>
      <c r="AO24"/>
      <c r="AP24"/>
    </row>
    <row r="25" spans="2:42" ht="15.75">
      <c r="B25" s="616" t="s">
        <v>338</v>
      </c>
      <c r="C25" s="615"/>
      <c r="D25" s="615"/>
      <c r="E25" s="615"/>
      <c r="F25" s="615">
        <v>2.9323039999999998</v>
      </c>
      <c r="G25" s="615">
        <v>65.126006000000004</v>
      </c>
      <c r="H25" s="615">
        <v>2.2635710000000002</v>
      </c>
      <c r="I25" s="615">
        <v>0.88261100000000003</v>
      </c>
      <c r="J25" s="615">
        <v>21.582000000000001</v>
      </c>
      <c r="K25" s="615"/>
      <c r="L25" s="615"/>
      <c r="M25" s="615">
        <v>6.2030000000000002E-3</v>
      </c>
      <c r="N25" s="615"/>
      <c r="O25" s="615">
        <v>115.285</v>
      </c>
      <c r="P25" s="615"/>
      <c r="Q25" s="615"/>
      <c r="R25" s="615"/>
      <c r="S25" s="615"/>
      <c r="T25" s="615"/>
      <c r="U25" s="615">
        <v>0</v>
      </c>
      <c r="V25" s="619">
        <v>208.07769500000001</v>
      </c>
      <c r="W25"/>
      <c r="X25"/>
      <c r="Y25"/>
      <c r="Z25"/>
      <c r="AA25"/>
      <c r="AB25"/>
      <c r="AC25"/>
      <c r="AD25"/>
      <c r="AE25"/>
      <c r="AF25"/>
      <c r="AG25"/>
      <c r="AH25"/>
      <c r="AI25"/>
      <c r="AJ25"/>
      <c r="AK25"/>
      <c r="AL25"/>
      <c r="AM25"/>
      <c r="AN25"/>
      <c r="AO25"/>
      <c r="AP25"/>
    </row>
    <row r="26" spans="2:42" ht="15.75">
      <c r="B26" s="616" t="s">
        <v>334</v>
      </c>
      <c r="C26" s="615"/>
      <c r="D26" s="615"/>
      <c r="E26" s="615"/>
      <c r="F26" s="615">
        <v>3.3719830000000002</v>
      </c>
      <c r="G26" s="615"/>
      <c r="H26" s="615">
        <v>1.9029609999999999</v>
      </c>
      <c r="I26" s="615">
        <v>4.1992229999999999</v>
      </c>
      <c r="J26" s="615">
        <v>17.125</v>
      </c>
      <c r="K26" s="615"/>
      <c r="L26" s="615"/>
      <c r="M26" s="615">
        <v>0.83927700000000005</v>
      </c>
      <c r="N26" s="615"/>
      <c r="O26" s="615">
        <v>66.287999999999997</v>
      </c>
      <c r="P26" s="615"/>
      <c r="Q26" s="615"/>
      <c r="R26" s="615"/>
      <c r="S26" s="615"/>
      <c r="T26" s="615"/>
      <c r="U26" s="615"/>
      <c r="V26" s="619">
        <v>93.726444000000001</v>
      </c>
      <c r="W26"/>
      <c r="X26"/>
      <c r="Y26"/>
      <c r="Z26"/>
      <c r="AA26"/>
      <c r="AB26"/>
      <c r="AC26"/>
      <c r="AD26"/>
      <c r="AE26"/>
      <c r="AF26"/>
      <c r="AG26"/>
      <c r="AH26"/>
      <c r="AI26"/>
      <c r="AJ26"/>
      <c r="AK26"/>
      <c r="AL26"/>
      <c r="AM26"/>
      <c r="AN26"/>
      <c r="AO26"/>
      <c r="AP26"/>
    </row>
    <row r="27" spans="2:42" ht="15.75">
      <c r="B27" s="616" t="s">
        <v>333</v>
      </c>
      <c r="C27" s="615"/>
      <c r="D27" s="615"/>
      <c r="E27" s="615"/>
      <c r="F27" s="615">
        <v>2.2258830000000001</v>
      </c>
      <c r="G27" s="615">
        <v>0</v>
      </c>
      <c r="H27" s="615">
        <v>0</v>
      </c>
      <c r="I27" s="615">
        <v>4.3686129999999999</v>
      </c>
      <c r="J27" s="615">
        <v>36.293999999999997</v>
      </c>
      <c r="K27" s="615"/>
      <c r="L27" s="615"/>
      <c r="M27" s="615">
        <v>9.3198019999999993</v>
      </c>
      <c r="N27" s="615"/>
      <c r="O27" s="615">
        <v>9.2739999999999991</v>
      </c>
      <c r="P27" s="615"/>
      <c r="Q27" s="615"/>
      <c r="R27" s="615"/>
      <c r="S27" s="615"/>
      <c r="T27" s="615"/>
      <c r="U27" s="615"/>
      <c r="V27" s="619">
        <v>61.482298</v>
      </c>
      <c r="W27"/>
      <c r="X27"/>
      <c r="Y27"/>
      <c r="Z27"/>
      <c r="AA27"/>
      <c r="AB27"/>
      <c r="AC27"/>
      <c r="AD27"/>
      <c r="AE27"/>
      <c r="AF27"/>
      <c r="AG27"/>
      <c r="AH27"/>
      <c r="AI27"/>
      <c r="AJ27"/>
      <c r="AK27"/>
      <c r="AL27"/>
      <c r="AM27"/>
      <c r="AN27"/>
      <c r="AO27"/>
      <c r="AP27"/>
    </row>
    <row r="28" spans="2:42" ht="15.75">
      <c r="B28" s="616" t="s">
        <v>329</v>
      </c>
      <c r="C28" s="615"/>
      <c r="D28" s="615">
        <v>4.2556149999999988</v>
      </c>
      <c r="E28" s="615">
        <v>94.208432999999999</v>
      </c>
      <c r="F28" s="615">
        <v>1.0112719999999999</v>
      </c>
      <c r="G28" s="615"/>
      <c r="H28" s="615">
        <v>5.9778859999999998</v>
      </c>
      <c r="I28" s="615">
        <v>35.364891</v>
      </c>
      <c r="J28" s="615">
        <v>376.97500000000002</v>
      </c>
      <c r="K28" s="615"/>
      <c r="L28" s="615">
        <v>0.38100000000000001</v>
      </c>
      <c r="M28" s="615">
        <v>30.583707</v>
      </c>
      <c r="N28" s="615"/>
      <c r="O28" s="615">
        <v>178.715</v>
      </c>
      <c r="P28" s="615">
        <v>0.85200500000000001</v>
      </c>
      <c r="Q28" s="615"/>
      <c r="R28" s="615"/>
      <c r="S28" s="615"/>
      <c r="T28" s="615"/>
      <c r="U28" s="615">
        <v>0</v>
      </c>
      <c r="V28" s="619">
        <v>728.32480899999996</v>
      </c>
      <c r="W28"/>
      <c r="X28"/>
      <c r="Y28"/>
      <c r="Z28"/>
      <c r="AA28"/>
      <c r="AB28"/>
      <c r="AC28"/>
      <c r="AD28"/>
      <c r="AE28"/>
      <c r="AF28"/>
      <c r="AG28"/>
      <c r="AH28"/>
      <c r="AI28"/>
      <c r="AJ28"/>
      <c r="AK28"/>
      <c r="AL28"/>
      <c r="AM28"/>
      <c r="AN28"/>
      <c r="AO28"/>
      <c r="AP28"/>
    </row>
    <row r="29" spans="2:42" ht="15.75">
      <c r="B29" s="616" t="s">
        <v>286</v>
      </c>
      <c r="C29" s="615"/>
      <c r="D29" s="615"/>
      <c r="E29" s="615"/>
      <c r="F29" s="615">
        <v>9.5646999999999996E-2</v>
      </c>
      <c r="G29" s="615"/>
      <c r="H29" s="615"/>
      <c r="I29" s="615">
        <v>0.43508999999999998</v>
      </c>
      <c r="J29" s="615">
        <v>5.117</v>
      </c>
      <c r="K29" s="615"/>
      <c r="L29" s="615"/>
      <c r="M29" s="615"/>
      <c r="N29" s="615"/>
      <c r="O29" s="615">
        <v>110.779</v>
      </c>
      <c r="P29" s="615">
        <v>0</v>
      </c>
      <c r="Q29" s="615"/>
      <c r="R29" s="615"/>
      <c r="S29" s="615"/>
      <c r="T29" s="615"/>
      <c r="U29" s="615"/>
      <c r="V29" s="619">
        <v>116.426737</v>
      </c>
      <c r="W29"/>
      <c r="X29"/>
      <c r="Y29"/>
      <c r="Z29"/>
      <c r="AA29"/>
      <c r="AB29"/>
      <c r="AC29"/>
      <c r="AD29"/>
      <c r="AE29"/>
      <c r="AF29"/>
      <c r="AG29"/>
      <c r="AH29"/>
      <c r="AI29"/>
      <c r="AJ29"/>
      <c r="AK29"/>
      <c r="AL29"/>
      <c r="AM29"/>
      <c r="AN29"/>
      <c r="AO29"/>
      <c r="AP29"/>
    </row>
    <row r="30" spans="2:42" ht="15.75">
      <c r="B30" s="614" t="s">
        <v>299</v>
      </c>
      <c r="C30" s="615"/>
      <c r="D30" s="615"/>
      <c r="E30" s="615"/>
      <c r="F30" s="615"/>
      <c r="G30" s="615"/>
      <c r="H30" s="615"/>
      <c r="I30" s="615">
        <v>4.3962430000000001</v>
      </c>
      <c r="J30" s="615">
        <v>274.64700000000005</v>
      </c>
      <c r="K30" s="615"/>
      <c r="L30" s="615">
        <v>6.8549999999999995</v>
      </c>
      <c r="M30" s="615">
        <v>321.98876200000001</v>
      </c>
      <c r="N30" s="615"/>
      <c r="O30" s="615">
        <v>44.9</v>
      </c>
      <c r="P30" s="615"/>
      <c r="Q30" s="615"/>
      <c r="R30" s="615"/>
      <c r="S30" s="615">
        <v>255.42239699999999</v>
      </c>
      <c r="T30" s="615"/>
      <c r="U30" s="615">
        <v>1.351008</v>
      </c>
      <c r="V30" s="619">
        <v>909.56041000000005</v>
      </c>
      <c r="W30"/>
      <c r="X30"/>
      <c r="Y30"/>
      <c r="Z30"/>
      <c r="AA30"/>
      <c r="AB30"/>
      <c r="AC30"/>
      <c r="AD30"/>
      <c r="AE30"/>
      <c r="AF30"/>
      <c r="AG30"/>
      <c r="AH30"/>
      <c r="AI30"/>
      <c r="AJ30"/>
      <c r="AK30"/>
      <c r="AL30"/>
      <c r="AM30"/>
      <c r="AN30"/>
      <c r="AO30"/>
      <c r="AP30"/>
    </row>
    <row r="31" spans="2:42" ht="15.75">
      <c r="B31" s="616" t="s">
        <v>298</v>
      </c>
      <c r="C31" s="615"/>
      <c r="D31" s="615"/>
      <c r="E31" s="615"/>
      <c r="F31" s="615"/>
      <c r="G31" s="615"/>
      <c r="H31" s="615"/>
      <c r="I31" s="615">
        <v>4.3962430000000001</v>
      </c>
      <c r="J31" s="615">
        <v>50.081000000000003</v>
      </c>
      <c r="K31" s="615"/>
      <c r="L31" s="615">
        <v>2.819</v>
      </c>
      <c r="M31" s="615">
        <v>65.030894000000004</v>
      </c>
      <c r="N31" s="615"/>
      <c r="O31" s="615">
        <v>11.097</v>
      </c>
      <c r="P31" s="615"/>
      <c r="Q31" s="615"/>
      <c r="R31" s="615"/>
      <c r="S31" s="615"/>
      <c r="T31" s="615"/>
      <c r="U31" s="615"/>
      <c r="V31" s="615">
        <v>133.424137</v>
      </c>
      <c r="W31"/>
      <c r="X31"/>
      <c r="Y31"/>
      <c r="Z31"/>
      <c r="AA31"/>
      <c r="AB31"/>
      <c r="AC31"/>
      <c r="AD31"/>
      <c r="AE31"/>
      <c r="AF31"/>
      <c r="AG31"/>
      <c r="AH31"/>
      <c r="AI31"/>
      <c r="AJ31"/>
      <c r="AK31"/>
      <c r="AL31"/>
      <c r="AM31"/>
      <c r="AN31"/>
      <c r="AO31"/>
      <c r="AP31"/>
    </row>
    <row r="32" spans="2:42" ht="15.75">
      <c r="B32" s="616" t="s">
        <v>297</v>
      </c>
      <c r="C32" s="615"/>
      <c r="D32" s="615"/>
      <c r="E32" s="615"/>
      <c r="F32" s="615"/>
      <c r="G32" s="615"/>
      <c r="H32" s="615"/>
      <c r="I32" s="615"/>
      <c r="J32" s="615">
        <v>33.427</v>
      </c>
      <c r="K32" s="615"/>
      <c r="L32" s="615"/>
      <c r="M32" s="615"/>
      <c r="N32" s="615"/>
      <c r="O32" s="615"/>
      <c r="P32" s="615"/>
      <c r="Q32" s="615"/>
      <c r="R32" s="615"/>
      <c r="S32" s="615"/>
      <c r="T32" s="615"/>
      <c r="U32" s="615"/>
      <c r="V32" s="615">
        <v>33.427</v>
      </c>
      <c r="W32"/>
      <c r="X32"/>
      <c r="Y32"/>
      <c r="Z32"/>
      <c r="AA32"/>
      <c r="AB32"/>
      <c r="AC32"/>
      <c r="AD32"/>
      <c r="AE32"/>
      <c r="AF32"/>
      <c r="AG32"/>
      <c r="AH32"/>
      <c r="AI32"/>
      <c r="AJ32"/>
      <c r="AK32"/>
      <c r="AL32"/>
      <c r="AM32"/>
      <c r="AN32"/>
      <c r="AO32"/>
      <c r="AP32"/>
    </row>
    <row r="33" spans="2:42" ht="15.75">
      <c r="B33" s="616" t="s">
        <v>281</v>
      </c>
      <c r="C33" s="615"/>
      <c r="D33" s="615"/>
      <c r="E33" s="615"/>
      <c r="F33" s="615"/>
      <c r="G33" s="615"/>
      <c r="H33" s="615"/>
      <c r="I33" s="615"/>
      <c r="J33" s="615">
        <v>191.13900000000001</v>
      </c>
      <c r="K33" s="615"/>
      <c r="L33" s="615">
        <v>4.0359999999999996</v>
      </c>
      <c r="M33" s="615">
        <v>256.95786800000002</v>
      </c>
      <c r="N33" s="615"/>
      <c r="O33" s="615">
        <v>33.802999999999997</v>
      </c>
      <c r="P33" s="615"/>
      <c r="Q33" s="615"/>
      <c r="R33" s="615"/>
      <c r="S33" s="615">
        <v>255.42239699999999</v>
      </c>
      <c r="T33" s="615"/>
      <c r="U33" s="615">
        <v>1.351008</v>
      </c>
      <c r="V33" s="615">
        <v>742.70927300000005</v>
      </c>
      <c r="W33"/>
      <c r="X33"/>
      <c r="Y33"/>
      <c r="Z33"/>
      <c r="AA33"/>
      <c r="AB33"/>
      <c r="AC33"/>
      <c r="AD33"/>
      <c r="AE33"/>
      <c r="AF33"/>
      <c r="AG33"/>
      <c r="AH33"/>
      <c r="AI33"/>
      <c r="AJ33"/>
      <c r="AK33"/>
      <c r="AL33"/>
      <c r="AM33"/>
      <c r="AN33"/>
      <c r="AO33"/>
      <c r="AP33"/>
    </row>
    <row r="34" spans="2:42" ht="15.75">
      <c r="B34" s="614" t="s">
        <v>303</v>
      </c>
      <c r="C34" s="615">
        <v>0</v>
      </c>
      <c r="D34" s="615"/>
      <c r="E34" s="615">
        <v>338.40859099999994</v>
      </c>
      <c r="F34" s="615">
        <v>408.60652299999998</v>
      </c>
      <c r="G34" s="615"/>
      <c r="H34" s="615"/>
      <c r="I34" s="615">
        <v>24.049492999999998</v>
      </c>
      <c r="J34" s="615"/>
      <c r="K34" s="615">
        <v>6.5296000000000003</v>
      </c>
      <c r="L34" s="615">
        <v>4.7E-2</v>
      </c>
      <c r="M34" s="615"/>
      <c r="N34" s="615"/>
      <c r="O34" s="615">
        <v>1137.5430000000001</v>
      </c>
      <c r="P34" s="615"/>
      <c r="Q34" s="615">
        <v>131.31599900000001</v>
      </c>
      <c r="R34" s="615">
        <v>98.798878999999999</v>
      </c>
      <c r="S34" s="615"/>
      <c r="T34" s="615">
        <v>122.597565</v>
      </c>
      <c r="U34" s="615"/>
      <c r="V34" s="615">
        <v>2267.8966499999997</v>
      </c>
      <c r="W34"/>
      <c r="X34"/>
      <c r="Y34"/>
      <c r="Z34"/>
      <c r="AA34"/>
      <c r="AB34"/>
      <c r="AC34"/>
      <c r="AD34"/>
      <c r="AE34"/>
      <c r="AF34"/>
      <c r="AG34"/>
      <c r="AH34"/>
      <c r="AI34"/>
      <c r="AJ34"/>
      <c r="AK34"/>
      <c r="AL34"/>
      <c r="AM34"/>
      <c r="AN34"/>
      <c r="AO34"/>
      <c r="AP34"/>
    </row>
    <row r="35" spans="2:42" ht="15.75">
      <c r="B35" s="616" t="s">
        <v>325</v>
      </c>
      <c r="C35" s="615"/>
      <c r="D35" s="615"/>
      <c r="E35" s="615">
        <v>298.21721077909376</v>
      </c>
      <c r="F35" s="615"/>
      <c r="G35" s="615"/>
      <c r="H35" s="615"/>
      <c r="I35" s="615"/>
      <c r="J35" s="615"/>
      <c r="K35" s="615"/>
      <c r="L35" s="615"/>
      <c r="M35" s="615"/>
      <c r="N35" s="615"/>
      <c r="O35" s="615"/>
      <c r="P35" s="615"/>
      <c r="Q35" s="615"/>
      <c r="R35" s="615"/>
      <c r="S35" s="615"/>
      <c r="T35" s="615"/>
      <c r="U35" s="615"/>
      <c r="V35" s="615">
        <v>298.21721077909376</v>
      </c>
      <c r="W35"/>
      <c r="X35"/>
      <c r="Y35"/>
      <c r="Z35"/>
      <c r="AA35"/>
      <c r="AB35"/>
      <c r="AC35"/>
      <c r="AD35"/>
      <c r="AE35"/>
      <c r="AF35"/>
      <c r="AG35"/>
      <c r="AH35"/>
      <c r="AI35"/>
      <c r="AJ35"/>
      <c r="AK35"/>
      <c r="AL35"/>
      <c r="AM35"/>
      <c r="AN35"/>
      <c r="AO35"/>
      <c r="AP35"/>
    </row>
    <row r="36" spans="2:42" ht="15.75">
      <c r="B36" s="616" t="s">
        <v>324</v>
      </c>
      <c r="C36" s="615"/>
      <c r="D36" s="615"/>
      <c r="E36" s="615"/>
      <c r="F36" s="615"/>
      <c r="G36" s="615"/>
      <c r="H36" s="615"/>
      <c r="I36" s="615"/>
      <c r="J36" s="615"/>
      <c r="K36" s="615"/>
      <c r="L36" s="615"/>
      <c r="M36" s="615"/>
      <c r="N36" s="615"/>
      <c r="O36" s="615">
        <v>1051.4445238765484</v>
      </c>
      <c r="P36" s="615"/>
      <c r="Q36" s="615"/>
      <c r="R36" s="615"/>
      <c r="S36" s="615"/>
      <c r="T36" s="615"/>
      <c r="U36" s="615"/>
      <c r="V36" s="615">
        <v>1051.4445238765484</v>
      </c>
      <c r="W36"/>
      <c r="X36"/>
      <c r="Y36"/>
      <c r="Z36"/>
      <c r="AA36"/>
      <c r="AB36"/>
      <c r="AC36"/>
      <c r="AD36"/>
      <c r="AE36"/>
      <c r="AF36"/>
      <c r="AG36"/>
      <c r="AH36"/>
      <c r="AI36"/>
      <c r="AJ36"/>
      <c r="AK36"/>
      <c r="AL36"/>
      <c r="AM36"/>
      <c r="AN36"/>
      <c r="AO36"/>
      <c r="AP36"/>
    </row>
    <row r="37" spans="2:42" ht="15.75">
      <c r="B37" s="616" t="s">
        <v>323</v>
      </c>
      <c r="C37" s="615"/>
      <c r="D37" s="615"/>
      <c r="E37" s="615"/>
      <c r="F37" s="615"/>
      <c r="G37" s="615"/>
      <c r="H37" s="615"/>
      <c r="I37" s="615"/>
      <c r="J37" s="615"/>
      <c r="K37" s="615"/>
      <c r="L37" s="615"/>
      <c r="M37" s="615"/>
      <c r="N37" s="615"/>
      <c r="O37" s="615">
        <v>16.284303395455634</v>
      </c>
      <c r="P37" s="615"/>
      <c r="Q37" s="615"/>
      <c r="R37" s="615"/>
      <c r="S37" s="615"/>
      <c r="T37" s="615"/>
      <c r="U37" s="615"/>
      <c r="V37" s="615">
        <v>16.284303395455634</v>
      </c>
      <c r="W37"/>
      <c r="X37"/>
      <c r="Y37"/>
      <c r="Z37"/>
      <c r="AA37"/>
      <c r="AB37"/>
      <c r="AC37"/>
      <c r="AD37"/>
      <c r="AE37"/>
      <c r="AF37"/>
      <c r="AG37"/>
      <c r="AH37"/>
      <c r="AI37"/>
      <c r="AJ37"/>
      <c r="AK37"/>
      <c r="AL37"/>
      <c r="AM37"/>
      <c r="AN37"/>
      <c r="AO37"/>
      <c r="AP37"/>
    </row>
    <row r="38" spans="2:42" ht="15.75">
      <c r="B38" s="616" t="s">
        <v>322</v>
      </c>
      <c r="C38" s="615"/>
      <c r="D38" s="615"/>
      <c r="E38" s="615"/>
      <c r="F38" s="615">
        <v>408.48248020040592</v>
      </c>
      <c r="G38" s="615"/>
      <c r="H38" s="615"/>
      <c r="I38" s="615"/>
      <c r="J38" s="615"/>
      <c r="K38" s="615"/>
      <c r="L38" s="615"/>
      <c r="M38" s="615"/>
      <c r="N38" s="615"/>
      <c r="O38" s="615"/>
      <c r="P38" s="615"/>
      <c r="Q38" s="615"/>
      <c r="R38" s="615"/>
      <c r="S38" s="615"/>
      <c r="T38" s="615"/>
      <c r="U38" s="615"/>
      <c r="V38" s="615">
        <v>408.48248020040592</v>
      </c>
      <c r="W38"/>
      <c r="X38"/>
      <c r="Y38"/>
      <c r="Z38"/>
      <c r="AA38"/>
      <c r="AB38"/>
      <c r="AC38"/>
      <c r="AD38"/>
      <c r="AE38"/>
      <c r="AF38"/>
      <c r="AG38"/>
      <c r="AH38"/>
      <c r="AI38"/>
      <c r="AJ38"/>
      <c r="AK38"/>
      <c r="AL38"/>
      <c r="AM38"/>
      <c r="AN38"/>
      <c r="AO38"/>
      <c r="AP38"/>
    </row>
    <row r="39" spans="2:42" ht="15.75">
      <c r="B39" s="616" t="s">
        <v>320</v>
      </c>
      <c r="C39" s="615">
        <v>0</v>
      </c>
      <c r="D39" s="615"/>
      <c r="E39" s="615"/>
      <c r="F39" s="615"/>
      <c r="G39" s="615"/>
      <c r="H39" s="615"/>
      <c r="I39" s="615"/>
      <c r="J39" s="615"/>
      <c r="K39" s="615"/>
      <c r="L39" s="615"/>
      <c r="M39" s="615"/>
      <c r="N39" s="615"/>
      <c r="O39" s="615"/>
      <c r="P39" s="615"/>
      <c r="Q39" s="615"/>
      <c r="R39" s="615"/>
      <c r="S39" s="615"/>
      <c r="T39" s="615"/>
      <c r="U39" s="615"/>
      <c r="V39" s="615">
        <v>0</v>
      </c>
      <c r="W39"/>
      <c r="X39"/>
      <c r="Y39"/>
      <c r="Z39"/>
      <c r="AA39"/>
      <c r="AB39"/>
      <c r="AC39"/>
      <c r="AD39"/>
      <c r="AE39"/>
      <c r="AF39"/>
      <c r="AG39"/>
      <c r="AH39"/>
      <c r="AI39"/>
      <c r="AJ39"/>
      <c r="AK39"/>
      <c r="AL39"/>
      <c r="AM39"/>
      <c r="AN39"/>
      <c r="AO39"/>
      <c r="AP39"/>
    </row>
    <row r="40" spans="2:42" ht="15.75">
      <c r="B40" s="616" t="s">
        <v>319</v>
      </c>
      <c r="C40" s="615"/>
      <c r="D40" s="615"/>
      <c r="E40" s="615"/>
      <c r="F40" s="615">
        <v>0.12404279959408351</v>
      </c>
      <c r="G40" s="615"/>
      <c r="H40" s="615"/>
      <c r="I40" s="615"/>
      <c r="J40" s="615"/>
      <c r="K40" s="615"/>
      <c r="L40" s="615"/>
      <c r="M40" s="615"/>
      <c r="N40" s="615"/>
      <c r="O40" s="615"/>
      <c r="P40" s="615"/>
      <c r="Q40" s="615"/>
      <c r="R40" s="615"/>
      <c r="S40" s="615"/>
      <c r="T40" s="615"/>
      <c r="U40" s="615"/>
      <c r="V40" s="615">
        <v>0.12404279959408351</v>
      </c>
      <c r="W40"/>
      <c r="X40"/>
      <c r="Y40"/>
      <c r="Z40"/>
      <c r="AA40"/>
      <c r="AB40"/>
      <c r="AC40"/>
      <c r="AD40"/>
      <c r="AE40"/>
      <c r="AF40"/>
      <c r="AG40"/>
      <c r="AH40"/>
      <c r="AI40"/>
      <c r="AJ40"/>
      <c r="AK40"/>
      <c r="AL40"/>
      <c r="AM40"/>
      <c r="AN40"/>
      <c r="AO40"/>
      <c r="AP40"/>
    </row>
    <row r="41" spans="2:42" ht="15.75">
      <c r="B41" s="616" t="s">
        <v>318</v>
      </c>
      <c r="C41" s="615"/>
      <c r="D41" s="615"/>
      <c r="E41" s="615"/>
      <c r="F41" s="615"/>
      <c r="G41" s="615"/>
      <c r="H41" s="615"/>
      <c r="I41" s="615"/>
      <c r="J41" s="615"/>
      <c r="K41" s="615">
        <v>6.5296000000000003</v>
      </c>
      <c r="L41" s="615"/>
      <c r="M41" s="615"/>
      <c r="N41" s="615"/>
      <c r="O41" s="615"/>
      <c r="P41" s="615"/>
      <c r="Q41" s="615"/>
      <c r="R41" s="615"/>
      <c r="S41" s="615"/>
      <c r="T41" s="615"/>
      <c r="U41" s="615"/>
      <c r="V41" s="615">
        <v>6.5296000000000003</v>
      </c>
      <c r="W41"/>
      <c r="X41"/>
      <c r="Y41"/>
      <c r="Z41"/>
      <c r="AA41"/>
      <c r="AB41"/>
      <c r="AC41"/>
      <c r="AD41"/>
      <c r="AE41"/>
      <c r="AF41"/>
      <c r="AG41"/>
      <c r="AH41"/>
      <c r="AI41"/>
      <c r="AJ41"/>
      <c r="AK41"/>
      <c r="AL41"/>
      <c r="AM41"/>
      <c r="AN41"/>
      <c r="AO41"/>
      <c r="AP41"/>
    </row>
    <row r="42" spans="2:42" ht="15.75">
      <c r="B42" s="616" t="s">
        <v>317</v>
      </c>
      <c r="C42" s="615">
        <v>0</v>
      </c>
      <c r="D42" s="615"/>
      <c r="E42" s="615"/>
      <c r="F42" s="615"/>
      <c r="G42" s="615"/>
      <c r="H42" s="615"/>
      <c r="I42" s="615"/>
      <c r="J42" s="615"/>
      <c r="K42" s="615"/>
      <c r="L42" s="615"/>
      <c r="M42" s="615"/>
      <c r="N42" s="615"/>
      <c r="O42" s="615"/>
      <c r="P42" s="615"/>
      <c r="Q42" s="615"/>
      <c r="R42" s="615"/>
      <c r="S42" s="615"/>
      <c r="T42" s="615"/>
      <c r="U42" s="615"/>
      <c r="V42" s="615">
        <v>0</v>
      </c>
      <c r="W42"/>
      <c r="X42"/>
      <c r="Y42"/>
      <c r="Z42"/>
      <c r="AA42"/>
      <c r="AB42"/>
      <c r="AC42"/>
      <c r="AD42"/>
      <c r="AE42"/>
      <c r="AF42"/>
      <c r="AG42"/>
      <c r="AH42"/>
      <c r="AI42"/>
      <c r="AJ42"/>
      <c r="AK42"/>
      <c r="AL42"/>
      <c r="AM42"/>
      <c r="AN42"/>
      <c r="AO42"/>
      <c r="AP42"/>
    </row>
    <row r="43" spans="2:42" ht="15.75">
      <c r="B43" s="616" t="s">
        <v>316</v>
      </c>
      <c r="C43" s="615">
        <v>0</v>
      </c>
      <c r="D43" s="615"/>
      <c r="E43" s="615"/>
      <c r="F43" s="615"/>
      <c r="G43" s="615"/>
      <c r="H43" s="615"/>
      <c r="I43" s="615"/>
      <c r="J43" s="615"/>
      <c r="K43" s="615"/>
      <c r="L43" s="615"/>
      <c r="M43" s="615"/>
      <c r="N43" s="615"/>
      <c r="O43" s="615"/>
      <c r="P43" s="615"/>
      <c r="Q43" s="615"/>
      <c r="R43" s="615"/>
      <c r="S43" s="615"/>
      <c r="T43" s="615"/>
      <c r="U43" s="615"/>
      <c r="V43" s="615">
        <v>0</v>
      </c>
      <c r="W43"/>
      <c r="X43"/>
      <c r="Y43"/>
      <c r="Z43"/>
      <c r="AA43"/>
      <c r="AB43"/>
      <c r="AC43"/>
      <c r="AD43"/>
      <c r="AE43"/>
      <c r="AF43"/>
      <c r="AG43"/>
      <c r="AH43"/>
      <c r="AI43"/>
      <c r="AJ43"/>
      <c r="AK43"/>
      <c r="AL43"/>
      <c r="AM43"/>
      <c r="AN43"/>
      <c r="AO43"/>
      <c r="AP43"/>
    </row>
    <row r="44" spans="2:42" ht="15.75">
      <c r="B44" s="616" t="s">
        <v>315</v>
      </c>
      <c r="C44" s="615"/>
      <c r="D44" s="615"/>
      <c r="E44" s="615"/>
      <c r="F44" s="615"/>
      <c r="G44" s="615"/>
      <c r="H44" s="615"/>
      <c r="I44" s="615"/>
      <c r="J44" s="615"/>
      <c r="K44" s="615"/>
      <c r="L44" s="615"/>
      <c r="M44" s="615"/>
      <c r="N44" s="615"/>
      <c r="O44" s="615"/>
      <c r="P44" s="615"/>
      <c r="Q44" s="615">
        <v>131.31599900000001</v>
      </c>
      <c r="R44" s="615"/>
      <c r="S44" s="615"/>
      <c r="T44" s="615"/>
      <c r="U44" s="615"/>
      <c r="V44" s="615">
        <v>131.31599900000001</v>
      </c>
      <c r="W44"/>
      <c r="X44"/>
      <c r="Y44"/>
      <c r="Z44"/>
      <c r="AA44"/>
      <c r="AB44"/>
      <c r="AC44"/>
      <c r="AD44"/>
      <c r="AE44"/>
      <c r="AF44"/>
      <c r="AG44"/>
      <c r="AH44"/>
      <c r="AI44"/>
      <c r="AJ44"/>
      <c r="AK44"/>
      <c r="AL44"/>
      <c r="AM44"/>
      <c r="AN44"/>
      <c r="AO44"/>
      <c r="AP44"/>
    </row>
    <row r="45" spans="2:42" ht="15.75">
      <c r="B45" s="616" t="s">
        <v>313</v>
      </c>
      <c r="C45" s="615"/>
      <c r="D45" s="615"/>
      <c r="E45" s="615"/>
      <c r="F45" s="615"/>
      <c r="G45" s="615"/>
      <c r="H45" s="615"/>
      <c r="I45" s="615"/>
      <c r="J45" s="615"/>
      <c r="K45" s="615"/>
      <c r="L45" s="615"/>
      <c r="M45" s="615"/>
      <c r="N45" s="615"/>
      <c r="O45" s="615"/>
      <c r="P45" s="615"/>
      <c r="Q45" s="615"/>
      <c r="R45" s="615">
        <v>98.798878999999999</v>
      </c>
      <c r="S45" s="615"/>
      <c r="T45" s="615"/>
      <c r="U45" s="615"/>
      <c r="V45" s="615">
        <v>98.798878999999999</v>
      </c>
      <c r="W45"/>
      <c r="X45"/>
      <c r="Y45"/>
      <c r="Z45"/>
      <c r="AA45"/>
      <c r="AB45"/>
      <c r="AC45"/>
      <c r="AD45"/>
      <c r="AE45"/>
      <c r="AF45"/>
      <c r="AG45"/>
      <c r="AH45"/>
      <c r="AI45"/>
      <c r="AJ45"/>
      <c r="AK45"/>
      <c r="AL45"/>
      <c r="AM45"/>
      <c r="AN45"/>
      <c r="AO45"/>
      <c r="AP45"/>
    </row>
    <row r="46" spans="2:42" ht="15.75">
      <c r="B46" s="616" t="s">
        <v>312</v>
      </c>
      <c r="C46" s="615"/>
      <c r="D46" s="615"/>
      <c r="E46" s="615">
        <v>40.19138022090619</v>
      </c>
      <c r="F46" s="615"/>
      <c r="G46" s="615"/>
      <c r="H46" s="615"/>
      <c r="I46" s="615"/>
      <c r="J46" s="615"/>
      <c r="K46" s="615"/>
      <c r="L46" s="615"/>
      <c r="M46" s="615"/>
      <c r="N46" s="615"/>
      <c r="O46" s="615"/>
      <c r="P46" s="615"/>
      <c r="Q46" s="615"/>
      <c r="R46" s="615"/>
      <c r="S46" s="615"/>
      <c r="T46" s="615"/>
      <c r="U46" s="615"/>
      <c r="V46" s="615">
        <v>40.19138022090619</v>
      </c>
      <c r="W46"/>
      <c r="X46"/>
      <c r="Y46"/>
      <c r="Z46"/>
      <c r="AA46"/>
      <c r="AB46"/>
      <c r="AC46"/>
      <c r="AD46"/>
      <c r="AE46"/>
      <c r="AF46"/>
      <c r="AG46"/>
      <c r="AH46"/>
      <c r="AI46"/>
      <c r="AJ46"/>
      <c r="AK46"/>
      <c r="AL46"/>
      <c r="AM46"/>
      <c r="AN46"/>
      <c r="AO46"/>
      <c r="AP46"/>
    </row>
    <row r="47" spans="2:42" ht="15.75">
      <c r="B47" s="616" t="s">
        <v>311</v>
      </c>
      <c r="C47" s="615"/>
      <c r="D47" s="615"/>
      <c r="E47" s="615"/>
      <c r="F47" s="615"/>
      <c r="G47" s="615"/>
      <c r="H47" s="615"/>
      <c r="I47" s="615"/>
      <c r="J47" s="615"/>
      <c r="K47" s="615"/>
      <c r="L47" s="615"/>
      <c r="M47" s="615"/>
      <c r="N47" s="615"/>
      <c r="O47" s="615"/>
      <c r="P47" s="615"/>
      <c r="Q47" s="615"/>
      <c r="R47" s="615"/>
      <c r="S47" s="615"/>
      <c r="T47" s="615">
        <v>122.597565</v>
      </c>
      <c r="U47" s="615"/>
      <c r="V47" s="615">
        <v>122.597565</v>
      </c>
      <c r="W47"/>
      <c r="X47"/>
      <c r="Y47"/>
      <c r="Z47"/>
      <c r="AA47"/>
      <c r="AB47"/>
      <c r="AC47"/>
      <c r="AD47"/>
      <c r="AE47"/>
      <c r="AF47"/>
      <c r="AG47"/>
      <c r="AH47"/>
      <c r="AI47"/>
      <c r="AJ47"/>
      <c r="AK47"/>
      <c r="AL47"/>
      <c r="AM47"/>
      <c r="AN47"/>
      <c r="AO47"/>
      <c r="AP47"/>
    </row>
    <row r="48" spans="2:42" ht="15.75">
      <c r="B48" s="616" t="s">
        <v>11</v>
      </c>
      <c r="C48" s="615"/>
      <c r="D48" s="615"/>
      <c r="E48" s="615"/>
      <c r="F48" s="615"/>
      <c r="G48" s="615"/>
      <c r="H48" s="615"/>
      <c r="I48" s="615"/>
      <c r="J48" s="615"/>
      <c r="K48" s="615"/>
      <c r="L48" s="615">
        <v>4.7E-2</v>
      </c>
      <c r="M48" s="615"/>
      <c r="N48" s="615"/>
      <c r="O48" s="615"/>
      <c r="P48" s="615"/>
      <c r="Q48" s="615"/>
      <c r="R48" s="615"/>
      <c r="S48" s="615"/>
      <c r="T48" s="615"/>
      <c r="U48" s="615"/>
      <c r="V48" s="615">
        <v>4.7E-2</v>
      </c>
      <c r="W48"/>
      <c r="X48"/>
      <c r="Y48"/>
      <c r="Z48"/>
      <c r="AA48"/>
      <c r="AB48"/>
      <c r="AC48"/>
      <c r="AD48"/>
      <c r="AE48"/>
      <c r="AF48"/>
      <c r="AG48"/>
      <c r="AH48"/>
      <c r="AI48"/>
      <c r="AJ48"/>
      <c r="AK48"/>
      <c r="AL48"/>
      <c r="AM48"/>
      <c r="AN48"/>
      <c r="AO48"/>
      <c r="AP48"/>
    </row>
    <row r="49" spans="2:42" ht="15.75">
      <c r="B49" s="616" t="s">
        <v>310</v>
      </c>
      <c r="C49" s="615"/>
      <c r="D49" s="615"/>
      <c r="E49" s="615"/>
      <c r="F49" s="615"/>
      <c r="G49" s="615"/>
      <c r="H49" s="615"/>
      <c r="I49" s="615">
        <v>24.049492999999998</v>
      </c>
      <c r="J49" s="615"/>
      <c r="K49" s="615"/>
      <c r="L49" s="615"/>
      <c r="M49" s="615"/>
      <c r="N49" s="615"/>
      <c r="O49" s="615"/>
      <c r="P49" s="615"/>
      <c r="Q49" s="615"/>
      <c r="R49" s="615"/>
      <c r="S49" s="615"/>
      <c r="T49" s="615"/>
      <c r="U49" s="615"/>
      <c r="V49" s="615">
        <v>24.049492999999998</v>
      </c>
      <c r="W49"/>
      <c r="X49"/>
      <c r="Y49"/>
      <c r="Z49"/>
      <c r="AA49"/>
      <c r="AB49"/>
      <c r="AC49"/>
      <c r="AD49"/>
      <c r="AE49"/>
      <c r="AF49"/>
      <c r="AG49"/>
      <c r="AH49"/>
      <c r="AI49"/>
      <c r="AJ49"/>
      <c r="AK49"/>
      <c r="AL49"/>
      <c r="AM49"/>
      <c r="AN49"/>
      <c r="AO49"/>
      <c r="AP49"/>
    </row>
    <row r="50" spans="2:42" ht="15.75">
      <c r="B50" s="616" t="s">
        <v>309</v>
      </c>
      <c r="C50" s="615">
        <v>0</v>
      </c>
      <c r="D50" s="615"/>
      <c r="E50" s="615"/>
      <c r="F50" s="615"/>
      <c r="G50" s="615"/>
      <c r="H50" s="615"/>
      <c r="I50" s="615"/>
      <c r="J50" s="615"/>
      <c r="K50" s="615"/>
      <c r="L50" s="615"/>
      <c r="M50" s="615"/>
      <c r="N50" s="615"/>
      <c r="O50" s="615"/>
      <c r="P50" s="615"/>
      <c r="Q50" s="615"/>
      <c r="R50" s="615"/>
      <c r="S50" s="615"/>
      <c r="T50" s="615"/>
      <c r="U50" s="615"/>
      <c r="V50" s="615">
        <v>0</v>
      </c>
      <c r="W50"/>
      <c r="X50"/>
      <c r="Y50"/>
      <c r="Z50"/>
      <c r="AA50"/>
      <c r="AB50"/>
      <c r="AC50"/>
      <c r="AD50"/>
      <c r="AE50"/>
      <c r="AF50"/>
      <c r="AG50"/>
      <c r="AH50"/>
      <c r="AI50"/>
      <c r="AJ50"/>
      <c r="AK50"/>
      <c r="AL50"/>
      <c r="AM50"/>
      <c r="AN50"/>
      <c r="AO50"/>
      <c r="AP50"/>
    </row>
    <row r="51" spans="2:42" ht="15.75">
      <c r="B51" s="616" t="s">
        <v>307</v>
      </c>
      <c r="C51" s="615"/>
      <c r="D51" s="615"/>
      <c r="E51" s="615"/>
      <c r="F51" s="615"/>
      <c r="G51" s="615"/>
      <c r="H51" s="615"/>
      <c r="I51" s="615"/>
      <c r="J51" s="615"/>
      <c r="K51" s="615"/>
      <c r="L51" s="615"/>
      <c r="M51" s="615"/>
      <c r="N51" s="615"/>
      <c r="O51" s="615">
        <v>69.814172727996038</v>
      </c>
      <c r="P51" s="615"/>
      <c r="Q51" s="615"/>
      <c r="R51" s="615"/>
      <c r="S51" s="615"/>
      <c r="T51" s="615"/>
      <c r="U51" s="615"/>
      <c r="V51" s="615">
        <v>69.814172727996038</v>
      </c>
      <c r="W51"/>
      <c r="X51"/>
      <c r="Y51"/>
      <c r="Z51"/>
      <c r="AA51"/>
      <c r="AB51"/>
      <c r="AC51"/>
      <c r="AD51"/>
      <c r="AE51"/>
      <c r="AF51"/>
      <c r="AG51"/>
      <c r="AH51"/>
      <c r="AI51"/>
      <c r="AJ51"/>
      <c r="AK51"/>
      <c r="AL51"/>
      <c r="AM51"/>
      <c r="AN51"/>
      <c r="AO51"/>
      <c r="AP51"/>
    </row>
    <row r="52" spans="2:42" ht="15.75">
      <c r="B52" s="616" t="s">
        <v>306</v>
      </c>
      <c r="C52" s="615">
        <v>0</v>
      </c>
      <c r="D52" s="615"/>
      <c r="E52" s="615"/>
      <c r="F52" s="615"/>
      <c r="G52" s="615"/>
      <c r="H52" s="615"/>
      <c r="I52" s="615"/>
      <c r="J52" s="615"/>
      <c r="K52" s="615"/>
      <c r="L52" s="615"/>
      <c r="M52" s="615"/>
      <c r="N52" s="615"/>
      <c r="O52" s="615"/>
      <c r="P52" s="615"/>
      <c r="Q52" s="615"/>
      <c r="R52" s="615"/>
      <c r="S52" s="615"/>
      <c r="T52" s="615"/>
      <c r="U52" s="615"/>
      <c r="V52" s="615">
        <v>0</v>
      </c>
      <c r="W52"/>
      <c r="X52"/>
      <c r="Y52"/>
      <c r="Z52"/>
      <c r="AA52"/>
      <c r="AB52"/>
      <c r="AC52"/>
      <c r="AD52"/>
      <c r="AE52"/>
      <c r="AF52"/>
      <c r="AG52"/>
      <c r="AH52"/>
      <c r="AI52"/>
      <c r="AJ52"/>
      <c r="AK52"/>
      <c r="AL52"/>
      <c r="AM52"/>
      <c r="AN52"/>
      <c r="AO52"/>
      <c r="AP52"/>
    </row>
    <row r="53" spans="2:42" ht="15.75">
      <c r="B53" s="616" t="s">
        <v>305</v>
      </c>
      <c r="C53" s="615"/>
      <c r="D53" s="615"/>
      <c r="E53" s="615"/>
      <c r="F53" s="615"/>
      <c r="G53" s="615"/>
      <c r="H53" s="615"/>
      <c r="I53" s="615"/>
      <c r="J53" s="615"/>
      <c r="K53" s="615"/>
      <c r="L53" s="615"/>
      <c r="M53" s="615"/>
      <c r="N53" s="615"/>
      <c r="O53" s="615">
        <v>0</v>
      </c>
      <c r="P53" s="615"/>
      <c r="Q53" s="615"/>
      <c r="R53" s="615"/>
      <c r="S53" s="615"/>
      <c r="T53" s="615"/>
      <c r="U53" s="615"/>
      <c r="V53" s="615">
        <v>0</v>
      </c>
      <c r="W53"/>
      <c r="X53"/>
      <c r="Y53"/>
      <c r="Z53"/>
      <c r="AA53"/>
      <c r="AB53"/>
      <c r="AC53"/>
      <c r="AD53"/>
      <c r="AE53"/>
      <c r="AF53"/>
      <c r="AG53"/>
      <c r="AH53"/>
      <c r="AI53"/>
      <c r="AJ53"/>
      <c r="AK53"/>
      <c r="AL53"/>
      <c r="AM53"/>
      <c r="AN53"/>
      <c r="AO53"/>
      <c r="AP53"/>
    </row>
    <row r="54" spans="2:42" ht="15.75">
      <c r="B54" s="616" t="s">
        <v>302</v>
      </c>
      <c r="C54" s="615">
        <v>0</v>
      </c>
      <c r="D54" s="615"/>
      <c r="E54" s="615"/>
      <c r="F54" s="615"/>
      <c r="G54" s="615"/>
      <c r="H54" s="615"/>
      <c r="I54" s="615"/>
      <c r="J54" s="615"/>
      <c r="K54" s="615"/>
      <c r="L54" s="615"/>
      <c r="M54" s="615"/>
      <c r="N54" s="615"/>
      <c r="O54" s="615"/>
      <c r="P54" s="615"/>
      <c r="Q54" s="615"/>
      <c r="R54" s="615"/>
      <c r="S54" s="615"/>
      <c r="T54" s="615"/>
      <c r="U54" s="615"/>
      <c r="V54" s="615">
        <v>0</v>
      </c>
      <c r="W54"/>
      <c r="X54"/>
      <c r="Y54"/>
      <c r="Z54"/>
      <c r="AA54"/>
      <c r="AB54"/>
      <c r="AC54"/>
      <c r="AD54"/>
      <c r="AE54"/>
      <c r="AF54"/>
      <c r="AG54"/>
      <c r="AH54"/>
      <c r="AI54"/>
      <c r="AJ54"/>
      <c r="AK54"/>
      <c r="AL54"/>
      <c r="AM54"/>
      <c r="AN54"/>
      <c r="AO54"/>
      <c r="AP54"/>
    </row>
    <row r="55" spans="2:42" ht="15.75">
      <c r="B55" s="614" t="s">
        <v>48</v>
      </c>
      <c r="C55" s="615"/>
      <c r="D55" s="615"/>
      <c r="E55" s="615"/>
      <c r="F55" s="615">
        <v>8.1303E-2</v>
      </c>
      <c r="G55" s="615"/>
      <c r="H55" s="615"/>
      <c r="I55" s="615">
        <v>603.70249200000001</v>
      </c>
      <c r="J55" s="615">
        <v>4.2269999999999994</v>
      </c>
      <c r="K55" s="615"/>
      <c r="L55" s="615"/>
      <c r="M55" s="615">
        <v>54.098236</v>
      </c>
      <c r="N55" s="615"/>
      <c r="O55" s="615">
        <v>0.86699999999999999</v>
      </c>
      <c r="P55" s="615">
        <v>1471.96045</v>
      </c>
      <c r="Q55" s="615"/>
      <c r="R55" s="615"/>
      <c r="S55" s="615"/>
      <c r="T55" s="615"/>
      <c r="U55" s="615">
        <v>126.329669</v>
      </c>
      <c r="V55" s="615">
        <v>2261.2661499999995</v>
      </c>
      <c r="W55"/>
      <c r="X55"/>
      <c r="Y55"/>
      <c r="Z55"/>
      <c r="AA55"/>
      <c r="AB55"/>
      <c r="AC55"/>
      <c r="AD55"/>
      <c r="AE55"/>
      <c r="AF55"/>
      <c r="AG55"/>
      <c r="AH55"/>
      <c r="AI55"/>
      <c r="AJ55"/>
      <c r="AK55"/>
      <c r="AL55"/>
      <c r="AM55"/>
      <c r="AN55"/>
      <c r="AO55"/>
      <c r="AP55"/>
    </row>
    <row r="56" spans="2:42" ht="15.75">
      <c r="B56" s="616" t="s">
        <v>296</v>
      </c>
      <c r="C56" s="615"/>
      <c r="D56" s="615"/>
      <c r="E56" s="615"/>
      <c r="F56" s="615"/>
      <c r="G56" s="615"/>
      <c r="H56" s="615"/>
      <c r="I56" s="615"/>
      <c r="J56" s="615"/>
      <c r="K56" s="615"/>
      <c r="L56" s="615"/>
      <c r="M56" s="615"/>
      <c r="N56" s="615"/>
      <c r="O56" s="615"/>
      <c r="P56" s="615">
        <v>0.85647499999999999</v>
      </c>
      <c r="Q56" s="615"/>
      <c r="R56" s="615"/>
      <c r="S56" s="615"/>
      <c r="T56" s="615"/>
      <c r="U56" s="615">
        <v>126.329669</v>
      </c>
      <c r="V56" s="615">
        <v>127.186144</v>
      </c>
      <c r="W56"/>
      <c r="X56"/>
      <c r="Y56"/>
      <c r="Z56"/>
      <c r="AA56"/>
      <c r="AB56"/>
      <c r="AC56"/>
      <c r="AD56"/>
      <c r="AE56"/>
      <c r="AF56"/>
      <c r="AG56"/>
      <c r="AH56"/>
      <c r="AI56"/>
      <c r="AJ56"/>
      <c r="AK56"/>
      <c r="AL56"/>
      <c r="AM56"/>
      <c r="AN56"/>
      <c r="AO56"/>
      <c r="AP56"/>
    </row>
    <row r="57" spans="2:42" ht="15.75">
      <c r="B57" s="616" t="s">
        <v>280</v>
      </c>
      <c r="C57" s="615"/>
      <c r="D57" s="615"/>
      <c r="E57" s="615"/>
      <c r="F57" s="615"/>
      <c r="G57" s="615"/>
      <c r="H57" s="615"/>
      <c r="I57" s="615">
        <v>548.57963900000004</v>
      </c>
      <c r="J57" s="615"/>
      <c r="K57" s="615"/>
      <c r="L57" s="615"/>
      <c r="M57" s="615">
        <v>54.098236</v>
      </c>
      <c r="N57" s="615"/>
      <c r="O57" s="615">
        <v>0.86699999999999999</v>
      </c>
      <c r="P57" s="615">
        <v>1471.103975</v>
      </c>
      <c r="Q57" s="615"/>
      <c r="R57" s="615"/>
      <c r="S57" s="615"/>
      <c r="T57" s="615"/>
      <c r="U57" s="615"/>
      <c r="V57" s="615">
        <v>2074.64885</v>
      </c>
      <c r="W57" s="307"/>
      <c r="X57" s="307"/>
      <c r="Y57" s="307"/>
      <c r="Z57" s="307"/>
      <c r="AA57" s="307"/>
      <c r="AB57" s="307"/>
      <c r="AC57" s="307"/>
      <c r="AD57" s="307"/>
      <c r="AE57" s="307"/>
      <c r="AF57" s="307"/>
      <c r="AG57" s="307"/>
      <c r="AH57" s="307"/>
      <c r="AI57" s="307"/>
      <c r="AJ57" s="307"/>
      <c r="AK57" s="307"/>
      <c r="AL57" s="307"/>
      <c r="AM57" s="307"/>
      <c r="AN57" s="307"/>
      <c r="AO57"/>
      <c r="AP57"/>
    </row>
    <row r="58" spans="2:42" ht="15.75">
      <c r="B58" s="616" t="s">
        <v>291</v>
      </c>
      <c r="C58" s="615"/>
      <c r="D58" s="615"/>
      <c r="E58" s="615"/>
      <c r="F58" s="615"/>
      <c r="G58" s="615"/>
      <c r="H58" s="615"/>
      <c r="I58" s="615"/>
      <c r="J58" s="615">
        <v>4.0659999999999998</v>
      </c>
      <c r="K58" s="615"/>
      <c r="L58" s="615"/>
      <c r="M58" s="615"/>
      <c r="N58" s="615"/>
      <c r="O58" s="615"/>
      <c r="P58" s="615"/>
      <c r="Q58" s="615"/>
      <c r="R58" s="615"/>
      <c r="S58" s="615"/>
      <c r="T58" s="615"/>
      <c r="U58" s="615"/>
      <c r="V58" s="615">
        <v>4.0659999999999998</v>
      </c>
      <c r="W58" s="307"/>
      <c r="X58" s="307"/>
      <c r="Y58" s="307"/>
      <c r="Z58" s="307"/>
      <c r="AA58" s="307"/>
      <c r="AB58" s="307"/>
      <c r="AC58" s="307"/>
      <c r="AD58" s="307"/>
      <c r="AE58" s="307"/>
      <c r="AF58" s="307"/>
      <c r="AG58" s="307"/>
      <c r="AH58" s="307"/>
      <c r="AI58" s="307"/>
      <c r="AJ58" s="307"/>
      <c r="AK58" s="307"/>
      <c r="AL58" s="307"/>
      <c r="AM58" s="307"/>
      <c r="AN58" s="307"/>
      <c r="AO58"/>
      <c r="AP58"/>
    </row>
    <row r="59" spans="2:42" ht="15.75">
      <c r="B59" s="616" t="s">
        <v>295</v>
      </c>
      <c r="C59" s="615"/>
      <c r="D59" s="615"/>
      <c r="E59" s="615"/>
      <c r="F59" s="615"/>
      <c r="G59" s="615"/>
      <c r="H59" s="615"/>
      <c r="I59" s="615">
        <v>26.448539</v>
      </c>
      <c r="J59" s="615">
        <v>0.161</v>
      </c>
      <c r="K59" s="615"/>
      <c r="L59" s="615"/>
      <c r="M59" s="615">
        <v>0</v>
      </c>
      <c r="N59" s="615"/>
      <c r="O59" s="615"/>
      <c r="P59" s="615">
        <v>0</v>
      </c>
      <c r="Q59" s="615"/>
      <c r="R59" s="615"/>
      <c r="S59" s="615"/>
      <c r="T59" s="615"/>
      <c r="U59" s="615"/>
      <c r="V59" s="615">
        <v>26.609539000000002</v>
      </c>
      <c r="W59" s="307"/>
      <c r="X59" s="307"/>
      <c r="Y59" s="307"/>
      <c r="Z59" s="307"/>
      <c r="AA59" s="307"/>
      <c r="AB59" s="307"/>
      <c r="AC59" s="307"/>
      <c r="AD59" s="307"/>
      <c r="AE59" s="307"/>
      <c r="AF59" s="307"/>
      <c r="AG59" s="307"/>
      <c r="AH59" s="307"/>
      <c r="AI59" s="307"/>
      <c r="AJ59" s="307"/>
      <c r="AK59" s="307"/>
      <c r="AL59" s="307"/>
      <c r="AM59" s="307"/>
      <c r="AN59" s="307"/>
      <c r="AO59"/>
      <c r="AP59"/>
    </row>
    <row r="60" spans="2:42" ht="15.75">
      <c r="B60" s="616" t="s">
        <v>292</v>
      </c>
      <c r="C60" s="615"/>
      <c r="D60" s="615"/>
      <c r="E60" s="615"/>
      <c r="F60" s="615">
        <v>8.1303E-2</v>
      </c>
      <c r="G60" s="615"/>
      <c r="H60" s="615"/>
      <c r="I60" s="615">
        <v>28.674313999999999</v>
      </c>
      <c r="J60" s="615"/>
      <c r="K60" s="615"/>
      <c r="L60" s="615"/>
      <c r="M60" s="615"/>
      <c r="N60" s="615"/>
      <c r="O60" s="615"/>
      <c r="P60" s="615"/>
      <c r="Q60" s="615"/>
      <c r="R60" s="615"/>
      <c r="S60" s="615"/>
      <c r="T60" s="615"/>
      <c r="U60" s="615"/>
      <c r="V60" s="615">
        <v>28.755616999999997</v>
      </c>
      <c r="W60" s="307"/>
      <c r="X60" s="307"/>
      <c r="Y60" s="307"/>
      <c r="Z60" s="307"/>
      <c r="AA60" s="307"/>
      <c r="AB60" s="307"/>
      <c r="AC60" s="307"/>
      <c r="AD60" s="307"/>
      <c r="AE60" s="307"/>
      <c r="AF60" s="307"/>
      <c r="AG60" s="307"/>
      <c r="AH60" s="307"/>
      <c r="AI60" s="307"/>
      <c r="AJ60" s="307"/>
      <c r="AK60" s="307"/>
      <c r="AL60" s="307"/>
      <c r="AM60" s="307"/>
      <c r="AN60" s="307"/>
      <c r="AO60"/>
      <c r="AP60"/>
    </row>
    <row r="61" spans="2:42" ht="15.75">
      <c r="B61" s="614" t="s">
        <v>46</v>
      </c>
      <c r="C61" s="615">
        <v>0</v>
      </c>
      <c r="D61" s="615">
        <v>63.782443000000001</v>
      </c>
      <c r="E61" s="615">
        <v>438.47718799999996</v>
      </c>
      <c r="F61" s="615">
        <v>434.04825899999997</v>
      </c>
      <c r="G61" s="615">
        <v>68.652737999999999</v>
      </c>
      <c r="H61" s="615">
        <v>111.145081</v>
      </c>
      <c r="I61" s="615">
        <v>812.22862199999997</v>
      </c>
      <c r="J61" s="615">
        <v>846.505</v>
      </c>
      <c r="K61" s="615">
        <v>6.5296000000000003</v>
      </c>
      <c r="L61" s="615">
        <v>7.2829999999999995</v>
      </c>
      <c r="M61" s="615">
        <v>426.08409399999999</v>
      </c>
      <c r="N61" s="615">
        <v>301.95241099999998</v>
      </c>
      <c r="O61" s="615">
        <v>2332.9719553876394</v>
      </c>
      <c r="P61" s="615">
        <v>1472.812455</v>
      </c>
      <c r="Q61" s="615">
        <v>131.31599900000001</v>
      </c>
      <c r="R61" s="615">
        <v>98.798878999999999</v>
      </c>
      <c r="S61" s="615">
        <v>255.42239699999999</v>
      </c>
      <c r="T61" s="615">
        <v>122.597565</v>
      </c>
      <c r="U61" s="615">
        <v>127.688801</v>
      </c>
      <c r="V61" s="615">
        <v>8058.2964873876399</v>
      </c>
      <c r="W61" s="307"/>
      <c r="X61" s="307"/>
      <c r="Y61" s="307"/>
      <c r="Z61" s="307"/>
      <c r="AA61" s="307"/>
      <c r="AB61" s="307"/>
      <c r="AC61" s="307"/>
      <c r="AD61" s="307"/>
      <c r="AE61" s="307"/>
      <c r="AF61" s="307"/>
      <c r="AG61" s="307"/>
      <c r="AH61" s="307"/>
      <c r="AI61" s="307"/>
      <c r="AJ61" s="307"/>
      <c r="AK61" s="307"/>
      <c r="AL61" s="307"/>
      <c r="AM61" s="307"/>
      <c r="AN61" s="307"/>
      <c r="AO61"/>
      <c r="AP61"/>
    </row>
    <row r="62" spans="2:42" ht="15.75">
      <c r="B62"/>
      <c r="C62"/>
      <c r="D62"/>
      <c r="E62"/>
      <c r="F62"/>
      <c r="G62"/>
      <c r="H62"/>
      <c r="I62"/>
      <c r="J62"/>
      <c r="K62"/>
      <c r="L62"/>
      <c r="M62"/>
      <c r="N62"/>
      <c r="O62"/>
      <c r="P62"/>
      <c r="Q62"/>
      <c r="R62"/>
      <c r="S62"/>
      <c r="T62"/>
      <c r="U62"/>
      <c r="V62" s="307"/>
      <c r="W62" s="307"/>
      <c r="X62" s="307"/>
      <c r="Y62" s="307"/>
      <c r="Z62" s="307"/>
      <c r="AA62" s="307"/>
      <c r="AB62" s="307"/>
      <c r="AC62" s="307"/>
      <c r="AD62" s="307"/>
      <c r="AE62" s="307"/>
      <c r="AF62" s="307"/>
      <c r="AG62" s="307"/>
      <c r="AH62" s="307"/>
      <c r="AI62" s="307"/>
      <c r="AJ62" s="307"/>
      <c r="AK62" s="307"/>
      <c r="AL62" s="307"/>
      <c r="AM62" s="307"/>
      <c r="AN62" s="307"/>
      <c r="AO62"/>
      <c r="AP62"/>
    </row>
    <row r="63" spans="2:42" ht="15.75">
      <c r="B63"/>
      <c r="C63"/>
      <c r="D63"/>
      <c r="E63"/>
      <c r="F63"/>
      <c r="G63"/>
      <c r="H63"/>
      <c r="I63"/>
      <c r="J63"/>
      <c r="K63"/>
      <c r="L63"/>
      <c r="M63"/>
      <c r="N63"/>
      <c r="O63"/>
      <c r="P63"/>
      <c r="Q63"/>
      <c r="R63"/>
      <c r="S63"/>
      <c r="T63"/>
      <c r="U63"/>
    </row>
    <row r="64" spans="2:42" ht="15.75">
      <c r="B64"/>
      <c r="C64"/>
      <c r="D64"/>
      <c r="E64"/>
      <c r="F64"/>
      <c r="G64"/>
      <c r="H64"/>
      <c r="I64"/>
      <c r="J64"/>
      <c r="K64"/>
      <c r="L64"/>
      <c r="M64"/>
      <c r="N64"/>
      <c r="O64"/>
      <c r="P64"/>
      <c r="Q64"/>
      <c r="R64"/>
      <c r="S64"/>
      <c r="T64"/>
      <c r="U64"/>
    </row>
    <row r="65" spans="2:21" ht="15.75">
      <c r="B65"/>
      <c r="C65"/>
      <c r="D65"/>
      <c r="E65"/>
      <c r="F65"/>
      <c r="G65"/>
      <c r="H65"/>
      <c r="I65"/>
      <c r="J65"/>
      <c r="K65"/>
      <c r="L65"/>
      <c r="M65"/>
      <c r="N65"/>
      <c r="O65"/>
      <c r="P65"/>
      <c r="Q65"/>
      <c r="R65"/>
      <c r="S65"/>
      <c r="T65"/>
      <c r="U65"/>
    </row>
    <row r="66" spans="2:21" ht="15.75">
      <c r="B66"/>
      <c r="C66"/>
      <c r="D66"/>
      <c r="E66"/>
      <c r="F66"/>
      <c r="G66"/>
      <c r="H66"/>
      <c r="I66"/>
      <c r="J66"/>
      <c r="K66"/>
      <c r="L66"/>
      <c r="M66"/>
      <c r="N66"/>
      <c r="O66"/>
      <c r="P66"/>
      <c r="Q66"/>
      <c r="R66"/>
      <c r="S66"/>
      <c r="T66"/>
      <c r="U66"/>
    </row>
    <row r="67" spans="2:21" ht="15.75">
      <c r="B67"/>
      <c r="C67"/>
      <c r="D67"/>
      <c r="E67"/>
      <c r="F67"/>
      <c r="G67"/>
      <c r="H67"/>
      <c r="I67"/>
      <c r="J67"/>
      <c r="K67"/>
      <c r="L67"/>
      <c r="M67"/>
      <c r="N67"/>
      <c r="O67"/>
      <c r="P67"/>
      <c r="Q67"/>
      <c r="R67"/>
      <c r="S67"/>
      <c r="T67"/>
      <c r="U67"/>
    </row>
    <row r="68" spans="2:21" ht="15.75">
      <c r="B68"/>
      <c r="C68"/>
      <c r="D68"/>
      <c r="E68"/>
      <c r="F68"/>
      <c r="G68"/>
      <c r="H68"/>
      <c r="I68"/>
      <c r="J68"/>
      <c r="K68"/>
      <c r="L68"/>
      <c r="M68"/>
      <c r="N68"/>
      <c r="O68"/>
      <c r="P68"/>
      <c r="Q68"/>
      <c r="R68"/>
      <c r="S68"/>
      <c r="T68"/>
      <c r="U68"/>
    </row>
    <row r="69" spans="2:21" ht="15.75">
      <c r="B69"/>
      <c r="C69"/>
      <c r="D69"/>
      <c r="E69"/>
      <c r="F69"/>
      <c r="G69"/>
      <c r="H69"/>
      <c r="I69"/>
      <c r="J69"/>
      <c r="K69"/>
      <c r="L69"/>
      <c r="M69"/>
      <c r="N69"/>
      <c r="O69"/>
      <c r="P69"/>
      <c r="Q69"/>
      <c r="R69"/>
      <c r="S69"/>
      <c r="T69"/>
      <c r="U69"/>
    </row>
    <row r="70" spans="2:21" ht="15.75">
      <c r="B70"/>
      <c r="C70"/>
      <c r="D70"/>
      <c r="E70"/>
      <c r="F70"/>
      <c r="G70"/>
      <c r="H70"/>
      <c r="I70"/>
      <c r="J70"/>
      <c r="K70"/>
      <c r="L70"/>
      <c r="M70"/>
      <c r="N70"/>
      <c r="O70"/>
      <c r="P70"/>
      <c r="Q70"/>
      <c r="R70"/>
      <c r="S70"/>
      <c r="T70"/>
      <c r="U70"/>
    </row>
    <row r="71" spans="2:21" ht="15.75">
      <c r="B71"/>
      <c r="C71"/>
      <c r="D71"/>
      <c r="E71"/>
      <c r="F71"/>
      <c r="G71"/>
      <c r="H71"/>
      <c r="I71"/>
      <c r="J71"/>
      <c r="K71"/>
      <c r="L71"/>
      <c r="M71"/>
      <c r="N71"/>
      <c r="O71"/>
      <c r="P71"/>
      <c r="Q71"/>
      <c r="R71"/>
      <c r="S71"/>
      <c r="T71"/>
      <c r="U71"/>
    </row>
    <row r="72" spans="2:21" ht="15.75">
      <c r="B72"/>
      <c r="C72"/>
      <c r="D72"/>
      <c r="E72"/>
      <c r="F72"/>
      <c r="G72"/>
      <c r="H72"/>
      <c r="I72"/>
      <c r="J72"/>
      <c r="K72"/>
      <c r="L72"/>
      <c r="M72"/>
      <c r="N72"/>
      <c r="O72"/>
      <c r="P72"/>
      <c r="Q72"/>
      <c r="R72"/>
      <c r="S72"/>
      <c r="T72"/>
      <c r="U72"/>
    </row>
    <row r="73" spans="2:21" ht="15.75">
      <c r="B73"/>
      <c r="C73"/>
      <c r="D73"/>
      <c r="E73"/>
      <c r="F73"/>
      <c r="G73"/>
      <c r="H73"/>
      <c r="I73"/>
      <c r="J73"/>
      <c r="K73"/>
      <c r="L73"/>
      <c r="M73"/>
      <c r="N73"/>
      <c r="O73"/>
      <c r="P73"/>
      <c r="Q73"/>
      <c r="R73"/>
      <c r="S73"/>
      <c r="T73"/>
      <c r="U73"/>
    </row>
    <row r="74" spans="2:21" ht="15.75">
      <c r="B74"/>
      <c r="C74"/>
      <c r="D74"/>
      <c r="E74"/>
      <c r="F74"/>
      <c r="G74"/>
      <c r="H74"/>
      <c r="I74"/>
      <c r="J74"/>
      <c r="K74"/>
      <c r="L74"/>
      <c r="M74"/>
      <c r="N74"/>
      <c r="O74"/>
      <c r="P74"/>
      <c r="Q74"/>
      <c r="R74"/>
      <c r="S74"/>
      <c r="T74"/>
      <c r="U74"/>
    </row>
    <row r="75" spans="2:21" ht="15.75">
      <c r="B75"/>
      <c r="C75"/>
      <c r="D75"/>
      <c r="E75"/>
      <c r="F75"/>
      <c r="G75"/>
      <c r="H75"/>
      <c r="I75"/>
      <c r="J75"/>
      <c r="K75"/>
      <c r="L75"/>
      <c r="M75"/>
      <c r="N75"/>
      <c r="O75"/>
      <c r="P75"/>
      <c r="Q75"/>
      <c r="R75"/>
      <c r="S75"/>
      <c r="T75"/>
      <c r="U75"/>
    </row>
    <row r="76" spans="2:21" ht="15.75">
      <c r="B76"/>
      <c r="C76"/>
      <c r="D76"/>
      <c r="E76"/>
      <c r="F76"/>
      <c r="G76"/>
      <c r="H76"/>
      <c r="I76"/>
      <c r="J76"/>
      <c r="K76"/>
      <c r="L76"/>
      <c r="M76"/>
      <c r="N76"/>
      <c r="O76"/>
      <c r="P76"/>
      <c r="Q76"/>
      <c r="R76"/>
      <c r="S76"/>
      <c r="T76"/>
      <c r="U76"/>
    </row>
    <row r="77" spans="2:21" ht="15.75">
      <c r="B77"/>
      <c r="C77"/>
      <c r="D77"/>
      <c r="E77"/>
      <c r="F77"/>
      <c r="G77"/>
      <c r="H77"/>
      <c r="I77"/>
      <c r="J77"/>
      <c r="K77"/>
      <c r="L77"/>
      <c r="M77"/>
      <c r="N77"/>
      <c r="O77"/>
      <c r="P77"/>
      <c r="Q77"/>
      <c r="R77"/>
      <c r="S77"/>
      <c r="T77"/>
      <c r="U77"/>
    </row>
    <row r="78" spans="2:21" ht="15.75">
      <c r="B78"/>
      <c r="C78"/>
      <c r="D78"/>
      <c r="E78"/>
      <c r="F78"/>
      <c r="G78"/>
      <c r="H78"/>
      <c r="I78"/>
      <c r="J78"/>
      <c r="K78"/>
      <c r="L78"/>
      <c r="M78"/>
      <c r="N78"/>
      <c r="O78"/>
      <c r="P78"/>
      <c r="Q78"/>
      <c r="R78"/>
      <c r="S78"/>
      <c r="T78"/>
      <c r="U78"/>
    </row>
    <row r="79" spans="2:21" ht="15.75">
      <c r="B79"/>
      <c r="C79"/>
      <c r="D79"/>
      <c r="E79"/>
      <c r="F79"/>
      <c r="G79"/>
      <c r="H79"/>
      <c r="I79"/>
      <c r="J79"/>
      <c r="K79"/>
      <c r="L79"/>
      <c r="M79"/>
      <c r="N79"/>
      <c r="O79"/>
      <c r="P79"/>
      <c r="Q79"/>
      <c r="R79"/>
      <c r="S79"/>
      <c r="T79"/>
      <c r="U79"/>
    </row>
    <row r="80" spans="2:21" ht="15.75">
      <c r="B80"/>
      <c r="C80"/>
      <c r="D80"/>
      <c r="E80"/>
      <c r="F80"/>
      <c r="G80"/>
      <c r="H80"/>
      <c r="I80"/>
      <c r="J80"/>
      <c r="K80"/>
      <c r="L80"/>
      <c r="M80"/>
      <c r="N80"/>
      <c r="O80"/>
      <c r="P80"/>
      <c r="Q80"/>
      <c r="R80"/>
      <c r="S80"/>
      <c r="T80"/>
      <c r="U80"/>
    </row>
    <row r="81" spans="2:21" ht="15.75">
      <c r="B81"/>
      <c r="C81"/>
      <c r="D81"/>
      <c r="E81"/>
      <c r="F81"/>
      <c r="G81"/>
      <c r="H81"/>
      <c r="I81"/>
      <c r="J81"/>
      <c r="K81"/>
      <c r="L81"/>
      <c r="M81"/>
      <c r="N81"/>
      <c r="O81"/>
      <c r="P81"/>
      <c r="Q81"/>
      <c r="R81"/>
      <c r="S81"/>
      <c r="T81"/>
      <c r="U81"/>
    </row>
    <row r="82" spans="2:21" ht="15.75">
      <c r="B82"/>
      <c r="C82"/>
      <c r="D82"/>
      <c r="E82"/>
      <c r="F82"/>
      <c r="G82"/>
      <c r="H82"/>
      <c r="I82"/>
      <c r="J82"/>
      <c r="K82"/>
      <c r="L82"/>
      <c r="M82"/>
      <c r="N82"/>
      <c r="O82"/>
      <c r="P82"/>
      <c r="Q82"/>
      <c r="R82"/>
      <c r="S82"/>
      <c r="T82"/>
      <c r="U82"/>
    </row>
    <row r="83" spans="2:21" ht="15.75">
      <c r="B83"/>
      <c r="C83"/>
      <c r="D83"/>
      <c r="E83"/>
      <c r="F83"/>
      <c r="G83"/>
      <c r="H83"/>
      <c r="I83"/>
      <c r="J83"/>
      <c r="K83"/>
      <c r="L83"/>
      <c r="M83"/>
      <c r="N83"/>
      <c r="O83"/>
      <c r="P83"/>
      <c r="Q83"/>
      <c r="R83"/>
      <c r="S83"/>
      <c r="T83"/>
      <c r="U83"/>
    </row>
    <row r="84" spans="2:21" ht="15.75">
      <c r="B84"/>
      <c r="C84"/>
      <c r="D84"/>
      <c r="E84"/>
      <c r="F84"/>
      <c r="G84"/>
      <c r="H84"/>
      <c r="I84"/>
      <c r="J84"/>
      <c r="K84"/>
      <c r="L84"/>
      <c r="M84"/>
      <c r="N84"/>
      <c r="O84"/>
      <c r="P84"/>
      <c r="Q84"/>
      <c r="R84"/>
      <c r="S84"/>
      <c r="T84"/>
      <c r="U84"/>
    </row>
    <row r="85" spans="2:21" ht="15.75">
      <c r="B85"/>
      <c r="C85"/>
      <c r="D85"/>
      <c r="E85"/>
      <c r="F85"/>
      <c r="G85"/>
      <c r="H85"/>
      <c r="I85"/>
      <c r="J85"/>
      <c r="K85"/>
      <c r="L85"/>
      <c r="M85"/>
      <c r="N85"/>
      <c r="O85"/>
      <c r="P85"/>
      <c r="Q85"/>
      <c r="R85"/>
      <c r="S85"/>
      <c r="T85"/>
      <c r="U85"/>
    </row>
    <row r="86" spans="2:21" ht="15.75">
      <c r="B86"/>
      <c r="C86"/>
      <c r="D86"/>
      <c r="E86"/>
      <c r="F86"/>
      <c r="G86"/>
      <c r="H86"/>
      <c r="I86"/>
      <c r="J86"/>
      <c r="K86"/>
      <c r="L86"/>
      <c r="M86"/>
      <c r="N86"/>
      <c r="O86"/>
      <c r="P86"/>
      <c r="Q86"/>
      <c r="R86"/>
      <c r="S86"/>
      <c r="T86"/>
      <c r="U86"/>
    </row>
    <row r="87" spans="2:21" ht="15.75">
      <c r="B87"/>
      <c r="C87"/>
      <c r="D87"/>
      <c r="E87"/>
      <c r="F87"/>
      <c r="G87"/>
      <c r="H87"/>
      <c r="I87"/>
      <c r="J87"/>
      <c r="K87"/>
      <c r="L87"/>
      <c r="M87"/>
      <c r="N87"/>
      <c r="O87"/>
      <c r="P87"/>
      <c r="Q87"/>
      <c r="R87"/>
      <c r="S87"/>
      <c r="T87"/>
      <c r="U87"/>
    </row>
    <row r="88" spans="2:21" ht="15.75">
      <c r="B88"/>
      <c r="C88"/>
      <c r="D88"/>
      <c r="E88"/>
      <c r="F88"/>
      <c r="G88"/>
      <c r="H88"/>
      <c r="I88"/>
      <c r="J88"/>
      <c r="K88"/>
      <c r="L88"/>
      <c r="M88"/>
      <c r="N88"/>
      <c r="O88"/>
      <c r="P88"/>
      <c r="Q88"/>
      <c r="R88"/>
      <c r="S88"/>
      <c r="T88"/>
      <c r="U88"/>
    </row>
    <row r="89" spans="2:21" ht="15.75">
      <c r="B89"/>
      <c r="C89"/>
      <c r="D89"/>
      <c r="E89"/>
      <c r="F89"/>
      <c r="G89"/>
      <c r="H89"/>
      <c r="I89"/>
      <c r="J89"/>
      <c r="K89"/>
      <c r="L89"/>
      <c r="M89"/>
      <c r="N89"/>
      <c r="O89"/>
      <c r="P89"/>
      <c r="Q89"/>
      <c r="R89"/>
      <c r="S89"/>
      <c r="T89"/>
      <c r="U89"/>
    </row>
    <row r="90" spans="2:21" ht="15.75">
      <c r="B90"/>
      <c r="C90"/>
      <c r="D90"/>
      <c r="E90"/>
      <c r="F90"/>
      <c r="G90"/>
      <c r="H90"/>
      <c r="I90"/>
      <c r="J90"/>
      <c r="K90"/>
      <c r="L90"/>
      <c r="M90"/>
      <c r="N90"/>
      <c r="O90"/>
      <c r="P90"/>
      <c r="Q90"/>
      <c r="R90"/>
      <c r="S90"/>
      <c r="T90"/>
      <c r="U90"/>
    </row>
    <row r="91" spans="2:21" ht="15.75">
      <c r="B91"/>
      <c r="C91"/>
      <c r="D91"/>
      <c r="E91"/>
      <c r="F91"/>
      <c r="G91"/>
      <c r="H91"/>
      <c r="I91"/>
      <c r="J91"/>
      <c r="K91"/>
      <c r="L91"/>
      <c r="M91"/>
      <c r="N91"/>
      <c r="O91"/>
      <c r="P91"/>
      <c r="Q91"/>
      <c r="R91"/>
      <c r="S91"/>
      <c r="T91"/>
      <c r="U91"/>
    </row>
    <row r="92" spans="2:21" ht="15.75">
      <c r="B92"/>
      <c r="C92"/>
      <c r="D92"/>
      <c r="E92"/>
      <c r="F92"/>
      <c r="G92"/>
      <c r="H92"/>
      <c r="I92"/>
      <c r="J92"/>
      <c r="K92"/>
      <c r="L92"/>
      <c r="M92"/>
      <c r="N92"/>
      <c r="O92"/>
      <c r="P92"/>
      <c r="Q92"/>
      <c r="R92"/>
      <c r="S92"/>
      <c r="T92"/>
      <c r="U92"/>
    </row>
    <row r="93" spans="2:21" ht="15.75">
      <c r="B93"/>
      <c r="C93"/>
      <c r="D93"/>
      <c r="E93"/>
      <c r="F93"/>
      <c r="G93"/>
      <c r="H93"/>
      <c r="I93"/>
      <c r="J93"/>
      <c r="K93"/>
      <c r="L93"/>
      <c r="M93"/>
      <c r="N93"/>
      <c r="O93"/>
      <c r="P93"/>
      <c r="Q93"/>
      <c r="R93"/>
      <c r="S93"/>
      <c r="T93"/>
      <c r="U93"/>
    </row>
    <row r="94" spans="2:21" ht="15.75">
      <c r="B94"/>
      <c r="C94"/>
      <c r="D94"/>
      <c r="E94"/>
      <c r="F94"/>
      <c r="G94"/>
      <c r="H94"/>
      <c r="I94"/>
      <c r="J94"/>
      <c r="K94"/>
      <c r="L94"/>
      <c r="M94"/>
      <c r="N94"/>
      <c r="O94"/>
      <c r="P94"/>
      <c r="Q94"/>
      <c r="R94"/>
      <c r="S94"/>
      <c r="T94"/>
      <c r="U94"/>
    </row>
    <row r="95" spans="2:21" ht="15.75">
      <c r="B95"/>
      <c r="C95"/>
      <c r="D95"/>
      <c r="E95"/>
      <c r="F95"/>
      <c r="G95"/>
      <c r="H95"/>
      <c r="I95"/>
      <c r="J95"/>
      <c r="K95"/>
      <c r="L95"/>
      <c r="M95"/>
      <c r="N95"/>
      <c r="O95"/>
      <c r="P95"/>
      <c r="Q95"/>
      <c r="R95"/>
      <c r="S95"/>
      <c r="T95"/>
      <c r="U95"/>
    </row>
    <row r="96" spans="2:21" ht="15.75">
      <c r="B96"/>
      <c r="C96"/>
      <c r="D96"/>
      <c r="E96"/>
      <c r="F96"/>
      <c r="G96"/>
      <c r="H96"/>
      <c r="I96"/>
      <c r="J96"/>
      <c r="K96"/>
      <c r="L96"/>
      <c r="M96"/>
      <c r="N96"/>
      <c r="O96"/>
      <c r="P96"/>
      <c r="Q96"/>
      <c r="R96"/>
      <c r="S96"/>
      <c r="T96"/>
      <c r="U96"/>
    </row>
    <row r="97" spans="2:21" ht="15.75">
      <c r="B97"/>
      <c r="C97"/>
      <c r="D97"/>
      <c r="E97"/>
      <c r="F97"/>
      <c r="G97"/>
      <c r="H97"/>
      <c r="I97"/>
      <c r="J97"/>
      <c r="K97"/>
      <c r="L97"/>
      <c r="M97"/>
      <c r="N97"/>
      <c r="O97"/>
      <c r="P97"/>
      <c r="Q97"/>
      <c r="R97"/>
      <c r="S97"/>
      <c r="T97"/>
      <c r="U97"/>
    </row>
    <row r="98" spans="2:21" ht="15.75">
      <c r="B98"/>
      <c r="C98"/>
      <c r="D98"/>
      <c r="E98"/>
      <c r="F98"/>
      <c r="G98"/>
      <c r="H98"/>
      <c r="I98"/>
      <c r="J98"/>
      <c r="K98"/>
      <c r="L98"/>
      <c r="M98"/>
      <c r="N98"/>
      <c r="O98"/>
      <c r="P98"/>
      <c r="Q98"/>
      <c r="R98"/>
      <c r="S98"/>
      <c r="T98"/>
      <c r="U98"/>
    </row>
    <row r="99" spans="2:21" ht="15.75">
      <c r="B99"/>
      <c r="C99"/>
      <c r="D99"/>
      <c r="E99"/>
      <c r="F99"/>
      <c r="G99"/>
      <c r="H99"/>
      <c r="I99"/>
      <c r="J99"/>
      <c r="K99"/>
      <c r="L99"/>
      <c r="M99"/>
      <c r="N99"/>
      <c r="O99"/>
      <c r="P99"/>
      <c r="Q99"/>
      <c r="R99"/>
      <c r="S99"/>
      <c r="T99"/>
      <c r="U99"/>
    </row>
    <row r="100" spans="2:21" ht="15.75">
      <c r="B100"/>
      <c r="C100"/>
      <c r="D100"/>
      <c r="E100"/>
      <c r="F100"/>
      <c r="G100"/>
      <c r="H100"/>
      <c r="I100"/>
      <c r="J100"/>
      <c r="K100"/>
      <c r="L100"/>
      <c r="M100"/>
      <c r="N100"/>
      <c r="O100"/>
      <c r="P100"/>
      <c r="Q100"/>
      <c r="R100"/>
      <c r="S100"/>
      <c r="T100"/>
      <c r="U100"/>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B1:L36"/>
  <sheetViews>
    <sheetView topLeftCell="B1" zoomScale="110" zoomScaleNormal="110" workbookViewId="0">
      <selection activeCell="B27" sqref="B27"/>
    </sheetView>
  </sheetViews>
  <sheetFormatPr baseColWidth="10" defaultColWidth="11" defaultRowHeight="12.75"/>
  <cols>
    <col min="1" max="1" width="3.125" style="183" customWidth="1"/>
    <col min="2" max="2" width="71.625" style="183" customWidth="1"/>
    <col min="3" max="3" width="17" style="183" customWidth="1"/>
    <col min="4" max="4" width="16.375" style="183" customWidth="1"/>
    <col min="5" max="5" width="16.125" style="183" customWidth="1"/>
    <col min="6" max="6" width="17.125" style="219" customWidth="1"/>
    <col min="7" max="7" width="21.625" style="219" customWidth="1"/>
    <col min="8" max="8" width="14.125" style="219" customWidth="1"/>
    <col min="9" max="9" width="11" style="183" bestFit="1" customWidth="1"/>
    <col min="10" max="10" width="32.875" style="183" bestFit="1" customWidth="1"/>
    <col min="11" max="16384" width="11" style="183"/>
  </cols>
  <sheetData>
    <row r="1" spans="2:9">
      <c r="F1" s="218"/>
      <c r="G1" s="218"/>
      <c r="H1" s="218"/>
    </row>
    <row r="2" spans="2:9">
      <c r="B2" s="675" t="s">
        <v>402</v>
      </c>
      <c r="C2" s="675"/>
      <c r="D2" s="675"/>
      <c r="E2" s="675"/>
      <c r="F2" s="675"/>
      <c r="G2" s="675"/>
    </row>
    <row r="3" spans="2:9">
      <c r="B3" s="675"/>
      <c r="C3" s="675"/>
      <c r="D3" s="675"/>
      <c r="E3" s="675"/>
      <c r="F3" s="675"/>
      <c r="G3" s="675"/>
    </row>
    <row r="4" spans="2:9">
      <c r="B4" s="675"/>
      <c r="C4" s="675"/>
      <c r="D4" s="675"/>
      <c r="E4" s="675"/>
      <c r="F4" s="675"/>
      <c r="G4" s="675"/>
    </row>
    <row r="5" spans="2:9" ht="13.5" thickBot="1"/>
    <row r="6" spans="2:9" ht="27" thickTop="1" thickBot="1">
      <c r="B6" s="220" t="s">
        <v>403</v>
      </c>
      <c r="C6" s="221" t="s">
        <v>404</v>
      </c>
      <c r="D6" s="222" t="s">
        <v>405</v>
      </c>
      <c r="E6" s="223" t="s">
        <v>406</v>
      </c>
      <c r="F6" s="222" t="s">
        <v>407</v>
      </c>
      <c r="G6" s="224" t="s">
        <v>408</v>
      </c>
      <c r="H6" s="224" t="s">
        <v>409</v>
      </c>
      <c r="I6" s="224" t="s">
        <v>409</v>
      </c>
    </row>
    <row r="7" spans="2:9">
      <c r="B7" s="225" t="s">
        <v>325</v>
      </c>
      <c r="C7" s="226">
        <v>31628.117609000001</v>
      </c>
      <c r="D7" s="227">
        <v>7.2999999999999995E-2</v>
      </c>
      <c r="E7" s="227">
        <f>1-D7</f>
        <v>0.92700000000000005</v>
      </c>
      <c r="F7" s="228">
        <f>+C7*E7</f>
        <v>29319.265023543001</v>
      </c>
      <c r="G7" s="229">
        <f>+C7-F7</f>
        <v>2308.8525854569998</v>
      </c>
      <c r="H7" s="229">
        <f t="shared" ref="H7:H24" si="0">G7*$C$36</f>
        <v>8.3118693076451997</v>
      </c>
      <c r="I7" s="230">
        <f>H7/$H$27</f>
        <v>0.20861233875219762</v>
      </c>
    </row>
    <row r="8" spans="2:9">
      <c r="B8" s="225" t="s">
        <v>324</v>
      </c>
      <c r="C8" s="226">
        <v>143666.33110380071</v>
      </c>
      <c r="D8" s="227">
        <v>2.5861901411314371E-2</v>
      </c>
      <c r="E8" s="227">
        <f t="shared" ref="E8:E24" si="1">1-D8</f>
        <v>0.97413809858868561</v>
      </c>
      <c r="F8" s="228">
        <f t="shared" ref="F8:F24" si="2">+C8*E8</f>
        <v>139950.84661266897</v>
      </c>
      <c r="G8" s="229">
        <f t="shared" ref="G8:G24" si="3">+C8-F8</f>
        <v>3715.4844911317341</v>
      </c>
      <c r="H8" s="229">
        <f t="shared" si="0"/>
        <v>13.375744168074242</v>
      </c>
      <c r="I8" s="230">
        <f t="shared" ref="I8:I26" si="4">H8/$H$27</f>
        <v>0.33570610535063333</v>
      </c>
    </row>
    <row r="9" spans="2:9">
      <c r="B9" s="225" t="s">
        <v>323</v>
      </c>
      <c r="C9" s="226">
        <v>2225.04</v>
      </c>
      <c r="D9" s="227">
        <v>2.5861901411314371E-2</v>
      </c>
      <c r="E9" s="227">
        <f t="shared" si="1"/>
        <v>0.97413809858868561</v>
      </c>
      <c r="F9" s="228">
        <f t="shared" si="2"/>
        <v>2167.4962348837689</v>
      </c>
      <c r="G9" s="229">
        <f t="shared" si="3"/>
        <v>57.543765116231043</v>
      </c>
      <c r="H9" s="229">
        <f t="shared" si="0"/>
        <v>0.20715755441843176</v>
      </c>
      <c r="I9" s="230">
        <f t="shared" si="4"/>
        <v>5.1992662923207016E-3</v>
      </c>
    </row>
    <row r="10" spans="2:9">
      <c r="B10" s="225" t="s">
        <v>322</v>
      </c>
      <c r="C10" s="226">
        <v>2226.4822350999998</v>
      </c>
      <c r="D10" s="227">
        <v>2.9740162682396501E-2</v>
      </c>
      <c r="E10" s="227">
        <f t="shared" si="1"/>
        <v>0.97025983731760346</v>
      </c>
      <c r="F10" s="228">
        <f t="shared" si="2"/>
        <v>2160.2662912186597</v>
      </c>
      <c r="G10" s="229">
        <f t="shared" si="3"/>
        <v>66.215943881340081</v>
      </c>
      <c r="H10" s="229">
        <f t="shared" si="0"/>
        <v>0.23837739797282428</v>
      </c>
      <c r="I10" s="230">
        <f t="shared" si="4"/>
        <v>5.9828258429225232E-3</v>
      </c>
    </row>
    <row r="11" spans="2:9">
      <c r="B11" s="225" t="s">
        <v>320</v>
      </c>
      <c r="C11" s="226">
        <v>146.55527493</v>
      </c>
      <c r="D11" s="227">
        <v>2.9740162682396501E-2</v>
      </c>
      <c r="E11" s="227">
        <f t="shared" si="1"/>
        <v>0.97025983731760346</v>
      </c>
      <c r="F11" s="228">
        <f t="shared" si="2"/>
        <v>142.19669721161844</v>
      </c>
      <c r="G11" s="229">
        <f t="shared" si="3"/>
        <v>4.3585777183815537</v>
      </c>
      <c r="H11" s="229">
        <f t="shared" si="0"/>
        <v>1.5690879786173593E-2</v>
      </c>
      <c r="I11" s="230">
        <f t="shared" si="4"/>
        <v>3.9381166956781752E-4</v>
      </c>
    </row>
    <row r="12" spans="2:9">
      <c r="B12" s="225" t="s">
        <v>319</v>
      </c>
      <c r="C12" s="226">
        <v>0.67610999999999999</v>
      </c>
      <c r="D12" s="227">
        <v>2.9740162682396501E-2</v>
      </c>
      <c r="E12" s="227">
        <f t="shared" si="1"/>
        <v>0.97025983731760346</v>
      </c>
      <c r="F12" s="228">
        <f t="shared" si="2"/>
        <v>0.65600237860880484</v>
      </c>
      <c r="G12" s="229">
        <f t="shared" si="3"/>
        <v>2.0107621391195152E-2</v>
      </c>
      <c r="H12" s="229">
        <f t="shared" si="0"/>
        <v>7.2387437008302548E-5</v>
      </c>
      <c r="I12" s="230">
        <f t="shared" si="4"/>
        <v>1.8167889763003928E-6</v>
      </c>
    </row>
    <row r="13" spans="2:9">
      <c r="B13" s="225" t="s">
        <v>318</v>
      </c>
      <c r="C13" s="226">
        <v>4184.54396131469</v>
      </c>
      <c r="D13" s="227">
        <v>0.01</v>
      </c>
      <c r="E13" s="227">
        <f t="shared" si="1"/>
        <v>0.99</v>
      </c>
      <c r="F13" s="228">
        <f t="shared" si="2"/>
        <v>4142.6985217015426</v>
      </c>
      <c r="G13" s="229">
        <f t="shared" si="3"/>
        <v>41.845439613147391</v>
      </c>
      <c r="H13" s="229">
        <f t="shared" si="0"/>
        <v>0.1506435826073306</v>
      </c>
      <c r="I13" s="230">
        <f t="shared" si="4"/>
        <v>3.7808715371426254E-3</v>
      </c>
    </row>
    <row r="14" spans="2:9">
      <c r="B14" s="225" t="s">
        <v>410</v>
      </c>
      <c r="C14" s="226">
        <v>0.57368375000000005</v>
      </c>
      <c r="D14" s="227">
        <v>0.01</v>
      </c>
      <c r="E14" s="227">
        <f t="shared" si="1"/>
        <v>0.99</v>
      </c>
      <c r="F14" s="228">
        <f t="shared" si="2"/>
        <v>0.56794691250000007</v>
      </c>
      <c r="G14" s="229">
        <f t="shared" si="3"/>
        <v>5.7368374999999805E-3</v>
      </c>
      <c r="H14" s="229">
        <f t="shared" si="0"/>
        <v>2.0652614999999929E-5</v>
      </c>
      <c r="I14" s="230">
        <f t="shared" si="4"/>
        <v>5.1834192250061914E-7</v>
      </c>
    </row>
    <row r="15" spans="2:9">
      <c r="B15" s="225" t="s">
        <v>316</v>
      </c>
      <c r="C15" s="226">
        <v>0</v>
      </c>
      <c r="D15" s="227"/>
      <c r="E15" s="227"/>
      <c r="F15" s="228"/>
      <c r="G15" s="229"/>
      <c r="H15" s="229">
        <f t="shared" si="0"/>
        <v>0</v>
      </c>
      <c r="I15" s="230">
        <f t="shared" si="4"/>
        <v>0</v>
      </c>
    </row>
    <row r="16" spans="2:9">
      <c r="B16" s="225" t="s">
        <v>315</v>
      </c>
      <c r="C16" s="226">
        <v>6069.7173049999992</v>
      </c>
      <c r="D16" s="227">
        <v>5.0999999999999997E-2</v>
      </c>
      <c r="E16" s="227">
        <f t="shared" si="1"/>
        <v>0.94899999999999995</v>
      </c>
      <c r="F16" s="228">
        <f t="shared" si="2"/>
        <v>5760.1617224449992</v>
      </c>
      <c r="G16" s="229">
        <f t="shared" si="3"/>
        <v>309.555582555</v>
      </c>
      <c r="H16" s="229">
        <f t="shared" si="0"/>
        <v>1.1144000971979999</v>
      </c>
      <c r="I16" s="230">
        <f t="shared" si="4"/>
        <v>2.7969353460396668E-2</v>
      </c>
    </row>
    <row r="17" spans="2:12">
      <c r="B17" s="225" t="s">
        <v>313</v>
      </c>
      <c r="C17" s="226">
        <v>28029.136878310001</v>
      </c>
      <c r="D17" s="227">
        <v>8.0000000000000002E-3</v>
      </c>
      <c r="E17" s="227">
        <f t="shared" si="1"/>
        <v>0.99199999999999999</v>
      </c>
      <c r="F17" s="228">
        <f t="shared" si="2"/>
        <v>27804.90378328352</v>
      </c>
      <c r="G17" s="229">
        <f t="shared" si="3"/>
        <v>224.23309502648044</v>
      </c>
      <c r="H17" s="229">
        <f t="shared" si="0"/>
        <v>0.80723914209532954</v>
      </c>
      <c r="I17" s="230">
        <f t="shared" si="4"/>
        <v>2.0260189270532813E-2</v>
      </c>
    </row>
    <row r="18" spans="2:12">
      <c r="B18" s="225" t="s">
        <v>312</v>
      </c>
      <c r="C18" s="226">
        <v>4262.59</v>
      </c>
      <c r="D18" s="227">
        <v>7.2999999999999995E-2</v>
      </c>
      <c r="E18" s="227">
        <f t="shared" si="1"/>
        <v>0.92700000000000005</v>
      </c>
      <c r="F18" s="228">
        <f t="shared" si="2"/>
        <v>3951.4209300000002</v>
      </c>
      <c r="G18" s="229">
        <f t="shared" si="3"/>
        <v>311.16906999999992</v>
      </c>
      <c r="H18" s="229">
        <f t="shared" si="0"/>
        <v>1.1202086519999996</v>
      </c>
      <c r="I18" s="230">
        <f t="shared" si="4"/>
        <v>2.8115137297601723E-2</v>
      </c>
    </row>
    <row r="19" spans="2:12">
      <c r="B19" s="225" t="s">
        <v>311</v>
      </c>
      <c r="C19" s="226">
        <v>11799.869613499986</v>
      </c>
      <c r="D19" s="227">
        <v>3.5000000000000003E-2</v>
      </c>
      <c r="E19" s="227">
        <f t="shared" si="1"/>
        <v>0.96499999999999997</v>
      </c>
      <c r="F19" s="228">
        <f t="shared" si="2"/>
        <v>11386.874177027486</v>
      </c>
      <c r="G19" s="229">
        <f t="shared" si="3"/>
        <v>412.99543647249993</v>
      </c>
      <c r="H19" s="229">
        <f t="shared" si="0"/>
        <v>1.4867835713009998</v>
      </c>
      <c r="I19" s="230">
        <f t="shared" si="4"/>
        <v>3.7315480615432925E-2</v>
      </c>
    </row>
    <row r="20" spans="2:12">
      <c r="B20" s="225" t="s">
        <v>11</v>
      </c>
      <c r="C20" s="226">
        <v>19.492261200000002</v>
      </c>
      <c r="D20" s="227">
        <v>1.9E-2</v>
      </c>
      <c r="E20" s="227">
        <f t="shared" si="1"/>
        <v>0.98099999999999998</v>
      </c>
      <c r="F20" s="228">
        <f t="shared" si="2"/>
        <v>19.1219082372</v>
      </c>
      <c r="G20" s="229">
        <f t="shared" si="3"/>
        <v>0.37035296280000196</v>
      </c>
      <c r="H20" s="229">
        <f t="shared" si="0"/>
        <v>1.333270666080007E-3</v>
      </c>
      <c r="I20" s="230">
        <f t="shared" si="4"/>
        <v>3.3462594459326056E-5</v>
      </c>
    </row>
    <row r="21" spans="2:12">
      <c r="B21" s="225" t="s">
        <v>310</v>
      </c>
      <c r="C21" s="226">
        <v>51376.688963899986</v>
      </c>
      <c r="D21" s="227">
        <v>6.5000000000000002E-2</v>
      </c>
      <c r="E21" s="227">
        <f t="shared" si="1"/>
        <v>0.93500000000000005</v>
      </c>
      <c r="F21" s="228">
        <f t="shared" si="2"/>
        <v>48037.204181246489</v>
      </c>
      <c r="G21" s="229">
        <f t="shared" si="3"/>
        <v>3339.4847826534969</v>
      </c>
      <c r="H21" s="229">
        <f t="shared" si="0"/>
        <v>12.022145217552589</v>
      </c>
      <c r="I21" s="230">
        <f t="shared" si="4"/>
        <v>0.30173330905785317</v>
      </c>
    </row>
    <row r="22" spans="2:12">
      <c r="B22" s="225" t="s">
        <v>309</v>
      </c>
      <c r="C22" s="226">
        <v>1154.1326420000003</v>
      </c>
      <c r="D22" s="227">
        <v>6.5000000000000002E-2</v>
      </c>
      <c r="E22" s="227">
        <f t="shared" si="1"/>
        <v>0.93500000000000005</v>
      </c>
      <c r="F22" s="228">
        <f t="shared" si="2"/>
        <v>1079.1140202700003</v>
      </c>
      <c r="G22" s="229">
        <f t="shared" si="3"/>
        <v>75.01862172999995</v>
      </c>
      <c r="H22" s="229">
        <f t="shared" si="0"/>
        <v>0.27006703822799982</v>
      </c>
      <c r="I22" s="230">
        <f t="shared" si="4"/>
        <v>6.7781764100647837E-3</v>
      </c>
    </row>
    <row r="23" spans="2:12">
      <c r="B23" s="225" t="s">
        <v>307</v>
      </c>
      <c r="C23" s="226">
        <v>9539.2061369999992</v>
      </c>
      <c r="D23" s="227">
        <v>2.1000000000000001E-2</v>
      </c>
      <c r="E23" s="227">
        <f t="shared" si="1"/>
        <v>0.97899999999999998</v>
      </c>
      <c r="F23" s="228">
        <f t="shared" si="2"/>
        <v>9338.8828081229985</v>
      </c>
      <c r="G23" s="229">
        <f t="shared" si="3"/>
        <v>200.32332887700068</v>
      </c>
      <c r="H23" s="229">
        <f t="shared" si="0"/>
        <v>0.72116398395720238</v>
      </c>
      <c r="I23" s="230">
        <f t="shared" si="4"/>
        <v>1.8099864151952826E-2</v>
      </c>
    </row>
    <row r="24" spans="2:12">
      <c r="B24" s="225" t="s">
        <v>306</v>
      </c>
      <c r="C24" s="226">
        <v>9.2086000000000006</v>
      </c>
      <c r="D24" s="227">
        <v>2.1000000000000001E-2</v>
      </c>
      <c r="E24" s="227">
        <f t="shared" si="1"/>
        <v>0.97899999999999998</v>
      </c>
      <c r="F24" s="228">
        <f t="shared" si="2"/>
        <v>9.0152194000000012</v>
      </c>
      <c r="G24" s="229">
        <f t="shared" si="3"/>
        <v>0.19338059999999935</v>
      </c>
      <c r="H24" s="231">
        <f t="shared" si="0"/>
        <v>6.961701599999976E-4</v>
      </c>
      <c r="I24" s="230">
        <f t="shared" si="4"/>
        <v>1.7472566022363929E-5</v>
      </c>
    </row>
    <row r="25" spans="2:12">
      <c r="B25" s="225" t="s">
        <v>305</v>
      </c>
      <c r="C25" s="226"/>
      <c r="D25" s="232"/>
      <c r="E25" s="232"/>
      <c r="F25" s="228"/>
      <c r="G25" s="229"/>
      <c r="H25" s="229"/>
      <c r="I25" s="230">
        <f t="shared" si="4"/>
        <v>0</v>
      </c>
    </row>
    <row r="26" spans="2:12">
      <c r="B26" s="233" t="s">
        <v>302</v>
      </c>
      <c r="C26" s="234"/>
      <c r="D26" s="235"/>
      <c r="E26" s="235"/>
      <c r="F26" s="236"/>
      <c r="G26" s="237"/>
      <c r="H26" s="237"/>
      <c r="I26" s="230">
        <f t="shared" si="4"/>
        <v>0</v>
      </c>
    </row>
    <row r="27" spans="2:12" ht="13.5" thickBot="1">
      <c r="B27" s="238" t="s">
        <v>372</v>
      </c>
      <c r="C27" s="239">
        <v>296338.36237880541</v>
      </c>
      <c r="D27" s="235"/>
      <c r="E27" s="235"/>
      <c r="F27" s="240">
        <f>+SUM(F7:F26)</f>
        <v>285270.69208055135</v>
      </c>
      <c r="G27" s="241">
        <f>+C27-F27</f>
        <v>11067.670298254059</v>
      </c>
      <c r="H27" s="241">
        <f>SUM(H7:H26)</f>
        <v>39.843613073714408</v>
      </c>
      <c r="I27" s="242">
        <f>SUM(I7:I26)</f>
        <v>1</v>
      </c>
    </row>
    <row r="28" spans="2:12" ht="13.5" thickTop="1">
      <c r="H28" s="243">
        <f>H27/10</f>
        <v>3.984361307371441</v>
      </c>
    </row>
    <row r="29" spans="2:12" ht="48" customHeight="1">
      <c r="B29" s="244" t="s">
        <v>411</v>
      </c>
      <c r="G29" s="245">
        <v>1387.2729999999999</v>
      </c>
      <c r="I29" s="246"/>
      <c r="K29" s="246"/>
      <c r="L29" s="246"/>
    </row>
    <row r="30" spans="2:12" ht="58.5" customHeight="1">
      <c r="B30" s="244" t="s">
        <v>412</v>
      </c>
      <c r="G30" s="247">
        <v>132.14400000000001</v>
      </c>
    </row>
    <row r="31" spans="2:12">
      <c r="B31" s="244" t="s">
        <v>413</v>
      </c>
      <c r="G31" s="245">
        <f>(G27*1000000)</f>
        <v>11067670298.254059</v>
      </c>
    </row>
    <row r="32" spans="2:12">
      <c r="B32" s="244" t="s">
        <v>414</v>
      </c>
      <c r="G32" s="248">
        <f>(G29/G31)*1000000</f>
        <v>0.12534462652170297</v>
      </c>
    </row>
    <row r="33" spans="2:7">
      <c r="B33" s="244" t="s">
        <v>415</v>
      </c>
      <c r="G33" s="249">
        <f>G32*100</f>
        <v>12.534462652170298</v>
      </c>
    </row>
    <row r="35" spans="2:7">
      <c r="B35" s="250" t="s">
        <v>394</v>
      </c>
      <c r="C35" s="251"/>
      <c r="D35" s="252"/>
    </row>
    <row r="36" spans="2:7">
      <c r="B36" s="253" t="s">
        <v>395</v>
      </c>
      <c r="C36" s="254">
        <v>3.5999999999999999E-3</v>
      </c>
      <c r="D36" s="255" t="s">
        <v>390</v>
      </c>
    </row>
  </sheetData>
  <mergeCells count="1">
    <mergeCell ref="B2:G4"/>
  </mergeCell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B1:W119"/>
  <sheetViews>
    <sheetView topLeftCell="K1" zoomScale="80" zoomScaleNormal="80" workbookViewId="0">
      <selection activeCell="W12" sqref="W12:W14"/>
    </sheetView>
  </sheetViews>
  <sheetFormatPr baseColWidth="10" defaultColWidth="42.875" defaultRowHeight="15.75"/>
  <cols>
    <col min="1" max="1" width="3.125" customWidth="1"/>
    <col min="2" max="2" width="19.875" customWidth="1"/>
    <col min="8" max="8" width="13.125" customWidth="1"/>
    <col min="11" max="16" width="20.375" customWidth="1"/>
    <col min="18" max="23" width="15.375" customWidth="1"/>
    <col min="24" max="24" width="28.875" customWidth="1"/>
  </cols>
  <sheetData>
    <row r="1" spans="2:23" ht="16.5" thickBot="1">
      <c r="K1" s="3" t="s">
        <v>592</v>
      </c>
      <c r="L1" s="3"/>
      <c r="M1" s="3"/>
      <c r="N1" s="3"/>
      <c r="O1" s="3"/>
    </row>
    <row r="2" spans="2:23">
      <c r="B2" s="682" t="s">
        <v>561</v>
      </c>
      <c r="C2" s="683"/>
      <c r="D2" s="683"/>
      <c r="E2" s="683"/>
      <c r="F2" s="683"/>
      <c r="G2" s="684"/>
      <c r="H2" s="3" t="s">
        <v>560</v>
      </c>
      <c r="I2" s="3" t="s">
        <v>562</v>
      </c>
      <c r="K2" s="3" t="s">
        <v>593</v>
      </c>
      <c r="L2" s="3"/>
      <c r="M2" s="3"/>
      <c r="N2" s="3"/>
      <c r="O2" s="3"/>
    </row>
    <row r="3" spans="2:23">
      <c r="B3" s="685"/>
      <c r="C3" s="680"/>
      <c r="D3" s="680"/>
      <c r="E3" s="680"/>
      <c r="F3" s="680"/>
      <c r="G3" s="686"/>
      <c r="H3" s="3"/>
    </row>
    <row r="4" spans="2:23">
      <c r="B4" s="193"/>
      <c r="C4" s="7"/>
      <c r="D4" s="7" t="s">
        <v>383</v>
      </c>
      <c r="E4" s="7" t="s">
        <v>384</v>
      </c>
      <c r="F4" s="7" t="s">
        <v>172</v>
      </c>
      <c r="G4" s="194" t="s">
        <v>386</v>
      </c>
      <c r="H4" s="3"/>
      <c r="M4" t="s">
        <v>594</v>
      </c>
    </row>
    <row r="5" spans="2:23">
      <c r="B5" s="195" t="s">
        <v>218</v>
      </c>
      <c r="C5" s="196" t="s">
        <v>313</v>
      </c>
      <c r="D5" s="197">
        <f>D39+D56+D73+D90</f>
        <v>0</v>
      </c>
      <c r="E5" s="197">
        <f>E39+E56+E73+E90</f>
        <v>0</v>
      </c>
      <c r="F5" s="197">
        <f>F39+F56+F73+F90</f>
        <v>0.68662517550491398</v>
      </c>
      <c r="G5" s="198">
        <f>G39+G56+G73+G90</f>
        <v>0</v>
      </c>
      <c r="H5" s="336">
        <f>SUM(D5:G5)</f>
        <v>0.68662517550491398</v>
      </c>
      <c r="K5" t="s">
        <v>595</v>
      </c>
      <c r="L5" t="s">
        <v>390</v>
      </c>
      <c r="M5">
        <v>2013</v>
      </c>
      <c r="N5">
        <v>2014</v>
      </c>
      <c r="O5">
        <v>2015</v>
      </c>
      <c r="P5">
        <v>2016</v>
      </c>
    </row>
    <row r="6" spans="2:23">
      <c r="B6" s="195" t="s">
        <v>219</v>
      </c>
      <c r="C6" s="196" t="s">
        <v>318</v>
      </c>
      <c r="D6" s="197">
        <f t="shared" ref="D6:G15" si="0">D40+D57+D74+D91</f>
        <v>0</v>
      </c>
      <c r="E6" s="197">
        <f t="shared" si="0"/>
        <v>0</v>
      </c>
      <c r="F6" s="197">
        <f t="shared" si="0"/>
        <v>2.9019148936170212E-2</v>
      </c>
      <c r="G6" s="198">
        <f t="shared" si="0"/>
        <v>0</v>
      </c>
      <c r="H6" s="336">
        <f t="shared" ref="H6:H16" si="1">SUM(D6:G6)</f>
        <v>2.9019148936170212E-2</v>
      </c>
      <c r="K6" s="3" t="s">
        <v>615</v>
      </c>
      <c r="L6" s="3"/>
      <c r="M6" s="3">
        <f>M7-M16</f>
        <v>2504.0419999999999</v>
      </c>
      <c r="N6" s="3">
        <f t="shared" ref="N6:P6" si="2">N7-N16</f>
        <v>2423.5410000000002</v>
      </c>
      <c r="O6" s="3">
        <f t="shared" si="2"/>
        <v>2367.5339999999997</v>
      </c>
      <c r="P6" s="3">
        <f t="shared" si="2"/>
        <v>2846.9079999999999</v>
      </c>
      <c r="R6" s="3" t="s">
        <v>619</v>
      </c>
      <c r="S6" t="s">
        <v>419</v>
      </c>
      <c r="T6" t="s">
        <v>384</v>
      </c>
      <c r="U6" t="s">
        <v>379</v>
      </c>
      <c r="V6" t="s">
        <v>386</v>
      </c>
      <c r="W6" t="s">
        <v>7</v>
      </c>
    </row>
    <row r="7" spans="2:23">
      <c r="B7" s="195" t="s">
        <v>171</v>
      </c>
      <c r="C7" s="196" t="s">
        <v>315</v>
      </c>
      <c r="D7" s="197">
        <f t="shared" si="0"/>
        <v>0</v>
      </c>
      <c r="E7" s="197">
        <f t="shared" si="0"/>
        <v>0</v>
      </c>
      <c r="F7" s="197">
        <f t="shared" si="0"/>
        <v>1.6847488929690031</v>
      </c>
      <c r="G7" s="198">
        <f t="shared" si="0"/>
        <v>0</v>
      </c>
      <c r="H7" s="336">
        <f t="shared" si="1"/>
        <v>1.6847488929690031</v>
      </c>
      <c r="K7" t="s">
        <v>7</v>
      </c>
      <c r="M7">
        <v>2562.6120000000001</v>
      </c>
      <c r="N7">
        <v>2491.69</v>
      </c>
      <c r="O7">
        <v>2435.9389999999999</v>
      </c>
      <c r="P7">
        <v>2917.317</v>
      </c>
      <c r="R7" t="s">
        <v>616</v>
      </c>
      <c r="S7" s="306">
        <f>SUM(M8,M13:M14,M17:M19)</f>
        <v>828.16600000000005</v>
      </c>
      <c r="T7" s="306">
        <f>M15</f>
        <v>1303.69</v>
      </c>
      <c r="U7" s="306">
        <f>SUM(M9:M12)</f>
        <v>372.18700000000001</v>
      </c>
      <c r="V7" s="306">
        <f>M16</f>
        <v>58.57</v>
      </c>
      <c r="W7" s="306">
        <f>SUM(S7:V7)</f>
        <v>2562.6130000000003</v>
      </c>
    </row>
    <row r="8" spans="2:23">
      <c r="B8" s="195" t="s">
        <v>11</v>
      </c>
      <c r="C8" s="196" t="s">
        <v>11</v>
      </c>
      <c r="D8" s="197">
        <f t="shared" si="0"/>
        <v>0</v>
      </c>
      <c r="E8" s="197">
        <f t="shared" si="0"/>
        <v>0</v>
      </c>
      <c r="F8" s="197">
        <f t="shared" si="0"/>
        <v>4.569967959102855E-5</v>
      </c>
      <c r="G8" s="198">
        <f t="shared" si="0"/>
        <v>0</v>
      </c>
      <c r="H8" s="336">
        <f t="shared" si="1"/>
        <v>4.569967959102855E-5</v>
      </c>
      <c r="K8" t="s">
        <v>287</v>
      </c>
      <c r="M8">
        <v>339.90100000000001</v>
      </c>
      <c r="N8">
        <v>357.93799999999999</v>
      </c>
      <c r="O8">
        <v>362.94400000000002</v>
      </c>
      <c r="P8">
        <v>372.851</v>
      </c>
      <c r="R8" t="s">
        <v>617</v>
      </c>
      <c r="S8" s="306">
        <f>D34</f>
        <v>8266.3185281942533</v>
      </c>
      <c r="T8" s="306">
        <f t="shared" ref="T8:V8" si="3">E34</f>
        <v>1360.9236506602961</v>
      </c>
      <c r="U8" s="306">
        <f t="shared" si="3"/>
        <v>27.737020971806533</v>
      </c>
      <c r="V8" s="306">
        <f t="shared" si="3"/>
        <v>126.45347756049459</v>
      </c>
      <c r="W8" s="306">
        <f>SUM(S8:V8)</f>
        <v>9781.4326773868506</v>
      </c>
    </row>
    <row r="9" spans="2:23" ht="47.25">
      <c r="B9" s="195" t="s">
        <v>220</v>
      </c>
      <c r="C9" s="196" t="s">
        <v>548</v>
      </c>
      <c r="D9" s="197">
        <f t="shared" si="0"/>
        <v>425.34769185223041</v>
      </c>
      <c r="E9" s="197">
        <f t="shared" si="0"/>
        <v>172.79084386292621</v>
      </c>
      <c r="F9" s="197">
        <f t="shared" si="0"/>
        <v>3.2855209547467332</v>
      </c>
      <c r="G9" s="198">
        <f t="shared" si="0"/>
        <v>0</v>
      </c>
      <c r="H9" s="336">
        <f t="shared" si="1"/>
        <v>601.42405666990339</v>
      </c>
      <c r="K9" s="5" t="s">
        <v>237</v>
      </c>
      <c r="L9" s="5"/>
      <c r="M9" s="5">
        <v>122.598</v>
      </c>
      <c r="N9">
        <v>100.596</v>
      </c>
      <c r="O9">
        <v>120.407</v>
      </c>
      <c r="P9">
        <v>109.95399999999999</v>
      </c>
      <c r="R9" s="307" t="s">
        <v>618</v>
      </c>
      <c r="S9" s="306">
        <f>D17</f>
        <v>455.61392134351217</v>
      </c>
      <c r="T9" s="306">
        <f t="shared" ref="T9:V9" si="4">E17</f>
        <v>1228.461661992482</v>
      </c>
      <c r="U9" s="306">
        <f t="shared" si="4"/>
        <v>24.684593251971059</v>
      </c>
      <c r="V9" s="306">
        <f t="shared" si="4"/>
        <v>126.45347756049459</v>
      </c>
      <c r="W9" s="306">
        <f>SUM(S9:V9)</f>
        <v>1835.2136541484599</v>
      </c>
    </row>
    <row r="10" spans="2:23" ht="31.5">
      <c r="B10" s="195" t="s">
        <v>365</v>
      </c>
      <c r="C10" s="196" t="s">
        <v>549</v>
      </c>
      <c r="D10" s="197">
        <f t="shared" si="0"/>
        <v>0</v>
      </c>
      <c r="E10" s="197">
        <f t="shared" si="0"/>
        <v>0</v>
      </c>
      <c r="F10" s="197">
        <f t="shared" si="0"/>
        <v>0</v>
      </c>
      <c r="G10" s="198">
        <f t="shared" si="0"/>
        <v>126.45347756049459</v>
      </c>
      <c r="H10" s="336">
        <f t="shared" si="1"/>
        <v>126.45347756049459</v>
      </c>
      <c r="K10" s="5" t="s">
        <v>236</v>
      </c>
      <c r="L10" s="5"/>
      <c r="M10" s="5">
        <v>100.877</v>
      </c>
      <c r="N10">
        <v>140.01400000000001</v>
      </c>
      <c r="O10">
        <v>111.21</v>
      </c>
      <c r="P10">
        <v>110.51</v>
      </c>
    </row>
    <row r="11" spans="2:23" ht="31.5">
      <c r="B11" s="195" t="s">
        <v>550</v>
      </c>
      <c r="C11" s="196" t="s">
        <v>551</v>
      </c>
      <c r="D11" s="197">
        <f t="shared" si="0"/>
        <v>0</v>
      </c>
      <c r="E11" s="197">
        <f t="shared" si="0"/>
        <v>0</v>
      </c>
      <c r="F11" s="197">
        <f t="shared" si="0"/>
        <v>0</v>
      </c>
      <c r="G11" s="198">
        <f t="shared" si="0"/>
        <v>0</v>
      </c>
      <c r="H11" s="336">
        <f t="shared" si="1"/>
        <v>0</v>
      </c>
      <c r="K11" s="5" t="s">
        <v>235</v>
      </c>
      <c r="L11" s="5"/>
      <c r="M11" s="5">
        <v>131.316</v>
      </c>
      <c r="N11">
        <v>129.87799999999999</v>
      </c>
      <c r="O11">
        <v>134.53</v>
      </c>
      <c r="P11">
        <v>132.595</v>
      </c>
      <c r="R11" s="3" t="s">
        <v>620</v>
      </c>
    </row>
    <row r="12" spans="2:23">
      <c r="B12" s="195" t="s">
        <v>187</v>
      </c>
      <c r="C12" s="196" t="s">
        <v>311</v>
      </c>
      <c r="D12" s="197">
        <f t="shared" si="0"/>
        <v>0</v>
      </c>
      <c r="E12" s="197">
        <f t="shared" si="0"/>
        <v>0</v>
      </c>
      <c r="F12" s="197">
        <f t="shared" si="0"/>
        <v>1.2193623501458042</v>
      </c>
      <c r="G12" s="198">
        <f t="shared" si="0"/>
        <v>0</v>
      </c>
      <c r="H12" s="336">
        <f t="shared" si="1"/>
        <v>1.2193623501458042</v>
      </c>
      <c r="K12" s="5" t="s">
        <v>596</v>
      </c>
      <c r="L12" s="5"/>
      <c r="M12" s="5">
        <v>17.396000000000001</v>
      </c>
      <c r="N12">
        <v>25.731000000000002</v>
      </c>
      <c r="O12">
        <v>34.078000000000003</v>
      </c>
      <c r="P12">
        <v>40.182000000000002</v>
      </c>
      <c r="R12" t="s">
        <v>616</v>
      </c>
      <c r="S12" s="308">
        <f>Step2!AA$25/S7</f>
        <v>98.584463742776208</v>
      </c>
      <c r="T12" s="308">
        <f>Step2!AB$25/T7</f>
        <v>23.149025855903062</v>
      </c>
      <c r="U12" s="308">
        <f>Step2!AC$25/U7</f>
        <v>3.7273547974539678</v>
      </c>
      <c r="W12" s="309">
        <f>Step2!AD$25/W7</f>
        <v>44.177847969272875</v>
      </c>
    </row>
    <row r="13" spans="2:23">
      <c r="B13" s="195" t="s">
        <v>222</v>
      </c>
      <c r="C13" s="196" t="s">
        <v>552</v>
      </c>
      <c r="D13" s="197">
        <f t="shared" si="0"/>
        <v>0.42469153683000005</v>
      </c>
      <c r="E13" s="197">
        <f t="shared" si="0"/>
        <v>0</v>
      </c>
      <c r="F13" s="197">
        <f t="shared" si="0"/>
        <v>7.0185735896605115</v>
      </c>
      <c r="G13" s="198">
        <f t="shared" si="0"/>
        <v>0</v>
      </c>
      <c r="H13" s="336">
        <f t="shared" si="1"/>
        <v>7.4432651264905116</v>
      </c>
      <c r="K13" t="s">
        <v>3</v>
      </c>
      <c r="M13">
        <v>27.908999999999999</v>
      </c>
      <c r="N13">
        <v>17.806000000000001</v>
      </c>
      <c r="O13">
        <v>20.702000000000002</v>
      </c>
      <c r="P13">
        <v>28.701000000000001</v>
      </c>
      <c r="R13" t="s">
        <v>617</v>
      </c>
      <c r="S13" s="308">
        <f>Step2!AA$25/S8</f>
        <v>9.8767426783195713</v>
      </c>
      <c r="T13" s="308">
        <f>Step2!AB$25/T8</f>
        <v>22.175493462428896</v>
      </c>
      <c r="U13" s="308">
        <f>Step2!AC$25/U8</f>
        <v>50.015212571317669</v>
      </c>
      <c r="W13" s="309">
        <f>Step2!AD$25/W8</f>
        <v>11.574043522254961</v>
      </c>
    </row>
    <row r="14" spans="2:23" ht="47.25">
      <c r="B14" s="195" t="s">
        <v>224</v>
      </c>
      <c r="C14" s="196" t="s">
        <v>553</v>
      </c>
      <c r="D14" s="197">
        <f t="shared" si="0"/>
        <v>2.4576099507015003</v>
      </c>
      <c r="E14" s="197">
        <f t="shared" si="0"/>
        <v>1046.2725649654919</v>
      </c>
      <c r="F14" s="197">
        <f t="shared" si="0"/>
        <v>4.9129150880224657</v>
      </c>
      <c r="G14" s="198">
        <f t="shared" si="0"/>
        <v>0</v>
      </c>
      <c r="H14" s="336">
        <f t="shared" si="1"/>
        <v>1053.6430900042158</v>
      </c>
      <c r="K14" t="s">
        <v>229</v>
      </c>
      <c r="M14">
        <v>413.71800000000002</v>
      </c>
      <c r="N14">
        <v>258.52100000000002</v>
      </c>
      <c r="O14">
        <v>248.40299999999999</v>
      </c>
      <c r="P14">
        <v>273.29599999999999</v>
      </c>
      <c r="R14" s="307" t="s">
        <v>618</v>
      </c>
      <c r="S14" s="308">
        <f>Step2!AA$25/S9</f>
        <v>179.19623869096819</v>
      </c>
      <c r="T14" s="308">
        <f>Step2!AB$25/T9</f>
        <v>24.566622184312784</v>
      </c>
      <c r="U14" s="308">
        <f>Step2!AC$25/U9</f>
        <v>56.199953786527409</v>
      </c>
      <c r="W14" s="309">
        <f>Step2!AD$25/W9</f>
        <v>61.688036846375859</v>
      </c>
    </row>
    <row r="15" spans="2:23">
      <c r="B15" s="195" t="s">
        <v>223</v>
      </c>
      <c r="C15" s="196" t="s">
        <v>322</v>
      </c>
      <c r="D15" s="197">
        <f t="shared" si="0"/>
        <v>1.6295219483878611</v>
      </c>
      <c r="E15" s="197">
        <f t="shared" si="0"/>
        <v>2.4140196014628277</v>
      </c>
      <c r="F15" s="197">
        <f t="shared" si="0"/>
        <v>0.18264935738200672</v>
      </c>
      <c r="G15" s="198">
        <f t="shared" si="0"/>
        <v>0</v>
      </c>
      <c r="H15" s="336">
        <f t="shared" si="1"/>
        <v>4.2261909072326951</v>
      </c>
      <c r="K15" t="s">
        <v>282</v>
      </c>
      <c r="M15">
        <v>1303.69</v>
      </c>
      <c r="N15">
        <v>1342.0840000000001</v>
      </c>
      <c r="O15">
        <v>1284.9970000000001</v>
      </c>
      <c r="P15">
        <v>1734.6220000000001</v>
      </c>
    </row>
    <row r="16" spans="2:23" ht="16.5" thickBot="1">
      <c r="B16" s="199" t="s">
        <v>221</v>
      </c>
      <c r="C16" s="200" t="s">
        <v>554</v>
      </c>
      <c r="D16" s="201">
        <f>D50+D67+D84+D101</f>
        <v>25.754406055362452</v>
      </c>
      <c r="E16" s="201">
        <f>E50+E67+E84+E101</f>
        <v>6.9842335626009442</v>
      </c>
      <c r="F16" s="201">
        <f>F50+F67+F84+F101</f>
        <v>5.6651329949238587</v>
      </c>
      <c r="G16" s="202">
        <f>G50+G67+G84+G101</f>
        <v>0</v>
      </c>
      <c r="H16" s="336">
        <f t="shared" si="1"/>
        <v>38.403772612887252</v>
      </c>
      <c r="K16" t="s">
        <v>271</v>
      </c>
      <c r="M16">
        <v>58.57</v>
      </c>
      <c r="N16">
        <v>68.149000000000001</v>
      </c>
      <c r="O16">
        <v>68.405000000000001</v>
      </c>
      <c r="P16">
        <v>70.409000000000006</v>
      </c>
      <c r="R16" s="3"/>
    </row>
    <row r="17" spans="2:16">
      <c r="B17" s="3"/>
      <c r="C17" s="3" t="s">
        <v>7</v>
      </c>
      <c r="D17" s="217">
        <f>SUM(D5:D16)</f>
        <v>455.61392134351217</v>
      </c>
      <c r="E17" s="217">
        <f t="shared" ref="E17:G17" si="5">SUM(E5:E16)</f>
        <v>1228.461661992482</v>
      </c>
      <c r="F17" s="217">
        <f t="shared" si="5"/>
        <v>24.684593251971059</v>
      </c>
      <c r="G17" s="217">
        <f t="shared" si="5"/>
        <v>126.45347756049459</v>
      </c>
      <c r="H17" s="336">
        <f>SUM(D17:G17)</f>
        <v>1835.2136541484599</v>
      </c>
      <c r="I17" s="256">
        <f>H17-G17</f>
        <v>1708.7601765879654</v>
      </c>
      <c r="K17" t="s">
        <v>231</v>
      </c>
      <c r="M17">
        <v>36.118000000000002</v>
      </c>
      <c r="N17">
        <v>38.997999999999998</v>
      </c>
      <c r="O17">
        <v>39.341000000000001</v>
      </c>
      <c r="P17">
        <v>34.911999999999999</v>
      </c>
    </row>
    <row r="18" spans="2:16" ht="16.5" thickBot="1">
      <c r="K18" t="s">
        <v>294</v>
      </c>
      <c r="M18">
        <v>5.5449999999999999</v>
      </c>
      <c r="N18">
        <v>5.1390000000000002</v>
      </c>
      <c r="O18">
        <v>5.093</v>
      </c>
      <c r="P18">
        <v>3.6</v>
      </c>
    </row>
    <row r="19" spans="2:16">
      <c r="B19" s="682" t="s">
        <v>547</v>
      </c>
      <c r="C19" s="683"/>
      <c r="D19" s="683"/>
      <c r="E19" s="683"/>
      <c r="F19" s="683"/>
      <c r="G19" s="684"/>
      <c r="H19" s="3" t="s">
        <v>560</v>
      </c>
      <c r="K19" t="s">
        <v>279</v>
      </c>
      <c r="M19">
        <v>4.9749999999999996</v>
      </c>
      <c r="N19">
        <v>6.835</v>
      </c>
      <c r="O19">
        <v>5.8289999999999997</v>
      </c>
      <c r="P19">
        <v>5.6859999999999999</v>
      </c>
    </row>
    <row r="20" spans="2:16">
      <c r="B20" s="685"/>
      <c r="C20" s="680"/>
      <c r="D20" s="680"/>
      <c r="E20" s="680"/>
      <c r="F20" s="680"/>
      <c r="G20" s="686"/>
      <c r="H20" s="3"/>
    </row>
    <row r="21" spans="2:16">
      <c r="B21" s="193"/>
      <c r="C21" s="7"/>
      <c r="D21" s="7" t="s">
        <v>383</v>
      </c>
      <c r="E21" s="7" t="s">
        <v>384</v>
      </c>
      <c r="F21" s="7" t="s">
        <v>172</v>
      </c>
      <c r="G21" s="194" t="s">
        <v>386</v>
      </c>
      <c r="H21" s="3"/>
      <c r="K21" s="3" t="s">
        <v>597</v>
      </c>
      <c r="M21">
        <v>1617.7819999999999</v>
      </c>
      <c r="N21">
        <v>1493.0830000000001</v>
      </c>
      <c r="O21">
        <v>1480.5329999999999</v>
      </c>
      <c r="P21">
        <v>1623.079</v>
      </c>
    </row>
    <row r="22" spans="2:16">
      <c r="B22" s="195" t="s">
        <v>218</v>
      </c>
      <c r="C22" s="196" t="s">
        <v>313</v>
      </c>
      <c r="D22" s="197">
        <f t="shared" ref="D22:G33" si="6">+D39+D56+D73+D90+D107</f>
        <v>1.0732627E-2</v>
      </c>
      <c r="E22" s="197">
        <f t="shared" si="6"/>
        <v>7.5585340099100008E-4</v>
      </c>
      <c r="F22" s="197">
        <f t="shared" si="6"/>
        <v>0.70319009381862674</v>
      </c>
      <c r="G22" s="198">
        <f t="shared" si="6"/>
        <v>0</v>
      </c>
      <c r="H22" s="217">
        <f>SUM(D22:G22)</f>
        <v>0.71467857421961778</v>
      </c>
      <c r="K22" t="s">
        <v>287</v>
      </c>
      <c r="M22">
        <v>338.40899999999999</v>
      </c>
      <c r="N22">
        <v>356.84199999999998</v>
      </c>
      <c r="O22">
        <v>362.45499999999998</v>
      </c>
      <c r="P22">
        <v>372.851</v>
      </c>
    </row>
    <row r="23" spans="2:16">
      <c r="B23" s="195" t="s">
        <v>219</v>
      </c>
      <c r="C23" s="196" t="s">
        <v>318</v>
      </c>
      <c r="D23" s="197">
        <f t="shared" si="6"/>
        <v>0</v>
      </c>
      <c r="E23" s="197">
        <f t="shared" si="6"/>
        <v>0.16280829636500002</v>
      </c>
      <c r="F23" s="197">
        <f t="shared" si="6"/>
        <v>8.9485473593260617E-2</v>
      </c>
      <c r="G23" s="198">
        <f t="shared" si="6"/>
        <v>0</v>
      </c>
      <c r="H23" s="217">
        <f t="shared" ref="H23:H34" si="7">SUM(D23:G23)</f>
        <v>0.25229376995826064</v>
      </c>
      <c r="K23" t="s">
        <v>598</v>
      </c>
      <c r="M23">
        <v>122.598</v>
      </c>
      <c r="N23">
        <v>100.596</v>
      </c>
      <c r="O23">
        <v>120.407</v>
      </c>
      <c r="P23">
        <v>109.95399999999999</v>
      </c>
    </row>
    <row r="24" spans="2:16">
      <c r="B24" s="195" t="s">
        <v>171</v>
      </c>
      <c r="C24" s="196" t="s">
        <v>315</v>
      </c>
      <c r="D24" s="197">
        <f t="shared" si="6"/>
        <v>0</v>
      </c>
      <c r="E24" s="197">
        <f t="shared" si="6"/>
        <v>0</v>
      </c>
      <c r="F24" s="197">
        <f t="shared" si="6"/>
        <v>1.6847488929690031</v>
      </c>
      <c r="G24" s="198">
        <f t="shared" si="6"/>
        <v>0</v>
      </c>
      <c r="H24" s="217">
        <f t="shared" si="7"/>
        <v>1.6847488929690031</v>
      </c>
      <c r="K24" t="s">
        <v>599</v>
      </c>
      <c r="M24">
        <v>98.799000000000007</v>
      </c>
      <c r="N24">
        <v>137.321</v>
      </c>
      <c r="O24">
        <v>108.459</v>
      </c>
      <c r="P24">
        <v>104.898</v>
      </c>
    </row>
    <row r="25" spans="2:16">
      <c r="B25" s="195" t="s">
        <v>11</v>
      </c>
      <c r="C25" s="196" t="s">
        <v>11</v>
      </c>
      <c r="D25" s="197">
        <f t="shared" si="6"/>
        <v>0</v>
      </c>
      <c r="E25" s="197">
        <f t="shared" si="6"/>
        <v>0</v>
      </c>
      <c r="F25" s="197">
        <f t="shared" si="6"/>
        <v>4.569967959102855E-5</v>
      </c>
      <c r="G25" s="198">
        <f t="shared" si="6"/>
        <v>0</v>
      </c>
      <c r="H25" s="217">
        <f t="shared" si="7"/>
        <v>4.569967959102855E-5</v>
      </c>
      <c r="K25" t="s">
        <v>600</v>
      </c>
      <c r="M25">
        <v>131.316</v>
      </c>
      <c r="N25">
        <v>129.87799999999999</v>
      </c>
      <c r="O25">
        <v>133.684</v>
      </c>
      <c r="P25">
        <v>130.10400000000001</v>
      </c>
    </row>
    <row r="26" spans="2:16" ht="47.25">
      <c r="B26" s="195" t="s">
        <v>220</v>
      </c>
      <c r="C26" s="196" t="s">
        <v>548</v>
      </c>
      <c r="D26" s="197">
        <f t="shared" si="6"/>
        <v>425.34769185223041</v>
      </c>
      <c r="E26" s="197">
        <f t="shared" si="6"/>
        <v>172.79084386292621</v>
      </c>
      <c r="F26" s="197">
        <f t="shared" si="6"/>
        <v>3.2855209547467332</v>
      </c>
      <c r="G26" s="198">
        <f t="shared" si="6"/>
        <v>0</v>
      </c>
      <c r="H26" s="217">
        <f t="shared" si="7"/>
        <v>601.42405666990339</v>
      </c>
      <c r="K26" t="s">
        <v>233</v>
      </c>
      <c r="M26">
        <v>0.68300000000000005</v>
      </c>
      <c r="N26">
        <v>0.76600000000000001</v>
      </c>
      <c r="O26">
        <v>0.73099999999999998</v>
      </c>
      <c r="P26">
        <v>0.67300000000000004</v>
      </c>
    </row>
    <row r="27" spans="2:16" ht="31.5">
      <c r="B27" s="195" t="s">
        <v>365</v>
      </c>
      <c r="C27" s="196" t="s">
        <v>549</v>
      </c>
      <c r="D27" s="197">
        <f t="shared" si="6"/>
        <v>0</v>
      </c>
      <c r="E27" s="197">
        <f t="shared" si="6"/>
        <v>0</v>
      </c>
      <c r="F27" s="197">
        <f t="shared" si="6"/>
        <v>0</v>
      </c>
      <c r="G27" s="198">
        <f t="shared" si="6"/>
        <v>126.45347756049459</v>
      </c>
      <c r="H27" s="217">
        <f t="shared" si="7"/>
        <v>126.45347756049459</v>
      </c>
      <c r="K27" t="s">
        <v>11</v>
      </c>
      <c r="M27">
        <v>4.7E-2</v>
      </c>
      <c r="N27">
        <v>4.5999999999999999E-2</v>
      </c>
      <c r="O27">
        <v>4.5999999999999999E-2</v>
      </c>
      <c r="P27">
        <v>4.3999999999999997E-2</v>
      </c>
    </row>
    <row r="28" spans="2:16" ht="31.5">
      <c r="B28" s="195" t="s">
        <v>550</v>
      </c>
      <c r="C28" s="196" t="s">
        <v>551</v>
      </c>
      <c r="D28" s="197">
        <f t="shared" si="6"/>
        <v>0</v>
      </c>
      <c r="E28" s="197">
        <f t="shared" si="6"/>
        <v>0</v>
      </c>
      <c r="F28" s="197">
        <f t="shared" si="6"/>
        <v>0</v>
      </c>
      <c r="G28" s="198">
        <f t="shared" si="6"/>
        <v>0</v>
      </c>
      <c r="H28" s="217">
        <f t="shared" si="7"/>
        <v>0</v>
      </c>
      <c r="K28" t="s">
        <v>3</v>
      </c>
      <c r="M28">
        <v>22.146000000000001</v>
      </c>
      <c r="N28">
        <v>11.878</v>
      </c>
      <c r="O28">
        <v>13.599</v>
      </c>
      <c r="P28">
        <v>17.960999999999999</v>
      </c>
    </row>
    <row r="29" spans="2:16">
      <c r="B29" s="195" t="s">
        <v>187</v>
      </c>
      <c r="C29" s="196" t="s">
        <v>311</v>
      </c>
      <c r="D29" s="197">
        <f t="shared" si="6"/>
        <v>0</v>
      </c>
      <c r="E29" s="197">
        <f t="shared" si="6"/>
        <v>0</v>
      </c>
      <c r="F29" s="197">
        <f t="shared" si="6"/>
        <v>1.2193623501458042</v>
      </c>
      <c r="G29" s="198">
        <f t="shared" si="6"/>
        <v>0</v>
      </c>
      <c r="H29" s="217">
        <f t="shared" si="7"/>
        <v>1.2193623501458042</v>
      </c>
      <c r="K29" t="s">
        <v>229</v>
      </c>
      <c r="M29">
        <v>408.60700000000003</v>
      </c>
      <c r="N29">
        <v>254.76400000000001</v>
      </c>
      <c r="O29">
        <v>246.292</v>
      </c>
      <c r="P29">
        <v>269.44299999999998</v>
      </c>
    </row>
    <row r="30" spans="2:16">
      <c r="B30" s="195" t="s">
        <v>222</v>
      </c>
      <c r="C30" s="196" t="s">
        <v>552</v>
      </c>
      <c r="D30" s="197">
        <f t="shared" si="6"/>
        <v>39.620127741280001</v>
      </c>
      <c r="E30" s="197">
        <f t="shared" si="6"/>
        <v>0</v>
      </c>
      <c r="F30" s="197">
        <f t="shared" si="6"/>
        <v>8.5788572776037739</v>
      </c>
      <c r="G30" s="198">
        <f t="shared" si="6"/>
        <v>0</v>
      </c>
      <c r="H30" s="217">
        <f t="shared" si="7"/>
        <v>48.198985018883775</v>
      </c>
      <c r="K30" t="s">
        <v>282</v>
      </c>
      <c r="M30">
        <v>495.17899999999997</v>
      </c>
      <c r="N30">
        <v>500.99099999999999</v>
      </c>
      <c r="O30">
        <v>494.86099999999999</v>
      </c>
      <c r="P30">
        <v>617.15099999999995</v>
      </c>
    </row>
    <row r="31" spans="2:16">
      <c r="B31" s="195" t="s">
        <v>224</v>
      </c>
      <c r="C31" s="196" t="s">
        <v>553</v>
      </c>
      <c r="D31" s="197">
        <f t="shared" si="6"/>
        <v>1047.6329542632072</v>
      </c>
      <c r="E31" s="197">
        <f t="shared" si="6"/>
        <v>1166.051506823201</v>
      </c>
      <c r="F31" s="197">
        <f t="shared" si="6"/>
        <v>6.250987546718509</v>
      </c>
      <c r="G31" s="198">
        <f t="shared" si="6"/>
        <v>0</v>
      </c>
      <c r="H31" s="217">
        <f t="shared" si="7"/>
        <v>2219.9354486331267</v>
      </c>
    </row>
    <row r="32" spans="2:16">
      <c r="B32" s="195" t="s">
        <v>223</v>
      </c>
      <c r="C32" s="196" t="s">
        <v>322</v>
      </c>
      <c r="D32" s="197">
        <f t="shared" si="6"/>
        <v>4.7884678503006866</v>
      </c>
      <c r="E32" s="197">
        <f t="shared" si="6"/>
        <v>5.6297529951740577</v>
      </c>
      <c r="F32" s="197">
        <f t="shared" si="6"/>
        <v>0.24262173570471976</v>
      </c>
      <c r="G32" s="198">
        <f t="shared" si="6"/>
        <v>0</v>
      </c>
      <c r="H32" s="217">
        <f t="shared" si="7"/>
        <v>10.660842581179464</v>
      </c>
      <c r="K32" s="3" t="s">
        <v>601</v>
      </c>
      <c r="M32">
        <v>650.11500000000001</v>
      </c>
      <c r="N32">
        <v>659.62800000000004</v>
      </c>
      <c r="O32">
        <v>597.41200000000003</v>
      </c>
      <c r="P32">
        <v>690.35500000000002</v>
      </c>
    </row>
    <row r="33" spans="2:16" ht="16.5" thickBot="1">
      <c r="B33" s="199" t="s">
        <v>221</v>
      </c>
      <c r="C33" s="200" t="s">
        <v>554</v>
      </c>
      <c r="D33" s="201">
        <f t="shared" si="6"/>
        <v>6748.9185538602351</v>
      </c>
      <c r="E33" s="201">
        <f t="shared" si="6"/>
        <v>16.287982829228618</v>
      </c>
      <c r="F33" s="201">
        <f t="shared" si="6"/>
        <v>5.6822009468265122</v>
      </c>
      <c r="G33" s="202">
        <f t="shared" si="6"/>
        <v>0</v>
      </c>
      <c r="H33" s="217">
        <f t="shared" si="7"/>
        <v>6770.8887376362909</v>
      </c>
      <c r="K33" t="s">
        <v>3</v>
      </c>
      <c r="M33">
        <v>1.9039999999999999</v>
      </c>
      <c r="N33">
        <v>1.1359999999999999</v>
      </c>
      <c r="O33">
        <v>2.2389999999999999</v>
      </c>
      <c r="P33">
        <v>3.7610000000000001</v>
      </c>
    </row>
    <row r="34" spans="2:16">
      <c r="C34" s="63" t="s">
        <v>7</v>
      </c>
      <c r="D34" s="217">
        <f>SUM(D22:D33)</f>
        <v>8266.3185281942533</v>
      </c>
      <c r="E34" s="217">
        <f t="shared" ref="E34:G34" si="8">SUM(E22:E33)</f>
        <v>1360.9236506602961</v>
      </c>
      <c r="F34" s="217">
        <f t="shared" si="8"/>
        <v>27.737020971806533</v>
      </c>
      <c r="G34" s="217">
        <f t="shared" si="8"/>
        <v>126.45347756049459</v>
      </c>
      <c r="H34" s="217">
        <f t="shared" si="7"/>
        <v>9781.4326773868506</v>
      </c>
      <c r="K34" t="s">
        <v>282</v>
      </c>
      <c r="M34">
        <v>642.36400000000003</v>
      </c>
      <c r="N34">
        <v>651.78</v>
      </c>
      <c r="O34">
        <v>587.31100000000004</v>
      </c>
      <c r="P34">
        <v>678.404</v>
      </c>
    </row>
    <row r="35" spans="2:16">
      <c r="K35" t="s">
        <v>233</v>
      </c>
      <c r="M35">
        <v>5.8470000000000004</v>
      </c>
      <c r="N35">
        <v>6.7119999999999997</v>
      </c>
      <c r="O35">
        <v>7.8620000000000001</v>
      </c>
      <c r="P35">
        <v>8.19</v>
      </c>
    </row>
    <row r="36" spans="2:16">
      <c r="B36" s="676" t="s">
        <v>555</v>
      </c>
      <c r="C36" s="677"/>
      <c r="D36" s="677"/>
      <c r="E36" s="677"/>
      <c r="F36" s="677"/>
      <c r="G36" s="678"/>
      <c r="H36" s="3" t="s">
        <v>560</v>
      </c>
    </row>
    <row r="37" spans="2:16">
      <c r="B37" s="679"/>
      <c r="C37" s="680"/>
      <c r="D37" s="680"/>
      <c r="E37" s="680"/>
      <c r="F37" s="680"/>
      <c r="G37" s="681"/>
      <c r="H37" s="3"/>
      <c r="K37" s="3" t="s">
        <v>602</v>
      </c>
      <c r="M37">
        <v>294.71600000000001</v>
      </c>
      <c r="N37">
        <v>338.98</v>
      </c>
      <c r="O37">
        <v>357.99400000000003</v>
      </c>
      <c r="P37">
        <v>597.72299999999996</v>
      </c>
    </row>
    <row r="38" spans="2:16">
      <c r="B38" s="203"/>
      <c r="C38" s="7"/>
      <c r="D38" s="7" t="s">
        <v>383</v>
      </c>
      <c r="E38" s="7" t="s">
        <v>384</v>
      </c>
      <c r="F38" s="7" t="s">
        <v>172</v>
      </c>
      <c r="G38" s="204" t="s">
        <v>386</v>
      </c>
      <c r="H38" s="3"/>
      <c r="K38" t="s">
        <v>238</v>
      </c>
      <c r="M38">
        <v>1.492</v>
      </c>
      <c r="N38">
        <v>1.0960000000000001</v>
      </c>
      <c r="O38">
        <v>0.48899999999999999</v>
      </c>
      <c r="P38">
        <v>0</v>
      </c>
    </row>
    <row r="39" spans="2:16">
      <c r="B39" s="205" t="s">
        <v>218</v>
      </c>
      <c r="C39" s="196" t="s">
        <v>313</v>
      </c>
      <c r="D39" s="197">
        <v>0</v>
      </c>
      <c r="E39" s="197">
        <v>0</v>
      </c>
      <c r="F39" s="197">
        <f>+[1]OPERACIONES!D25</f>
        <v>0.68662517550491398</v>
      </c>
      <c r="G39" s="206">
        <v>0</v>
      </c>
      <c r="H39" s="217">
        <f>SUM(D39:G39)</f>
        <v>0.68662517550491398</v>
      </c>
      <c r="K39" t="s">
        <v>236</v>
      </c>
      <c r="M39">
        <v>2.0779999999999998</v>
      </c>
      <c r="N39">
        <v>2.6930000000000001</v>
      </c>
      <c r="O39">
        <v>2.7509999999999999</v>
      </c>
      <c r="P39">
        <v>3.214</v>
      </c>
    </row>
    <row r="40" spans="2:16">
      <c r="B40" s="205" t="s">
        <v>219</v>
      </c>
      <c r="C40" s="196" t="s">
        <v>318</v>
      </c>
      <c r="D40" s="197">
        <v>0</v>
      </c>
      <c r="E40" s="197">
        <v>0</v>
      </c>
      <c r="F40" s="197">
        <f>+[1]OPERACIONES!D23</f>
        <v>7.655578356193975E-4</v>
      </c>
      <c r="G40" s="206">
        <v>0</v>
      </c>
      <c r="H40" s="217">
        <f t="shared" ref="H40:H51" si="9">SUM(D40:G40)</f>
        <v>7.655578356193975E-4</v>
      </c>
      <c r="K40" t="s">
        <v>233</v>
      </c>
      <c r="M40">
        <v>8.5340000000000007</v>
      </c>
      <c r="N40">
        <v>15.657</v>
      </c>
      <c r="O40">
        <v>22.888999999999999</v>
      </c>
      <c r="P40">
        <v>28.498000000000001</v>
      </c>
    </row>
    <row r="41" spans="2:16">
      <c r="B41" s="205" t="s">
        <v>171</v>
      </c>
      <c r="C41" s="196" t="s">
        <v>315</v>
      </c>
      <c r="D41" s="197">
        <v>0</v>
      </c>
      <c r="E41" s="197">
        <v>0</v>
      </c>
      <c r="F41" s="197">
        <f>+[1]OPERACIONES!D24</f>
        <v>1.6847488929690031</v>
      </c>
      <c r="G41" s="206">
        <v>0</v>
      </c>
      <c r="H41" s="217">
        <f t="shared" si="9"/>
        <v>1.6847488929690031</v>
      </c>
      <c r="K41" t="s">
        <v>271</v>
      </c>
      <c r="M41">
        <v>58.57</v>
      </c>
      <c r="N41">
        <v>68.149000000000001</v>
      </c>
      <c r="O41">
        <v>68.405000000000001</v>
      </c>
      <c r="P41">
        <v>70.263999999999996</v>
      </c>
    </row>
    <row r="42" spans="2:16">
      <c r="B42" s="205" t="s">
        <v>11</v>
      </c>
      <c r="C42" s="196" t="s">
        <v>11</v>
      </c>
      <c r="D42" s="197">
        <v>0</v>
      </c>
      <c r="E42" s="197">
        <v>0</v>
      </c>
      <c r="F42" s="197">
        <f>+[1]OPERACIONES!D27</f>
        <v>4.569967959102855E-5</v>
      </c>
      <c r="G42" s="206">
        <v>0</v>
      </c>
      <c r="H42" s="217">
        <f t="shared" si="9"/>
        <v>4.569967959102855E-5</v>
      </c>
      <c r="K42" t="s">
        <v>11</v>
      </c>
      <c r="M42">
        <v>0.313</v>
      </c>
      <c r="N42">
        <v>0.625</v>
      </c>
      <c r="O42">
        <v>0.68200000000000005</v>
      </c>
      <c r="P42">
        <v>0.86399999999999999</v>
      </c>
    </row>
    <row r="43" spans="2:16" ht="47.25">
      <c r="B43" s="205" t="s">
        <v>220</v>
      </c>
      <c r="C43" s="196" t="s">
        <v>548</v>
      </c>
      <c r="D43" s="197">
        <v>0</v>
      </c>
      <c r="E43" s="197">
        <v>0</v>
      </c>
      <c r="F43" s="197">
        <v>0</v>
      </c>
      <c r="G43" s="206">
        <v>0</v>
      </c>
      <c r="H43" s="217">
        <f t="shared" si="9"/>
        <v>0</v>
      </c>
      <c r="K43" t="s">
        <v>603</v>
      </c>
      <c r="M43">
        <v>1.972</v>
      </c>
      <c r="N43">
        <v>1.9259999999999999</v>
      </c>
      <c r="O43">
        <v>1.8680000000000001</v>
      </c>
      <c r="P43">
        <v>1.9119999999999999</v>
      </c>
    </row>
    <row r="44" spans="2:16" ht="31.5">
      <c r="B44" s="205" t="s">
        <v>365</v>
      </c>
      <c r="C44" s="196" t="s">
        <v>549</v>
      </c>
      <c r="D44" s="197">
        <v>0</v>
      </c>
      <c r="E44" s="197">
        <v>0</v>
      </c>
      <c r="F44" s="197">
        <v>0</v>
      </c>
      <c r="G44" s="206">
        <v>0</v>
      </c>
      <c r="H44" s="217">
        <f t="shared" si="9"/>
        <v>0</v>
      </c>
      <c r="K44" t="s">
        <v>235</v>
      </c>
      <c r="M44">
        <v>0</v>
      </c>
      <c r="N44">
        <v>0</v>
      </c>
      <c r="O44">
        <v>0.84599999999999997</v>
      </c>
      <c r="P44">
        <v>2.4910000000000001</v>
      </c>
    </row>
    <row r="45" spans="2:16" ht="31.5">
      <c r="B45" s="205" t="s">
        <v>550</v>
      </c>
      <c r="C45" s="196" t="s">
        <v>551</v>
      </c>
      <c r="D45" s="197">
        <v>0</v>
      </c>
      <c r="E45" s="197">
        <v>0</v>
      </c>
      <c r="F45" s="197">
        <v>0</v>
      </c>
      <c r="G45" s="206">
        <v>0</v>
      </c>
      <c r="H45" s="217">
        <f t="shared" si="9"/>
        <v>0</v>
      </c>
      <c r="K45" t="s">
        <v>231</v>
      </c>
      <c r="M45">
        <v>36.118000000000002</v>
      </c>
      <c r="N45">
        <v>38.997999999999998</v>
      </c>
      <c r="O45">
        <v>39.341000000000001</v>
      </c>
      <c r="P45">
        <v>34.911999999999999</v>
      </c>
    </row>
    <row r="46" spans="2:16">
      <c r="B46" s="205" t="s">
        <v>187</v>
      </c>
      <c r="C46" s="196" t="s">
        <v>311</v>
      </c>
      <c r="D46" s="197">
        <v>0</v>
      </c>
      <c r="E46" s="197">
        <v>0</v>
      </c>
      <c r="F46" s="197">
        <f>+[1]OPERACIONES!D26</f>
        <v>1.2193623501458042</v>
      </c>
      <c r="G46" s="206">
        <v>0</v>
      </c>
      <c r="H46" s="217">
        <f t="shared" si="9"/>
        <v>1.2193623501458042</v>
      </c>
      <c r="K46" t="s">
        <v>294</v>
      </c>
      <c r="M46">
        <v>5.5449999999999999</v>
      </c>
      <c r="N46">
        <v>5.1390000000000002</v>
      </c>
      <c r="O46">
        <v>5.093</v>
      </c>
      <c r="P46">
        <v>3.6</v>
      </c>
    </row>
    <row r="47" spans="2:16">
      <c r="B47" s="205" t="s">
        <v>222</v>
      </c>
      <c r="C47" s="196" t="s">
        <v>552</v>
      </c>
      <c r="D47" s="197">
        <f>+[1]OPERACIONES!H20</f>
        <v>0.42469153683000005</v>
      </c>
      <c r="E47" s="197">
        <v>0</v>
      </c>
      <c r="F47" s="197">
        <f>+[1]OPERACIONES!D20</f>
        <v>7.0185735896605115</v>
      </c>
      <c r="G47" s="206">
        <v>0</v>
      </c>
      <c r="H47" s="217">
        <f t="shared" si="9"/>
        <v>7.4432651264905116</v>
      </c>
      <c r="K47" t="s">
        <v>3</v>
      </c>
      <c r="M47">
        <v>3.859</v>
      </c>
      <c r="N47">
        <v>4.7919999999999998</v>
      </c>
      <c r="O47">
        <v>4.8639999999999999</v>
      </c>
      <c r="P47">
        <v>6.681</v>
      </c>
    </row>
    <row r="48" spans="2:16">
      <c r="B48" s="205" t="s">
        <v>224</v>
      </c>
      <c r="C48" s="196" t="s">
        <v>553</v>
      </c>
      <c r="D48" s="197">
        <f>+[1]OPERACIONES!F21</f>
        <v>0.88616855770150027</v>
      </c>
      <c r="E48" s="197">
        <f>+[1]OPERACIONES!E21</f>
        <v>448.63824087212868</v>
      </c>
      <c r="F48" s="197">
        <f>+[1]OPERACIONES!D21</f>
        <v>4.9129150880224657</v>
      </c>
      <c r="G48" s="206">
        <v>0</v>
      </c>
      <c r="H48" s="217">
        <f t="shared" si="9"/>
        <v>454.43732451785269</v>
      </c>
      <c r="K48" t="s">
        <v>229</v>
      </c>
      <c r="M48">
        <v>5.1120000000000001</v>
      </c>
      <c r="N48">
        <v>3.7570000000000001</v>
      </c>
      <c r="O48">
        <v>2.1120000000000001</v>
      </c>
      <c r="P48">
        <v>3.8530000000000002</v>
      </c>
    </row>
    <row r="49" spans="2:16">
      <c r="B49" s="205" t="s">
        <v>223</v>
      </c>
      <c r="C49" s="196" t="s">
        <v>322</v>
      </c>
      <c r="D49" s="197">
        <f>+[1]OPERACIONES!F22+[1]OPERACIONES!G22</f>
        <v>1.6295219483878611</v>
      </c>
      <c r="E49" s="197">
        <f>+[1]OPERACIONES!E22</f>
        <v>2.4140196014628277</v>
      </c>
      <c r="F49" s="197">
        <f>+[1]OPERACIONES!D22</f>
        <v>0.18264935738200672</v>
      </c>
      <c r="G49" s="206">
        <v>0</v>
      </c>
      <c r="H49" s="217">
        <f t="shared" si="9"/>
        <v>4.2261909072326951</v>
      </c>
      <c r="K49" t="s">
        <v>282</v>
      </c>
      <c r="M49">
        <v>166.14699999999999</v>
      </c>
      <c r="N49">
        <v>189.31299999999999</v>
      </c>
      <c r="O49">
        <v>202.82499999999999</v>
      </c>
      <c r="P49">
        <v>435.74900000000002</v>
      </c>
    </row>
    <row r="50" spans="2:16">
      <c r="B50" s="207" t="s">
        <v>221</v>
      </c>
      <c r="C50" s="208" t="s">
        <v>554</v>
      </c>
      <c r="D50" s="209">
        <f>+[1]OPERACIONES!F29+[1]OPERACIONES!G29</f>
        <v>25.754406055362452</v>
      </c>
      <c r="E50" s="209">
        <f>+[1]OPERACIONES!E29</f>
        <v>6.9842335626009442</v>
      </c>
      <c r="F50" s="209">
        <f>+[1]OPERACIONES!D29</f>
        <v>5.6651329949238587</v>
      </c>
      <c r="G50" s="210">
        <v>0</v>
      </c>
      <c r="H50" s="217">
        <f t="shared" si="9"/>
        <v>38.403772612887252</v>
      </c>
      <c r="K50" t="s">
        <v>604</v>
      </c>
      <c r="M50">
        <v>4.9749999999999996</v>
      </c>
      <c r="N50">
        <v>6.835</v>
      </c>
      <c r="O50">
        <v>5.8289999999999997</v>
      </c>
      <c r="P50">
        <v>5.6859999999999999</v>
      </c>
    </row>
    <row r="51" spans="2:16">
      <c r="C51" s="63" t="s">
        <v>7</v>
      </c>
      <c r="D51" s="217">
        <f>SUM(D39:D50)</f>
        <v>28.694788098281812</v>
      </c>
      <c r="E51" s="217">
        <f t="shared" ref="E51:G51" si="10">SUM(E39:E50)</f>
        <v>458.03649403619244</v>
      </c>
      <c r="F51" s="217">
        <f t="shared" si="10"/>
        <v>21.370818706123774</v>
      </c>
      <c r="G51" s="217">
        <f t="shared" si="10"/>
        <v>0</v>
      </c>
      <c r="H51" s="217">
        <f t="shared" si="9"/>
        <v>508.10210084059804</v>
      </c>
    </row>
    <row r="52" spans="2:16">
      <c r="K52" s="3" t="s">
        <v>605</v>
      </c>
      <c r="M52">
        <v>0</v>
      </c>
      <c r="N52">
        <v>0</v>
      </c>
      <c r="O52">
        <v>0</v>
      </c>
      <c r="P52">
        <v>6.16</v>
      </c>
    </row>
    <row r="53" spans="2:16">
      <c r="B53" s="676" t="s">
        <v>556</v>
      </c>
      <c r="C53" s="677"/>
      <c r="D53" s="677"/>
      <c r="E53" s="677"/>
      <c r="F53" s="677"/>
      <c r="G53" s="678"/>
      <c r="H53" s="3" t="s">
        <v>560</v>
      </c>
      <c r="K53" t="s">
        <v>236</v>
      </c>
      <c r="M53">
        <v>0</v>
      </c>
      <c r="N53">
        <v>0</v>
      </c>
      <c r="O53">
        <v>0</v>
      </c>
      <c r="P53">
        <v>2.3980000000000001</v>
      </c>
    </row>
    <row r="54" spans="2:16">
      <c r="B54" s="679"/>
      <c r="C54" s="680"/>
      <c r="D54" s="680"/>
      <c r="E54" s="680"/>
      <c r="F54" s="680"/>
      <c r="G54" s="681"/>
      <c r="H54" s="3"/>
      <c r="K54" t="s">
        <v>271</v>
      </c>
      <c r="M54">
        <v>0</v>
      </c>
      <c r="N54">
        <v>0</v>
      </c>
      <c r="O54">
        <v>0</v>
      </c>
      <c r="P54">
        <v>0.14499999999999999</v>
      </c>
    </row>
    <row r="55" spans="2:16">
      <c r="B55" s="203"/>
      <c r="C55" s="7"/>
      <c r="D55" s="7" t="s">
        <v>383</v>
      </c>
      <c r="E55" s="7" t="s">
        <v>384</v>
      </c>
      <c r="F55" s="7" t="s">
        <v>172</v>
      </c>
      <c r="G55" s="204" t="s">
        <v>386</v>
      </c>
      <c r="H55" s="3"/>
      <c r="K55" t="s">
        <v>3</v>
      </c>
      <c r="M55">
        <v>0</v>
      </c>
      <c r="N55">
        <v>0</v>
      </c>
      <c r="O55">
        <v>0</v>
      </c>
      <c r="P55">
        <v>0.29899999999999999</v>
      </c>
    </row>
    <row r="56" spans="2:16">
      <c r="B56" s="205" t="s">
        <v>218</v>
      </c>
      <c r="C56" s="196" t="s">
        <v>313</v>
      </c>
      <c r="D56" s="197">
        <v>0</v>
      </c>
      <c r="E56" s="197">
        <v>0</v>
      </c>
      <c r="F56" s="197">
        <v>0</v>
      </c>
      <c r="G56" s="206">
        <v>0</v>
      </c>
      <c r="H56" s="217">
        <f>SUM(D56:G56)</f>
        <v>0</v>
      </c>
      <c r="K56" t="s">
        <v>10</v>
      </c>
      <c r="M56">
        <v>0</v>
      </c>
      <c r="N56">
        <v>0</v>
      </c>
      <c r="O56">
        <v>0</v>
      </c>
      <c r="P56">
        <v>3.3180000000000001</v>
      </c>
    </row>
    <row r="57" spans="2:16">
      <c r="B57" s="205" t="s">
        <v>219</v>
      </c>
      <c r="C57" s="196" t="s">
        <v>318</v>
      </c>
      <c r="D57" s="197">
        <v>0</v>
      </c>
      <c r="E57" s="197">
        <v>0</v>
      </c>
      <c r="F57" s="197">
        <f>+[1]OPERACIONES!D44</f>
        <v>2.8253591100550816E-2</v>
      </c>
      <c r="G57" s="206">
        <v>0</v>
      </c>
      <c r="H57" s="217">
        <f t="shared" ref="H57:H68" si="11">SUM(D57:G57)</f>
        <v>2.8253591100550816E-2</v>
      </c>
    </row>
    <row r="58" spans="2:16">
      <c r="B58" s="205" t="s">
        <v>171</v>
      </c>
      <c r="C58" s="196" t="s">
        <v>315</v>
      </c>
      <c r="D58" s="197">
        <v>0</v>
      </c>
      <c r="E58" s="197">
        <v>0</v>
      </c>
      <c r="F58" s="197">
        <v>0</v>
      </c>
      <c r="G58" s="206">
        <v>0</v>
      </c>
      <c r="H58" s="217">
        <f t="shared" si="11"/>
        <v>0</v>
      </c>
      <c r="K58" s="3" t="s">
        <v>606</v>
      </c>
      <c r="M58">
        <v>1069.625</v>
      </c>
      <c r="N58">
        <v>1091.9369999999999</v>
      </c>
      <c r="O58">
        <v>1117.259</v>
      </c>
      <c r="P58">
        <v>1153.241</v>
      </c>
    </row>
    <row r="59" spans="2:16">
      <c r="B59" s="205" t="s">
        <v>11</v>
      </c>
      <c r="C59" s="196" t="s">
        <v>11</v>
      </c>
      <c r="D59" s="197">
        <v>0</v>
      </c>
      <c r="E59" s="197">
        <v>0</v>
      </c>
      <c r="F59" s="197">
        <v>0</v>
      </c>
      <c r="G59" s="206">
        <v>0</v>
      </c>
      <c r="H59" s="217">
        <f t="shared" si="11"/>
        <v>0</v>
      </c>
      <c r="K59" t="s">
        <v>607</v>
      </c>
      <c r="M59">
        <v>621.96199999999999</v>
      </c>
      <c r="N59">
        <v>621.149</v>
      </c>
      <c r="O59">
        <v>619.14300000000003</v>
      </c>
      <c r="P59">
        <v>628.98500000000001</v>
      </c>
    </row>
    <row r="60" spans="2:16" ht="47.25">
      <c r="B60" s="205" t="s">
        <v>220</v>
      </c>
      <c r="C60" s="196" t="s">
        <v>548</v>
      </c>
      <c r="D60" s="197">
        <v>0</v>
      </c>
      <c r="E60" s="197">
        <v>0</v>
      </c>
      <c r="F60" s="197">
        <v>0</v>
      </c>
      <c r="G60" s="206">
        <v>0</v>
      </c>
      <c r="H60" s="217">
        <f t="shared" si="11"/>
        <v>0</v>
      </c>
      <c r="K60" t="s">
        <v>608</v>
      </c>
      <c r="M60">
        <v>309.04399999999998</v>
      </c>
      <c r="N60">
        <v>315.34699999999998</v>
      </c>
      <c r="O60">
        <v>325.76799999999997</v>
      </c>
      <c r="P60">
        <v>325.18599999999998</v>
      </c>
    </row>
    <row r="61" spans="2:16" ht="31.5">
      <c r="B61" s="205" t="s">
        <v>365</v>
      </c>
      <c r="C61" s="196" t="s">
        <v>549</v>
      </c>
      <c r="D61" s="197">
        <v>0</v>
      </c>
      <c r="E61" s="197">
        <v>0</v>
      </c>
      <c r="F61" s="197">
        <v>0</v>
      </c>
      <c r="G61" s="206">
        <v>0</v>
      </c>
      <c r="H61" s="217">
        <f t="shared" si="11"/>
        <v>0</v>
      </c>
      <c r="K61" t="s">
        <v>609</v>
      </c>
      <c r="M61">
        <v>138.619</v>
      </c>
      <c r="N61">
        <v>155.441</v>
      </c>
      <c r="O61">
        <v>172.34800000000001</v>
      </c>
      <c r="P61">
        <v>195.816</v>
      </c>
    </row>
    <row r="62" spans="2:16" ht="31.5">
      <c r="B62" s="205" t="s">
        <v>550</v>
      </c>
      <c r="C62" s="196" t="s">
        <v>551</v>
      </c>
      <c r="D62" s="197">
        <v>0</v>
      </c>
      <c r="E62" s="197">
        <v>0</v>
      </c>
      <c r="F62" s="197">
        <v>0</v>
      </c>
      <c r="G62" s="206">
        <v>0</v>
      </c>
      <c r="H62" s="217">
        <f t="shared" si="11"/>
        <v>0</v>
      </c>
      <c r="K62" t="s">
        <v>610</v>
      </c>
      <c r="M62" t="s">
        <v>228</v>
      </c>
      <c r="N62" t="s">
        <v>228</v>
      </c>
      <c r="O62" t="s">
        <v>228</v>
      </c>
      <c r="P62">
        <v>3.254</v>
      </c>
    </row>
    <row r="63" spans="2:16">
      <c r="B63" s="205" t="s">
        <v>187</v>
      </c>
      <c r="C63" s="196" t="s">
        <v>311</v>
      </c>
      <c r="D63" s="197">
        <v>0</v>
      </c>
      <c r="E63" s="197">
        <v>0</v>
      </c>
      <c r="F63" s="197">
        <v>0</v>
      </c>
      <c r="G63" s="206">
        <v>0</v>
      </c>
      <c r="H63" s="217">
        <f t="shared" si="11"/>
        <v>0</v>
      </c>
    </row>
    <row r="64" spans="2:16">
      <c r="B64" s="205" t="s">
        <v>222</v>
      </c>
      <c r="C64" s="196" t="s">
        <v>552</v>
      </c>
      <c r="D64" s="197">
        <v>0</v>
      </c>
      <c r="E64" s="197">
        <v>0</v>
      </c>
      <c r="F64" s="197">
        <v>0</v>
      </c>
      <c r="G64" s="206">
        <v>0</v>
      </c>
      <c r="H64" s="217">
        <f t="shared" si="11"/>
        <v>0</v>
      </c>
      <c r="K64" t="s">
        <v>272</v>
      </c>
    </row>
    <row r="65" spans="2:11">
      <c r="B65" s="205" t="s">
        <v>224</v>
      </c>
      <c r="C65" s="196" t="s">
        <v>553</v>
      </c>
      <c r="D65" s="197">
        <f>+[1]OPERACIONES!G43</f>
        <v>1.5714413930000002</v>
      </c>
      <c r="E65" s="197">
        <f>+[1]OPERACIONES!E43</f>
        <v>597.63432409336326</v>
      </c>
      <c r="F65" s="197">
        <v>0</v>
      </c>
      <c r="G65" s="206">
        <v>0</v>
      </c>
      <c r="H65" s="217">
        <f t="shared" si="11"/>
        <v>599.20576548636325</v>
      </c>
      <c r="K65" t="s">
        <v>611</v>
      </c>
    </row>
    <row r="66" spans="2:11">
      <c r="B66" s="205" t="s">
        <v>223</v>
      </c>
      <c r="C66" s="196" t="s">
        <v>322</v>
      </c>
      <c r="D66" s="197">
        <v>0</v>
      </c>
      <c r="E66" s="197">
        <v>0</v>
      </c>
      <c r="F66" s="197">
        <v>0</v>
      </c>
      <c r="G66" s="206">
        <v>0</v>
      </c>
      <c r="H66" s="217">
        <f t="shared" si="11"/>
        <v>0</v>
      </c>
      <c r="K66" t="s">
        <v>612</v>
      </c>
    </row>
    <row r="67" spans="2:11">
      <c r="B67" s="207" t="s">
        <v>221</v>
      </c>
      <c r="C67" s="208" t="s">
        <v>554</v>
      </c>
      <c r="D67" s="209">
        <v>0</v>
      </c>
      <c r="E67" s="209">
        <v>0</v>
      </c>
      <c r="F67" s="209">
        <v>0</v>
      </c>
      <c r="G67" s="210">
        <v>0</v>
      </c>
      <c r="H67" s="217">
        <f t="shared" si="11"/>
        <v>0</v>
      </c>
      <c r="K67" t="s">
        <v>613</v>
      </c>
    </row>
    <row r="68" spans="2:11">
      <c r="C68" s="63" t="s">
        <v>7</v>
      </c>
      <c r="D68" s="217">
        <f>SUM(D56:D67)</f>
        <v>1.5714413930000002</v>
      </c>
      <c r="E68" s="217">
        <f t="shared" ref="E68:G68" si="12">SUM(E56:E67)</f>
        <v>597.63432409336326</v>
      </c>
      <c r="F68" s="217">
        <f t="shared" si="12"/>
        <v>2.8253591100550816E-2</v>
      </c>
      <c r="G68" s="217">
        <f t="shared" si="12"/>
        <v>0</v>
      </c>
      <c r="H68" s="217">
        <f t="shared" si="11"/>
        <v>599.23401907746381</v>
      </c>
    </row>
    <row r="69" spans="2:11">
      <c r="K69" t="s">
        <v>614</v>
      </c>
    </row>
    <row r="70" spans="2:11">
      <c r="B70" s="676" t="s">
        <v>557</v>
      </c>
      <c r="C70" s="677"/>
      <c r="D70" s="677"/>
      <c r="E70" s="677"/>
      <c r="F70" s="677"/>
      <c r="G70" s="678"/>
      <c r="H70" s="3" t="s">
        <v>560</v>
      </c>
    </row>
    <row r="71" spans="2:11">
      <c r="B71" s="679"/>
      <c r="C71" s="680"/>
      <c r="D71" s="680"/>
      <c r="E71" s="680"/>
      <c r="F71" s="680"/>
      <c r="G71" s="681"/>
      <c r="H71" s="3"/>
    </row>
    <row r="72" spans="2:11">
      <c r="B72" s="203"/>
      <c r="C72" s="7"/>
      <c r="D72" s="7" t="s">
        <v>383</v>
      </c>
      <c r="E72" s="7" t="s">
        <v>384</v>
      </c>
      <c r="F72" s="7" t="s">
        <v>172</v>
      </c>
      <c r="G72" s="204" t="s">
        <v>386</v>
      </c>
      <c r="H72" s="3"/>
    </row>
    <row r="73" spans="2:11">
      <c r="B73" s="205" t="s">
        <v>218</v>
      </c>
      <c r="C73" s="196" t="s">
        <v>313</v>
      </c>
      <c r="D73" s="197">
        <v>0</v>
      </c>
      <c r="E73" s="197">
        <v>0</v>
      </c>
      <c r="F73" s="197">
        <v>0</v>
      </c>
      <c r="G73" s="206">
        <v>0</v>
      </c>
      <c r="H73" s="217">
        <f>SUM(D73:G73)</f>
        <v>0</v>
      </c>
    </row>
    <row r="74" spans="2:11">
      <c r="B74" s="205" t="s">
        <v>219</v>
      </c>
      <c r="C74" s="196" t="s">
        <v>318</v>
      </c>
      <c r="D74" s="197">
        <v>0</v>
      </c>
      <c r="E74" s="197">
        <v>0</v>
      </c>
      <c r="F74" s="197">
        <v>0</v>
      </c>
      <c r="G74" s="206">
        <v>0</v>
      </c>
      <c r="H74" s="217">
        <f t="shared" ref="H74:H85" si="13">SUM(D74:G74)</f>
        <v>0</v>
      </c>
    </row>
    <row r="75" spans="2:11">
      <c r="B75" s="205" t="s">
        <v>171</v>
      </c>
      <c r="C75" s="196" t="s">
        <v>315</v>
      </c>
      <c r="D75" s="197">
        <v>0</v>
      </c>
      <c r="E75" s="197">
        <v>0</v>
      </c>
      <c r="F75" s="197">
        <v>0</v>
      </c>
      <c r="G75" s="206">
        <v>0</v>
      </c>
      <c r="H75" s="217">
        <f t="shared" si="13"/>
        <v>0</v>
      </c>
    </row>
    <row r="76" spans="2:11">
      <c r="B76" s="205" t="s">
        <v>11</v>
      </c>
      <c r="C76" s="196" t="s">
        <v>11</v>
      </c>
      <c r="D76" s="197">
        <v>0</v>
      </c>
      <c r="E76" s="197">
        <v>0</v>
      </c>
      <c r="F76" s="197">
        <v>0</v>
      </c>
      <c r="G76" s="206">
        <v>0</v>
      </c>
      <c r="H76" s="217">
        <f t="shared" si="13"/>
        <v>0</v>
      </c>
    </row>
    <row r="77" spans="2:11" ht="47.25">
      <c r="B77" s="205" t="s">
        <v>220</v>
      </c>
      <c r="C77" s="196" t="s">
        <v>548</v>
      </c>
      <c r="D77" s="197">
        <f>+[1]OPERACIONES!F61+[1]OPERACIONES!G61+[1]OPERACIONES!I61+[1]OPERACIONES!R61+[1]OPERACIONES!T61</f>
        <v>425.34769185223041</v>
      </c>
      <c r="E77" s="197">
        <f>+[1]OPERACIONES!E61</f>
        <v>172.79084386292621</v>
      </c>
      <c r="F77" s="197">
        <f>+[1]OPERACIONES!D61</f>
        <v>3.2855209547467332</v>
      </c>
      <c r="G77" s="206">
        <v>0</v>
      </c>
      <c r="H77" s="217">
        <f t="shared" si="13"/>
        <v>601.42405666990339</v>
      </c>
    </row>
    <row r="78" spans="2:11" ht="31.5">
      <c r="B78" s="205" t="s">
        <v>365</v>
      </c>
      <c r="C78" s="196" t="s">
        <v>549</v>
      </c>
      <c r="D78" s="197">
        <v>0</v>
      </c>
      <c r="E78" s="197">
        <v>0</v>
      </c>
      <c r="F78" s="197">
        <v>0</v>
      </c>
      <c r="G78" s="206">
        <v>0</v>
      </c>
      <c r="H78" s="217">
        <f t="shared" si="13"/>
        <v>0</v>
      </c>
    </row>
    <row r="79" spans="2:11" ht="31.5">
      <c r="B79" s="205" t="s">
        <v>550</v>
      </c>
      <c r="C79" s="196" t="s">
        <v>551</v>
      </c>
      <c r="D79" s="197">
        <v>0</v>
      </c>
      <c r="E79" s="197">
        <v>0</v>
      </c>
      <c r="F79" s="197">
        <v>0</v>
      </c>
      <c r="G79" s="206">
        <v>0</v>
      </c>
      <c r="H79" s="217">
        <f t="shared" si="13"/>
        <v>0</v>
      </c>
    </row>
    <row r="80" spans="2:11">
      <c r="B80" s="205" t="s">
        <v>187</v>
      </c>
      <c r="C80" s="196" t="s">
        <v>311</v>
      </c>
      <c r="D80" s="197">
        <v>0</v>
      </c>
      <c r="E80" s="197">
        <v>0</v>
      </c>
      <c r="F80" s="197">
        <v>0</v>
      </c>
      <c r="G80" s="206">
        <v>0</v>
      </c>
      <c r="H80" s="217">
        <f t="shared" si="13"/>
        <v>0</v>
      </c>
    </row>
    <row r="81" spans="2:8">
      <c r="B81" s="205" t="s">
        <v>222</v>
      </c>
      <c r="C81" s="196" t="s">
        <v>552</v>
      </c>
      <c r="D81" s="197">
        <v>0</v>
      </c>
      <c r="E81" s="197">
        <v>0</v>
      </c>
      <c r="F81" s="197">
        <v>0</v>
      </c>
      <c r="G81" s="206">
        <v>0</v>
      </c>
      <c r="H81" s="217">
        <f t="shared" si="13"/>
        <v>0</v>
      </c>
    </row>
    <row r="82" spans="2:8">
      <c r="B82" s="205" t="s">
        <v>224</v>
      </c>
      <c r="C82" s="196" t="s">
        <v>553</v>
      </c>
      <c r="D82" s="197">
        <v>0</v>
      </c>
      <c r="E82" s="197">
        <v>0</v>
      </c>
      <c r="F82" s="197">
        <v>0</v>
      </c>
      <c r="G82" s="206">
        <v>0</v>
      </c>
      <c r="H82" s="217">
        <f t="shared" si="13"/>
        <v>0</v>
      </c>
    </row>
    <row r="83" spans="2:8">
      <c r="B83" s="205" t="s">
        <v>223</v>
      </c>
      <c r="C83" s="196" t="s">
        <v>322</v>
      </c>
      <c r="D83" s="197">
        <v>0</v>
      </c>
      <c r="E83" s="197">
        <v>0</v>
      </c>
      <c r="F83" s="197">
        <v>0</v>
      </c>
      <c r="G83" s="206">
        <v>0</v>
      </c>
      <c r="H83" s="217">
        <f t="shared" si="13"/>
        <v>0</v>
      </c>
    </row>
    <row r="84" spans="2:8">
      <c r="B84" s="207" t="s">
        <v>221</v>
      </c>
      <c r="C84" s="208" t="s">
        <v>554</v>
      </c>
      <c r="D84" s="209">
        <v>0</v>
      </c>
      <c r="E84" s="209">
        <v>0</v>
      </c>
      <c r="F84" s="209">
        <v>0</v>
      </c>
      <c r="G84" s="210">
        <v>0</v>
      </c>
      <c r="H84" s="217">
        <f t="shared" si="13"/>
        <v>0</v>
      </c>
    </row>
    <row r="85" spans="2:8">
      <c r="C85" s="63" t="s">
        <v>7</v>
      </c>
      <c r="D85" s="217">
        <f>SUM(D73:D84)</f>
        <v>425.34769185223041</v>
      </c>
      <c r="E85" s="217">
        <f t="shared" ref="E85:G85" si="14">SUM(E73:E84)</f>
        <v>172.79084386292621</v>
      </c>
      <c r="F85" s="217">
        <f t="shared" si="14"/>
        <v>3.2855209547467332</v>
      </c>
      <c r="G85" s="217">
        <f t="shared" si="14"/>
        <v>0</v>
      </c>
      <c r="H85" s="217">
        <f t="shared" si="13"/>
        <v>601.42405666990339</v>
      </c>
    </row>
    <row r="87" spans="2:8">
      <c r="B87" s="676" t="s">
        <v>558</v>
      </c>
      <c r="C87" s="677"/>
      <c r="D87" s="677"/>
      <c r="E87" s="677"/>
      <c r="F87" s="677"/>
      <c r="G87" s="678"/>
      <c r="H87" s="3" t="s">
        <v>560</v>
      </c>
    </row>
    <row r="88" spans="2:8">
      <c r="B88" s="679"/>
      <c r="C88" s="680"/>
      <c r="D88" s="680"/>
      <c r="E88" s="680"/>
      <c r="F88" s="680"/>
      <c r="G88" s="681"/>
      <c r="H88" s="3"/>
    </row>
    <row r="89" spans="2:8">
      <c r="B89" s="203"/>
      <c r="C89" s="7"/>
      <c r="D89" s="7" t="s">
        <v>383</v>
      </c>
      <c r="E89" s="7" t="s">
        <v>384</v>
      </c>
      <c r="F89" s="7" t="s">
        <v>172</v>
      </c>
      <c r="G89" s="204" t="s">
        <v>386</v>
      </c>
      <c r="H89" s="3"/>
    </row>
    <row r="90" spans="2:8">
      <c r="B90" s="205" t="s">
        <v>218</v>
      </c>
      <c r="C90" s="196" t="s">
        <v>313</v>
      </c>
      <c r="D90" s="197">
        <v>0</v>
      </c>
      <c r="E90" s="197">
        <v>0</v>
      </c>
      <c r="F90" s="197">
        <v>0</v>
      </c>
      <c r="G90" s="206">
        <v>0</v>
      </c>
      <c r="H90" s="217">
        <f>SUM(D90:G90)</f>
        <v>0</v>
      </c>
    </row>
    <row r="91" spans="2:8">
      <c r="B91" s="205" t="s">
        <v>219</v>
      </c>
      <c r="C91" s="196" t="s">
        <v>318</v>
      </c>
      <c r="D91" s="197">
        <v>0</v>
      </c>
      <c r="E91" s="197">
        <v>0</v>
      </c>
      <c r="F91" s="197">
        <v>0</v>
      </c>
      <c r="G91" s="206">
        <v>0</v>
      </c>
      <c r="H91" s="217">
        <f t="shared" ref="H91:H102" si="15">SUM(D91:G91)</f>
        <v>0</v>
      </c>
    </row>
    <row r="92" spans="2:8">
      <c r="B92" s="205" t="s">
        <v>171</v>
      </c>
      <c r="C92" s="196" t="s">
        <v>315</v>
      </c>
      <c r="D92" s="197">
        <v>0</v>
      </c>
      <c r="E92" s="197">
        <v>0</v>
      </c>
      <c r="F92" s="197">
        <v>0</v>
      </c>
      <c r="G92" s="206">
        <v>0</v>
      </c>
      <c r="H92" s="217">
        <f t="shared" si="15"/>
        <v>0</v>
      </c>
    </row>
    <row r="93" spans="2:8">
      <c r="B93" s="205" t="s">
        <v>11</v>
      </c>
      <c r="C93" s="196" t="s">
        <v>11</v>
      </c>
      <c r="D93" s="197">
        <v>0</v>
      </c>
      <c r="E93" s="197">
        <v>0</v>
      </c>
      <c r="F93" s="197">
        <v>0</v>
      </c>
      <c r="G93" s="206">
        <v>0</v>
      </c>
      <c r="H93" s="217">
        <f t="shared" si="15"/>
        <v>0</v>
      </c>
    </row>
    <row r="94" spans="2:8" ht="47.25">
      <c r="B94" s="205" t="s">
        <v>220</v>
      </c>
      <c r="C94" s="196" t="s">
        <v>548</v>
      </c>
      <c r="D94" s="197">
        <f>+[1]OPERACIONES!F78+[1]OPERACIONES!G78+[1]OPERACIONES!I78+[1]OPERACIONES!R78+[1]OPERACIONES!T78</f>
        <v>0</v>
      </c>
      <c r="E94" s="197">
        <f>+[1]OPERACIONES!E78</f>
        <v>0</v>
      </c>
      <c r="F94" s="197">
        <f>+[1]OPERACIONES!D78</f>
        <v>0</v>
      </c>
      <c r="G94" s="206">
        <v>0</v>
      </c>
      <c r="H94" s="217">
        <f t="shared" si="15"/>
        <v>0</v>
      </c>
    </row>
    <row r="95" spans="2:8" ht="31.5">
      <c r="B95" s="205" t="s">
        <v>365</v>
      </c>
      <c r="C95" s="196" t="s">
        <v>549</v>
      </c>
      <c r="D95" s="197">
        <v>0</v>
      </c>
      <c r="E95" s="197">
        <v>0</v>
      </c>
      <c r="F95" s="197">
        <v>0</v>
      </c>
      <c r="G95" s="206">
        <f>+SUM([1]OPERACIONES!E117:E132,[1]OPERACIONES!E134:E141,[1]OPERACIONES!E143,[1]OPERACIONES!E145:E146,[1]OPERACIONES!E148:E149,[1]OPERACIONES!E151:E155,[1]OPERACIONES!F117:F132,[1]OPERACIONES!G117:G132,[1]OPERACIONES!H117:H132,[1]OPERACIONES!I117:I132,[1]OPERACIONES!J117:J132,[1]OPERACIONES!F134:F141,[1]OPERACIONES!G134:G141,[1]OPERACIONES!H134:H141,[1]OPERACIONES!I134:I141,[1]OPERACIONES!J134:J141,[1]OPERACIONES!J143,[1]OPERACIONES!I143,[1]OPERACIONES!H143,[1]OPERACIONES!G143,[1]OPERACIONES!F143,[1]OPERACIONES!F145:F146,[1]OPERACIONES!G145:G146,[1]OPERACIONES!H145:H146,[1]OPERACIONES!I145:I146,[1]OPERACIONES!J145:J146,[1]OPERACIONES!J148:J149,[1]OPERACIONES!I148:I149,[1]OPERACIONES!H148:H149,[1]OPERACIONES!G148:G149,[1]OPERACIONES!F148:F149,[1]OPERACIONES!F151:F155,[1]OPERACIONES!G151:G155,[1]OPERACIONES!H151:H155,[1]OPERACIONES!I151:I155,[1]OPERACIONES!J151:J155)</f>
        <v>126.45347756049459</v>
      </c>
      <c r="H95" s="217">
        <f t="shared" si="15"/>
        <v>126.45347756049459</v>
      </c>
    </row>
    <row r="96" spans="2:8" ht="31.5">
      <c r="B96" s="205" t="s">
        <v>550</v>
      </c>
      <c r="C96" s="196" t="s">
        <v>551</v>
      </c>
      <c r="D96" s="197">
        <v>0</v>
      </c>
      <c r="E96" s="197">
        <v>0</v>
      </c>
      <c r="F96" s="197">
        <v>0</v>
      </c>
      <c r="G96" s="206">
        <v>0</v>
      </c>
      <c r="H96" s="217">
        <f t="shared" si="15"/>
        <v>0</v>
      </c>
    </row>
    <row r="97" spans="2:8">
      <c r="B97" s="205" t="s">
        <v>187</v>
      </c>
      <c r="C97" s="196" t="s">
        <v>311</v>
      </c>
      <c r="D97" s="197">
        <v>0</v>
      </c>
      <c r="E97" s="197">
        <v>0</v>
      </c>
      <c r="F97" s="197">
        <v>0</v>
      </c>
      <c r="G97" s="206">
        <v>0</v>
      </c>
      <c r="H97" s="217">
        <f t="shared" si="15"/>
        <v>0</v>
      </c>
    </row>
    <row r="98" spans="2:8">
      <c r="B98" s="205" t="s">
        <v>222</v>
      </c>
      <c r="C98" s="196" t="s">
        <v>552</v>
      </c>
      <c r="D98" s="197">
        <v>0</v>
      </c>
      <c r="E98" s="197">
        <v>0</v>
      </c>
      <c r="F98" s="197">
        <v>0</v>
      </c>
      <c r="G98" s="206">
        <v>0</v>
      </c>
      <c r="H98" s="217">
        <f t="shared" si="15"/>
        <v>0</v>
      </c>
    </row>
    <row r="99" spans="2:8">
      <c r="B99" s="205" t="s">
        <v>224</v>
      </c>
      <c r="C99" s="196" t="s">
        <v>553</v>
      </c>
      <c r="D99" s="197">
        <v>0</v>
      </c>
      <c r="E99" s="197">
        <v>0</v>
      </c>
      <c r="F99" s="197">
        <v>0</v>
      </c>
      <c r="G99" s="206">
        <v>0</v>
      </c>
      <c r="H99" s="217">
        <f t="shared" si="15"/>
        <v>0</v>
      </c>
    </row>
    <row r="100" spans="2:8">
      <c r="B100" s="205" t="s">
        <v>223</v>
      </c>
      <c r="C100" s="196" t="s">
        <v>322</v>
      </c>
      <c r="D100" s="197">
        <v>0</v>
      </c>
      <c r="E100" s="197">
        <v>0</v>
      </c>
      <c r="F100" s="197">
        <v>0</v>
      </c>
      <c r="G100" s="206">
        <v>0</v>
      </c>
      <c r="H100" s="217">
        <f t="shared" si="15"/>
        <v>0</v>
      </c>
    </row>
    <row r="101" spans="2:8">
      <c r="B101" s="207" t="s">
        <v>221</v>
      </c>
      <c r="C101" s="208" t="s">
        <v>554</v>
      </c>
      <c r="D101" s="209">
        <v>0</v>
      </c>
      <c r="E101" s="209">
        <v>0</v>
      </c>
      <c r="F101" s="209">
        <v>0</v>
      </c>
      <c r="G101" s="210">
        <v>0</v>
      </c>
      <c r="H101" s="217">
        <f t="shared" si="15"/>
        <v>0</v>
      </c>
    </row>
    <row r="102" spans="2:8">
      <c r="C102" s="63" t="s">
        <v>7</v>
      </c>
      <c r="D102" s="217">
        <f>SUM(D90:D101)</f>
        <v>0</v>
      </c>
      <c r="E102" s="217">
        <f t="shared" ref="E102:G102" si="16">SUM(E90:E101)</f>
        <v>0</v>
      </c>
      <c r="F102" s="217">
        <f t="shared" si="16"/>
        <v>0</v>
      </c>
      <c r="G102" s="217">
        <f t="shared" si="16"/>
        <v>126.45347756049459</v>
      </c>
      <c r="H102" s="217">
        <f t="shared" si="15"/>
        <v>126.45347756049459</v>
      </c>
    </row>
    <row r="104" spans="2:8">
      <c r="B104" s="676" t="s">
        <v>559</v>
      </c>
      <c r="C104" s="677"/>
      <c r="D104" s="677"/>
      <c r="E104" s="677"/>
      <c r="F104" s="677"/>
      <c r="G104" s="678"/>
      <c r="H104" s="3" t="s">
        <v>560</v>
      </c>
    </row>
    <row r="105" spans="2:8">
      <c r="B105" s="679"/>
      <c r="C105" s="680"/>
      <c r="D105" s="680"/>
      <c r="E105" s="680"/>
      <c r="F105" s="680"/>
      <c r="G105" s="681"/>
      <c r="H105" s="3"/>
    </row>
    <row r="106" spans="2:8">
      <c r="B106" s="203"/>
      <c r="C106" s="7"/>
      <c r="D106" s="7" t="s">
        <v>383</v>
      </c>
      <c r="E106" s="7" t="s">
        <v>384</v>
      </c>
      <c r="F106" s="7" t="s">
        <v>172</v>
      </c>
      <c r="G106" s="204" t="s">
        <v>386</v>
      </c>
      <c r="H106" s="3"/>
    </row>
    <row r="107" spans="2:8">
      <c r="B107" s="205" t="s">
        <v>218</v>
      </c>
      <c r="C107" s="196" t="s">
        <v>313</v>
      </c>
      <c r="D107" s="197">
        <f>+[1]OPERACIONES!G203</f>
        <v>1.0732627E-2</v>
      </c>
      <c r="E107" s="197">
        <f>+[1]OPERACIONES!E204</f>
        <v>7.5585340099100008E-4</v>
      </c>
      <c r="F107" s="197">
        <f>+[1]OPERACIONES!D202+[1]OPERACIONES!D203+[1]OPERACIONES!D204</f>
        <v>1.6564918313712783E-2</v>
      </c>
      <c r="G107" s="206">
        <v>0</v>
      </c>
      <c r="H107" s="217">
        <f>SUM(D107:G107)</f>
        <v>2.8053398714703782E-2</v>
      </c>
    </row>
    <row r="108" spans="2:8">
      <c r="B108" s="205" t="s">
        <v>219</v>
      </c>
      <c r="C108" s="196" t="s">
        <v>318</v>
      </c>
      <c r="D108" s="197">
        <v>0</v>
      </c>
      <c r="E108" s="197">
        <f>+[1]OPERACIONES!E192</f>
        <v>0.16280829636500002</v>
      </c>
      <c r="F108" s="197">
        <f>+[1]OPERACIONES!D192+[1]OPERACIONES!D209</f>
        <v>6.0466324657090398E-2</v>
      </c>
      <c r="G108" s="206">
        <v>0</v>
      </c>
      <c r="H108" s="217">
        <f t="shared" ref="H108:H119" si="17">SUM(D108:G108)</f>
        <v>0.22327462102209042</v>
      </c>
    </row>
    <row r="109" spans="2:8">
      <c r="B109" s="205" t="s">
        <v>171</v>
      </c>
      <c r="C109" s="196" t="s">
        <v>315</v>
      </c>
      <c r="D109" s="197">
        <v>0</v>
      </c>
      <c r="E109" s="197">
        <v>0</v>
      </c>
      <c r="F109" s="197">
        <v>0</v>
      </c>
      <c r="G109" s="206">
        <v>0</v>
      </c>
      <c r="H109" s="217">
        <f t="shared" si="17"/>
        <v>0</v>
      </c>
    </row>
    <row r="110" spans="2:8">
      <c r="B110" s="205" t="s">
        <v>11</v>
      </c>
      <c r="C110" s="196" t="s">
        <v>11</v>
      </c>
      <c r="D110" s="197">
        <v>0</v>
      </c>
      <c r="E110" s="197">
        <v>0</v>
      </c>
      <c r="F110" s="197">
        <v>0</v>
      </c>
      <c r="G110" s="206">
        <v>0</v>
      </c>
      <c r="H110" s="217">
        <f t="shared" si="17"/>
        <v>0</v>
      </c>
    </row>
    <row r="111" spans="2:8" ht="47.25">
      <c r="B111" s="205" t="s">
        <v>220</v>
      </c>
      <c r="C111" s="196" t="s">
        <v>548</v>
      </c>
      <c r="D111" s="197">
        <v>0</v>
      </c>
      <c r="E111" s="197">
        <v>0</v>
      </c>
      <c r="F111" s="197">
        <v>0</v>
      </c>
      <c r="G111" s="206">
        <v>0</v>
      </c>
      <c r="H111" s="217">
        <f t="shared" si="17"/>
        <v>0</v>
      </c>
    </row>
    <row r="112" spans="2:8" ht="31.5">
      <c r="B112" s="205" t="s">
        <v>365</v>
      </c>
      <c r="C112" s="196" t="s">
        <v>549</v>
      </c>
      <c r="D112" s="197">
        <v>0</v>
      </c>
      <c r="E112" s="197">
        <v>0</v>
      </c>
      <c r="F112" s="197">
        <v>0</v>
      </c>
      <c r="G112" s="206">
        <v>0</v>
      </c>
      <c r="H112" s="217">
        <f t="shared" si="17"/>
        <v>0</v>
      </c>
    </row>
    <row r="113" spans="2:8" ht="31.5">
      <c r="B113" s="205" t="s">
        <v>550</v>
      </c>
      <c r="C113" s="196" t="s">
        <v>551</v>
      </c>
      <c r="D113" s="197">
        <v>0</v>
      </c>
      <c r="E113" s="197">
        <v>0</v>
      </c>
      <c r="F113" s="197">
        <v>0</v>
      </c>
      <c r="G113" s="206">
        <v>0</v>
      </c>
      <c r="H113" s="217">
        <f t="shared" si="17"/>
        <v>0</v>
      </c>
    </row>
    <row r="114" spans="2:8">
      <c r="B114" s="205" t="s">
        <v>187</v>
      </c>
      <c r="C114" s="196" t="s">
        <v>311</v>
      </c>
      <c r="D114" s="197">
        <v>0</v>
      </c>
      <c r="E114" s="197">
        <v>0</v>
      </c>
      <c r="F114" s="197">
        <v>0</v>
      </c>
      <c r="G114" s="206">
        <v>0</v>
      </c>
      <c r="H114" s="217">
        <f t="shared" si="17"/>
        <v>0</v>
      </c>
    </row>
    <row r="115" spans="2:8">
      <c r="B115" s="205" t="s">
        <v>222</v>
      </c>
      <c r="C115" s="196" t="s">
        <v>552</v>
      </c>
      <c r="D115" s="197">
        <f>+[1]OPERACIONES!G195+[1]OPERACIONES!P195</f>
        <v>39.195436204450004</v>
      </c>
      <c r="E115" s="197">
        <f>+[1]OPERACIONES!E195</f>
        <v>0</v>
      </c>
      <c r="F115" s="197">
        <f>+[1]OPERACIONES!D195</f>
        <v>1.5602836879432627</v>
      </c>
      <c r="G115" s="206">
        <v>0</v>
      </c>
      <c r="H115" s="217">
        <f t="shared" si="17"/>
        <v>40.755719892393266</v>
      </c>
    </row>
    <row r="116" spans="2:8">
      <c r="B116" s="205" t="s">
        <v>224</v>
      </c>
      <c r="C116" s="196" t="s">
        <v>553</v>
      </c>
      <c r="D116" s="34">
        <f>+[1]OPERACIONES!F199+[1]OPERACIONES!F213+[1]OPERACIONES!G196+[1]OPERACIONES!G213+[1]OPERACIONES!K199+[1]OPERACIONES!L199+[1]OPERACIONES!N200+[1]OPERACIONES!T200</f>
        <v>1045.1753443125058</v>
      </c>
      <c r="E116" s="197">
        <f>+[1]OPERACIONES!E190+[1]OPERACIONES!E196+[1]OPERACIONES!E198+[1]OPERACIONES!E199+[1]OPERACIONES!E200+[1]OPERACIONES!E207+[1]OPERACIONES!E213+[1]OPERACIONES!E215</f>
        <v>119.77894185770892</v>
      </c>
      <c r="F116" s="197">
        <f>+[1]OPERACIONES!D190+[1]OPERACIONES!D196+[1]OPERACIONES!D198+[1]OPERACIONES!D199+[1]OPERACIONES!D213+[1]OPERACIONES!D215</f>
        <v>1.3380724586960435</v>
      </c>
      <c r="G116" s="206">
        <v>0</v>
      </c>
      <c r="H116" s="217">
        <f t="shared" si="17"/>
        <v>1166.2923586289107</v>
      </c>
    </row>
    <row r="117" spans="2:8">
      <c r="B117" s="205" t="s">
        <v>223</v>
      </c>
      <c r="C117" s="196" t="s">
        <v>322</v>
      </c>
      <c r="D117" s="197">
        <f>+[1]OPERACIONES!F191+[1]OPERACIONES!G191+[1]OPERACIONES!I191+[1]OPERACIONES!L191</f>
        <v>3.1589459019128254</v>
      </c>
      <c r="E117" s="197">
        <f>+[1]OPERACIONES!E191</f>
        <v>3.21573339371123</v>
      </c>
      <c r="F117" s="197">
        <f>+[1]OPERACIONES!D191</f>
        <v>5.9972378322713051E-2</v>
      </c>
      <c r="G117" s="206">
        <v>0</v>
      </c>
      <c r="H117" s="217">
        <f t="shared" si="17"/>
        <v>6.4346516739467683</v>
      </c>
    </row>
    <row r="118" spans="2:8">
      <c r="B118" s="207" t="s">
        <v>221</v>
      </c>
      <c r="C118" s="208" t="s">
        <v>554</v>
      </c>
      <c r="D118" s="209">
        <f>+[1]OPERACIONES!F201+[1]OPERACIONES!F214+[1]OPERACIONES!G197+[1]OPERACIONES!G201+[1]OPERACIONES!T197</f>
        <v>6723.1641478048723</v>
      </c>
      <c r="E118" s="209">
        <f>+[1]OPERACIONES!E197</f>
        <v>9.3037492666276727</v>
      </c>
      <c r="F118" s="209">
        <f>+[1]OPERACIONES!D197+[1]OPERACIONES!D201+[1]OPERACIONES!D214</f>
        <v>1.7067951902653276E-2</v>
      </c>
      <c r="G118" s="210">
        <v>0</v>
      </c>
      <c r="H118" s="217">
        <f t="shared" si="17"/>
        <v>6732.4849650234028</v>
      </c>
    </row>
    <row r="119" spans="2:8">
      <c r="C119" s="63" t="s">
        <v>7</v>
      </c>
      <c r="D119" s="217">
        <f>SUM(D107:D118)</f>
        <v>7810.7046068507407</v>
      </c>
      <c r="E119" s="217">
        <f t="shared" ref="E119:G119" si="18">SUM(E107:E118)</f>
        <v>132.46198866781381</v>
      </c>
      <c r="F119" s="217">
        <f t="shared" si="18"/>
        <v>3.052427719835475</v>
      </c>
      <c r="G119" s="217">
        <f t="shared" si="18"/>
        <v>0</v>
      </c>
      <c r="H119" s="217">
        <f t="shared" si="17"/>
        <v>7946.21902323839</v>
      </c>
    </row>
  </sheetData>
  <mergeCells count="7">
    <mergeCell ref="B87:G88"/>
    <mergeCell ref="B104:G105"/>
    <mergeCell ref="B2:G3"/>
    <mergeCell ref="B19:G20"/>
    <mergeCell ref="B36:G37"/>
    <mergeCell ref="B53:G54"/>
    <mergeCell ref="B70:G7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2:W136"/>
  <sheetViews>
    <sheetView topLeftCell="S4" zoomScale="99" workbookViewId="0">
      <selection activeCell="B86" sqref="B86"/>
    </sheetView>
  </sheetViews>
  <sheetFormatPr baseColWidth="10" defaultRowHeight="15.75"/>
  <cols>
    <col min="2" max="2" width="95.875" bestFit="1" customWidth="1"/>
    <col min="3" max="3" width="47.875" bestFit="1" customWidth="1"/>
    <col min="4" max="4" width="37.5" bestFit="1" customWidth="1"/>
    <col min="5" max="5" width="25.625" bestFit="1" customWidth="1"/>
    <col min="6" max="6" width="26.875" bestFit="1" customWidth="1"/>
    <col min="7" max="7" width="19" bestFit="1" customWidth="1"/>
    <col min="8" max="8" width="29.125" bestFit="1" customWidth="1"/>
    <col min="9" max="9" width="20.375" bestFit="1" customWidth="1"/>
    <col min="10" max="10" width="20" bestFit="1" customWidth="1"/>
    <col min="11" max="11" width="31.875" bestFit="1" customWidth="1"/>
    <col min="12" max="12" width="23.625" bestFit="1" customWidth="1"/>
    <col min="13" max="13" width="26.125" bestFit="1" customWidth="1"/>
    <col min="14" max="14" width="22.625" bestFit="1" customWidth="1"/>
    <col min="15" max="15" width="20.375" bestFit="1" customWidth="1"/>
    <col min="16" max="16" width="32.125" bestFit="1" customWidth="1"/>
    <col min="17" max="17" width="20.5" bestFit="1" customWidth="1"/>
    <col min="18" max="18" width="29.125" bestFit="1" customWidth="1"/>
    <col min="19" max="19" width="21" bestFit="1" customWidth="1"/>
    <col min="20" max="20" width="24.375" bestFit="1" customWidth="1"/>
    <col min="21" max="21" width="31.5" bestFit="1" customWidth="1"/>
    <col min="22" max="22" width="39.625" bestFit="1" customWidth="1"/>
    <col min="23" max="23" width="31" bestFit="1" customWidth="1"/>
  </cols>
  <sheetData>
    <row r="2" spans="1:23">
      <c r="C2" s="687" t="s">
        <v>623</v>
      </c>
      <c r="D2" s="688"/>
      <c r="E2" s="688"/>
      <c r="F2" s="688"/>
      <c r="G2" s="689"/>
    </row>
    <row r="3" spans="1:23">
      <c r="C3" s="690"/>
      <c r="D3" s="691"/>
      <c r="E3" s="691"/>
      <c r="F3" s="691"/>
      <c r="G3" s="692"/>
    </row>
    <row r="4" spans="1:23">
      <c r="C4" s="203"/>
      <c r="D4" s="7" t="s">
        <v>624</v>
      </c>
      <c r="E4" s="7" t="s">
        <v>625</v>
      </c>
      <c r="F4" s="7" t="s">
        <v>626</v>
      </c>
      <c r="G4" s="204" t="s">
        <v>627</v>
      </c>
    </row>
    <row r="5" spans="1:23">
      <c r="C5" s="203" t="s">
        <v>628</v>
      </c>
      <c r="D5" s="20">
        <f>+SUM(G79:G84,G86,G89:G109,G115,T89:T109)+G116</f>
        <v>6722.368828145708</v>
      </c>
      <c r="E5" s="20">
        <f>+SUM(E79:E84,E86,E89:E109,E115)+E116</f>
        <v>11.714072505550364</v>
      </c>
      <c r="F5" s="20">
        <f>+SUM(D79:D84,D89:D109)+D116</f>
        <v>1.1592918601720849E-2</v>
      </c>
      <c r="G5" s="310">
        <v>0</v>
      </c>
    </row>
    <row r="6" spans="1:23">
      <c r="C6" s="203" t="s">
        <v>629</v>
      </c>
      <c r="D6" s="20">
        <v>0</v>
      </c>
      <c r="E6" s="20">
        <f>+E87+E117</f>
        <v>2.61526556036213</v>
      </c>
      <c r="F6" s="20">
        <f>+D87+D117</f>
        <v>6.0968427115959262E-3</v>
      </c>
      <c r="G6" s="310">
        <v>0</v>
      </c>
    </row>
    <row r="7" spans="1:23">
      <c r="C7" s="203" t="s">
        <v>630</v>
      </c>
      <c r="D7" s="20">
        <v>0</v>
      </c>
      <c r="E7" s="20">
        <f>+E121+E123+E135</f>
        <v>27.658427520529223</v>
      </c>
      <c r="F7" s="20">
        <f>+D121+D123</f>
        <v>0.240335529394823</v>
      </c>
      <c r="G7" s="310">
        <v>0</v>
      </c>
    </row>
    <row r="8" spans="1:23">
      <c r="C8" s="311" t="s">
        <v>631</v>
      </c>
      <c r="D8" s="17">
        <f>+SUM(F125:F130,G125,I129)</f>
        <v>418.44518000031837</v>
      </c>
      <c r="E8" s="17">
        <f>+SUM(E125:E130)</f>
        <v>21.040534668661298</v>
      </c>
      <c r="F8" s="17">
        <f>+SUM(D125:D130)</f>
        <v>1.1697464809014653</v>
      </c>
      <c r="G8" s="312">
        <v>0</v>
      </c>
    </row>
    <row r="13" spans="1:23">
      <c r="B13" t="s">
        <v>653</v>
      </c>
      <c r="C13" t="s">
        <v>654</v>
      </c>
      <c r="D13" t="s">
        <v>655</v>
      </c>
      <c r="E13" t="s">
        <v>656</v>
      </c>
      <c r="F13" t="s">
        <v>657</v>
      </c>
      <c r="G13" t="s">
        <v>658</v>
      </c>
      <c r="H13" t="s">
        <v>659</v>
      </c>
      <c r="I13" t="s">
        <v>660</v>
      </c>
      <c r="J13" t="s">
        <v>661</v>
      </c>
      <c r="K13" t="s">
        <v>662</v>
      </c>
      <c r="L13" t="s">
        <v>663</v>
      </c>
      <c r="M13" t="s">
        <v>664</v>
      </c>
      <c r="N13" t="s">
        <v>665</v>
      </c>
      <c r="O13" t="s">
        <v>666</v>
      </c>
      <c r="P13" t="s">
        <v>667</v>
      </c>
      <c r="Q13" t="s">
        <v>668</v>
      </c>
      <c r="R13" t="s">
        <v>669</v>
      </c>
      <c r="S13" t="s">
        <v>670</v>
      </c>
      <c r="T13" t="s">
        <v>671</v>
      </c>
      <c r="U13" t="s">
        <v>672</v>
      </c>
      <c r="V13" t="s">
        <v>673</v>
      </c>
      <c r="W13" t="s">
        <v>674</v>
      </c>
    </row>
    <row r="14" spans="1:23" s="340" customFormat="1" ht="18.75">
      <c r="B14" s="340" t="s">
        <v>675</v>
      </c>
      <c r="C14" s="340">
        <v>489.100866</v>
      </c>
      <c r="D14" s="340">
        <v>3.3273821999999997</v>
      </c>
      <c r="E14" s="340">
        <v>9.1649246505420638</v>
      </c>
      <c r="F14" s="340">
        <v>0</v>
      </c>
      <c r="G14" s="340">
        <v>0.27659713183552903</v>
      </c>
      <c r="H14" s="340">
        <v>0</v>
      </c>
      <c r="I14" s="340">
        <v>0</v>
      </c>
      <c r="J14" s="340">
        <v>0</v>
      </c>
      <c r="K14" s="340">
        <v>0</v>
      </c>
      <c r="L14" s="340">
        <v>0</v>
      </c>
      <c r="M14" s="340">
        <v>0</v>
      </c>
      <c r="N14" s="340">
        <v>0</v>
      </c>
      <c r="O14" s="340">
        <v>0</v>
      </c>
      <c r="P14" s="340">
        <v>0</v>
      </c>
      <c r="Q14" s="340">
        <v>0</v>
      </c>
      <c r="R14" s="340">
        <v>0</v>
      </c>
      <c r="S14" s="340">
        <v>0</v>
      </c>
      <c r="T14" s="340">
        <v>6721.8173789557986</v>
      </c>
      <c r="U14" s="340">
        <v>0</v>
      </c>
      <c r="V14" s="340">
        <v>0</v>
      </c>
      <c r="W14" s="340">
        <v>2.528</v>
      </c>
    </row>
    <row r="15" spans="1:23">
      <c r="B15" t="s">
        <v>676</v>
      </c>
      <c r="C15">
        <v>9.5565459999999991</v>
      </c>
      <c r="D15">
        <v>5.6800000000000003E-2</v>
      </c>
      <c r="E15">
        <v>6.785743640000001E-4</v>
      </c>
      <c r="F15">
        <v>0</v>
      </c>
      <c r="G15">
        <v>0.12035066824950001</v>
      </c>
      <c r="H15">
        <v>0</v>
      </c>
      <c r="I15">
        <v>0</v>
      </c>
      <c r="J15">
        <v>0</v>
      </c>
      <c r="K15">
        <v>0</v>
      </c>
      <c r="L15">
        <v>0</v>
      </c>
      <c r="M15">
        <v>0</v>
      </c>
      <c r="N15">
        <v>0</v>
      </c>
      <c r="O15">
        <v>0</v>
      </c>
      <c r="P15">
        <v>0</v>
      </c>
      <c r="Q15">
        <v>0</v>
      </c>
      <c r="R15">
        <v>0</v>
      </c>
      <c r="S15">
        <v>0</v>
      </c>
      <c r="T15">
        <v>0</v>
      </c>
      <c r="U15">
        <v>0</v>
      </c>
      <c r="V15">
        <v>0</v>
      </c>
      <c r="W15">
        <v>0</v>
      </c>
    </row>
    <row r="16" spans="1:23">
      <c r="A16">
        <v>1</v>
      </c>
      <c r="B16" t="s">
        <v>677</v>
      </c>
      <c r="C16">
        <v>0.04</v>
      </c>
      <c r="D16">
        <v>0</v>
      </c>
      <c r="E16">
        <v>6.7286960000000008E-4</v>
      </c>
      <c r="F16">
        <v>0</v>
      </c>
      <c r="G16">
        <v>0</v>
      </c>
      <c r="H16">
        <v>0</v>
      </c>
      <c r="I16">
        <v>0</v>
      </c>
      <c r="J16">
        <v>0</v>
      </c>
      <c r="K16">
        <v>0</v>
      </c>
      <c r="L16">
        <v>0</v>
      </c>
      <c r="M16">
        <v>0</v>
      </c>
      <c r="N16">
        <v>0</v>
      </c>
      <c r="O16">
        <v>0</v>
      </c>
      <c r="P16">
        <v>0</v>
      </c>
      <c r="Q16">
        <v>0</v>
      </c>
      <c r="R16">
        <v>0</v>
      </c>
      <c r="S16">
        <v>0</v>
      </c>
      <c r="T16">
        <v>0</v>
      </c>
      <c r="U16">
        <v>0</v>
      </c>
      <c r="V16">
        <v>0</v>
      </c>
      <c r="W16">
        <v>0</v>
      </c>
    </row>
    <row r="17" spans="1:23">
      <c r="A17">
        <v>1</v>
      </c>
      <c r="B17" t="s">
        <v>678</v>
      </c>
      <c r="C17">
        <v>1.4425460000000001</v>
      </c>
      <c r="D17">
        <v>0</v>
      </c>
      <c r="E17">
        <v>5.7047639999999999E-6</v>
      </c>
      <c r="F17">
        <v>0</v>
      </c>
      <c r="G17">
        <v>1.6560940999999999E-2</v>
      </c>
      <c r="H17">
        <v>0</v>
      </c>
      <c r="I17">
        <v>0</v>
      </c>
      <c r="J17">
        <v>0</v>
      </c>
      <c r="K17">
        <v>0</v>
      </c>
      <c r="L17">
        <v>0</v>
      </c>
      <c r="M17">
        <v>0</v>
      </c>
      <c r="N17">
        <v>0</v>
      </c>
      <c r="O17">
        <v>0</v>
      </c>
      <c r="P17">
        <v>0</v>
      </c>
      <c r="Q17">
        <v>0</v>
      </c>
      <c r="R17">
        <v>0</v>
      </c>
      <c r="S17">
        <v>0</v>
      </c>
      <c r="T17">
        <v>0</v>
      </c>
      <c r="U17">
        <v>0</v>
      </c>
      <c r="V17">
        <v>0</v>
      </c>
      <c r="W17">
        <v>0</v>
      </c>
    </row>
    <row r="18" spans="1:23">
      <c r="A18">
        <v>1</v>
      </c>
      <c r="B18" t="s">
        <v>679</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v>1</v>
      </c>
      <c r="B19" t="s">
        <v>680</v>
      </c>
      <c r="C19">
        <v>0.7619999999999999</v>
      </c>
      <c r="D19">
        <v>0</v>
      </c>
      <c r="E19">
        <v>0</v>
      </c>
      <c r="F19">
        <v>0</v>
      </c>
      <c r="G19">
        <v>1.0935196449999999E-2</v>
      </c>
      <c r="H19">
        <v>0</v>
      </c>
      <c r="I19">
        <v>0</v>
      </c>
      <c r="J19">
        <v>0</v>
      </c>
      <c r="K19">
        <v>0</v>
      </c>
      <c r="L19">
        <v>0</v>
      </c>
      <c r="M19">
        <v>0</v>
      </c>
      <c r="N19">
        <v>0</v>
      </c>
      <c r="O19">
        <v>0</v>
      </c>
      <c r="P19">
        <v>0</v>
      </c>
      <c r="Q19">
        <v>0</v>
      </c>
      <c r="R19">
        <v>0</v>
      </c>
      <c r="S19">
        <v>0</v>
      </c>
      <c r="T19">
        <v>0</v>
      </c>
      <c r="U19">
        <v>0</v>
      </c>
      <c r="V19">
        <v>0</v>
      </c>
      <c r="W19">
        <v>0</v>
      </c>
    </row>
    <row r="20" spans="1:23">
      <c r="A20">
        <v>1</v>
      </c>
      <c r="B20" t="s">
        <v>681</v>
      </c>
      <c r="C20">
        <v>4.8209999999999997</v>
      </c>
      <c r="D20">
        <v>5.6800000000000003E-2</v>
      </c>
      <c r="E20">
        <v>0</v>
      </c>
      <c r="F20">
        <v>0</v>
      </c>
      <c r="G20">
        <v>5.4068878054500009E-2</v>
      </c>
      <c r="H20">
        <v>0</v>
      </c>
      <c r="I20">
        <v>0</v>
      </c>
      <c r="J20">
        <v>0</v>
      </c>
      <c r="K20">
        <v>0</v>
      </c>
      <c r="L20">
        <v>0</v>
      </c>
      <c r="M20">
        <v>0</v>
      </c>
      <c r="N20">
        <v>0</v>
      </c>
      <c r="O20">
        <v>0</v>
      </c>
      <c r="P20">
        <v>0</v>
      </c>
      <c r="Q20">
        <v>0</v>
      </c>
      <c r="R20">
        <v>0</v>
      </c>
      <c r="S20">
        <v>0</v>
      </c>
      <c r="T20">
        <v>0</v>
      </c>
      <c r="U20">
        <v>0</v>
      </c>
      <c r="V20">
        <v>0</v>
      </c>
      <c r="W20">
        <v>0</v>
      </c>
    </row>
    <row r="21" spans="1:23">
      <c r="A21">
        <v>1</v>
      </c>
      <c r="B21" t="s">
        <v>682</v>
      </c>
      <c r="C21">
        <v>2.4909999999999997</v>
      </c>
      <c r="D21">
        <v>0</v>
      </c>
      <c r="E21">
        <v>0</v>
      </c>
      <c r="F21">
        <v>0</v>
      </c>
      <c r="G21">
        <v>3.8785652744999996E-2</v>
      </c>
      <c r="H21">
        <v>0</v>
      </c>
      <c r="I21">
        <v>0</v>
      </c>
      <c r="J21">
        <v>0</v>
      </c>
      <c r="K21">
        <v>0</v>
      </c>
      <c r="L21">
        <v>0</v>
      </c>
      <c r="M21">
        <v>0</v>
      </c>
      <c r="N21">
        <v>0</v>
      </c>
      <c r="O21">
        <v>0</v>
      </c>
      <c r="P21">
        <v>0</v>
      </c>
      <c r="Q21">
        <v>0</v>
      </c>
      <c r="R21">
        <v>0</v>
      </c>
      <c r="S21">
        <v>0</v>
      </c>
      <c r="T21">
        <v>0</v>
      </c>
      <c r="U21">
        <v>0</v>
      </c>
      <c r="V21">
        <v>0</v>
      </c>
      <c r="W21">
        <v>0</v>
      </c>
    </row>
    <row r="22" spans="1:23">
      <c r="B22" t="s">
        <v>683</v>
      </c>
      <c r="C22">
        <v>47.669530000000009</v>
      </c>
      <c r="D22">
        <v>0.56752000000000002</v>
      </c>
      <c r="E22">
        <v>1.4774426999750603</v>
      </c>
      <c r="F22">
        <v>0</v>
      </c>
      <c r="G22">
        <v>0</v>
      </c>
      <c r="H22">
        <v>0</v>
      </c>
      <c r="I22">
        <v>0</v>
      </c>
      <c r="J22">
        <v>0</v>
      </c>
      <c r="K22">
        <v>0</v>
      </c>
      <c r="L22">
        <v>0</v>
      </c>
      <c r="M22">
        <v>0</v>
      </c>
      <c r="N22">
        <v>0</v>
      </c>
      <c r="O22">
        <v>0</v>
      </c>
      <c r="P22">
        <v>0</v>
      </c>
      <c r="Q22">
        <v>0</v>
      </c>
      <c r="R22">
        <v>0</v>
      </c>
      <c r="S22">
        <v>0</v>
      </c>
      <c r="T22">
        <v>0</v>
      </c>
      <c r="U22">
        <v>0</v>
      </c>
      <c r="V22">
        <v>0</v>
      </c>
      <c r="W22">
        <v>0</v>
      </c>
    </row>
    <row r="23" spans="1:23">
      <c r="A23">
        <v>1</v>
      </c>
      <c r="B23" t="s">
        <v>684</v>
      </c>
      <c r="C23">
        <v>17.004000000000001</v>
      </c>
      <c r="D23">
        <v>0.224</v>
      </c>
      <c r="E23">
        <v>0.48114506059893009</v>
      </c>
      <c r="F23">
        <v>0</v>
      </c>
      <c r="G23">
        <v>0</v>
      </c>
      <c r="H23">
        <v>0</v>
      </c>
      <c r="I23">
        <v>0</v>
      </c>
      <c r="J23">
        <v>0</v>
      </c>
      <c r="K23">
        <v>0</v>
      </c>
      <c r="L23">
        <v>0</v>
      </c>
      <c r="M23">
        <v>0</v>
      </c>
      <c r="N23">
        <v>0</v>
      </c>
      <c r="O23">
        <v>0</v>
      </c>
      <c r="P23">
        <v>0</v>
      </c>
      <c r="Q23">
        <v>0</v>
      </c>
      <c r="R23">
        <v>0</v>
      </c>
      <c r="S23">
        <v>0</v>
      </c>
      <c r="T23">
        <v>0</v>
      </c>
      <c r="U23">
        <v>0</v>
      </c>
      <c r="V23">
        <v>0</v>
      </c>
      <c r="W23">
        <v>0</v>
      </c>
    </row>
    <row r="24" spans="1:23">
      <c r="A24">
        <v>2</v>
      </c>
      <c r="B24" t="s">
        <v>685</v>
      </c>
      <c r="C24">
        <v>30.665530000000004</v>
      </c>
      <c r="D24">
        <v>0.34351999999999999</v>
      </c>
      <c r="E24">
        <v>0.99629763937613014</v>
      </c>
      <c r="F24">
        <v>0</v>
      </c>
      <c r="G24">
        <v>0</v>
      </c>
      <c r="H24">
        <v>0</v>
      </c>
      <c r="I24">
        <v>0</v>
      </c>
      <c r="J24">
        <v>0</v>
      </c>
      <c r="K24">
        <v>0</v>
      </c>
      <c r="L24">
        <v>0</v>
      </c>
      <c r="M24">
        <v>0</v>
      </c>
      <c r="N24">
        <v>0</v>
      </c>
      <c r="O24">
        <v>0</v>
      </c>
      <c r="P24">
        <v>0</v>
      </c>
      <c r="Q24">
        <v>0</v>
      </c>
      <c r="R24">
        <v>0</v>
      </c>
      <c r="S24">
        <v>0</v>
      </c>
      <c r="T24">
        <v>0</v>
      </c>
      <c r="U24">
        <v>0</v>
      </c>
      <c r="V24">
        <v>0</v>
      </c>
      <c r="W24">
        <v>0</v>
      </c>
    </row>
    <row r="25" spans="1:23">
      <c r="B25" t="s">
        <v>686</v>
      </c>
      <c r="C25">
        <v>422.68967799999996</v>
      </c>
      <c r="D25">
        <v>2.6772849999999999</v>
      </c>
      <c r="E25">
        <v>7.5977321897650043</v>
      </c>
      <c r="F25">
        <v>0</v>
      </c>
      <c r="G25">
        <v>0.15624646358602901</v>
      </c>
      <c r="H25">
        <v>0</v>
      </c>
      <c r="I25">
        <v>0</v>
      </c>
      <c r="J25">
        <v>0</v>
      </c>
      <c r="K25">
        <v>0</v>
      </c>
      <c r="L25">
        <v>0</v>
      </c>
      <c r="M25">
        <v>0</v>
      </c>
      <c r="N25">
        <v>0</v>
      </c>
      <c r="O25">
        <v>0</v>
      </c>
      <c r="P25">
        <v>0</v>
      </c>
      <c r="Q25">
        <v>0</v>
      </c>
      <c r="R25">
        <v>0</v>
      </c>
      <c r="S25">
        <v>0</v>
      </c>
      <c r="T25">
        <v>6721.8173789557986</v>
      </c>
      <c r="U25">
        <v>0</v>
      </c>
      <c r="V25">
        <v>0</v>
      </c>
      <c r="W25">
        <v>2.528</v>
      </c>
    </row>
    <row r="26" spans="1:23">
      <c r="A26">
        <v>1</v>
      </c>
      <c r="B26" t="s">
        <v>687</v>
      </c>
      <c r="C26">
        <v>5.3505840000000005</v>
      </c>
      <c r="D26">
        <v>0</v>
      </c>
      <c r="E26">
        <v>4.8277275081151996E-2</v>
      </c>
      <c r="F26">
        <v>0</v>
      </c>
      <c r="G26">
        <v>4.6948669000039009E-2</v>
      </c>
      <c r="H26">
        <v>0</v>
      </c>
      <c r="I26">
        <v>0</v>
      </c>
      <c r="J26">
        <v>0</v>
      </c>
      <c r="K26">
        <v>0</v>
      </c>
      <c r="L26">
        <v>0</v>
      </c>
      <c r="M26">
        <v>0</v>
      </c>
      <c r="N26">
        <v>0</v>
      </c>
      <c r="O26">
        <v>0</v>
      </c>
      <c r="P26">
        <v>0</v>
      </c>
      <c r="Q26">
        <v>0</v>
      </c>
      <c r="R26">
        <v>0</v>
      </c>
      <c r="S26">
        <v>0</v>
      </c>
      <c r="T26">
        <v>0</v>
      </c>
      <c r="U26">
        <v>0</v>
      </c>
      <c r="V26">
        <v>0</v>
      </c>
      <c r="W26">
        <v>0</v>
      </c>
    </row>
    <row r="27" spans="1:23">
      <c r="A27">
        <v>1</v>
      </c>
      <c r="B27" t="s">
        <v>688</v>
      </c>
      <c r="C27">
        <v>33.111000000000004</v>
      </c>
      <c r="D27">
        <v>0</v>
      </c>
      <c r="E27">
        <v>0.591113786029</v>
      </c>
      <c r="F27">
        <v>0</v>
      </c>
      <c r="G27">
        <v>8.8721865249999994E-4</v>
      </c>
      <c r="H27">
        <v>0</v>
      </c>
      <c r="I27">
        <v>0</v>
      </c>
      <c r="J27">
        <v>0</v>
      </c>
      <c r="K27">
        <v>0</v>
      </c>
      <c r="L27">
        <v>0</v>
      </c>
      <c r="M27">
        <v>0</v>
      </c>
      <c r="N27">
        <v>0</v>
      </c>
      <c r="O27">
        <v>0</v>
      </c>
      <c r="P27">
        <v>0</v>
      </c>
      <c r="Q27">
        <v>0</v>
      </c>
      <c r="R27">
        <v>0</v>
      </c>
      <c r="S27">
        <v>0</v>
      </c>
      <c r="T27">
        <v>0</v>
      </c>
      <c r="U27">
        <v>0</v>
      </c>
      <c r="V27">
        <v>0</v>
      </c>
      <c r="W27">
        <v>0</v>
      </c>
    </row>
    <row r="28" spans="1:23">
      <c r="A28">
        <v>1</v>
      </c>
      <c r="B28" t="s">
        <v>689</v>
      </c>
      <c r="C28">
        <v>43.325999999999993</v>
      </c>
      <c r="D28">
        <v>0</v>
      </c>
      <c r="E28">
        <v>0.79539542412200015</v>
      </c>
      <c r="F28">
        <v>0</v>
      </c>
      <c r="G28">
        <v>2.8125168900000006E-4</v>
      </c>
      <c r="H28">
        <v>0</v>
      </c>
      <c r="I28">
        <v>0</v>
      </c>
      <c r="J28">
        <v>0</v>
      </c>
      <c r="K28">
        <v>0</v>
      </c>
      <c r="L28">
        <v>0</v>
      </c>
      <c r="M28">
        <v>0</v>
      </c>
      <c r="N28">
        <v>0</v>
      </c>
      <c r="O28">
        <v>0</v>
      </c>
      <c r="P28">
        <v>0</v>
      </c>
      <c r="Q28">
        <v>0</v>
      </c>
      <c r="R28">
        <v>0</v>
      </c>
      <c r="S28">
        <v>0</v>
      </c>
      <c r="T28">
        <v>0</v>
      </c>
      <c r="U28">
        <v>0</v>
      </c>
      <c r="V28">
        <v>0</v>
      </c>
      <c r="W28">
        <v>0</v>
      </c>
    </row>
    <row r="29" spans="1:23">
      <c r="A29">
        <v>1</v>
      </c>
      <c r="B29" t="s">
        <v>690</v>
      </c>
      <c r="C29">
        <v>14.295000000000002</v>
      </c>
      <c r="D29">
        <v>0</v>
      </c>
      <c r="E29">
        <v>0.25226155571500003</v>
      </c>
      <c r="F29">
        <v>0</v>
      </c>
      <c r="G29">
        <v>1.7203121694999999E-3</v>
      </c>
      <c r="H29">
        <v>0</v>
      </c>
      <c r="I29">
        <v>0</v>
      </c>
      <c r="J29">
        <v>0</v>
      </c>
      <c r="K29">
        <v>0</v>
      </c>
      <c r="L29">
        <v>0</v>
      </c>
      <c r="M29">
        <v>0</v>
      </c>
      <c r="N29">
        <v>0</v>
      </c>
      <c r="O29">
        <v>0</v>
      </c>
      <c r="P29">
        <v>0</v>
      </c>
      <c r="Q29">
        <v>0</v>
      </c>
      <c r="R29">
        <v>0</v>
      </c>
      <c r="S29">
        <v>0</v>
      </c>
      <c r="T29">
        <v>0</v>
      </c>
      <c r="U29">
        <v>0</v>
      </c>
      <c r="V29">
        <v>0</v>
      </c>
      <c r="W29">
        <v>2.528</v>
      </c>
    </row>
    <row r="30" spans="1:23">
      <c r="A30">
        <v>1</v>
      </c>
      <c r="B30" t="s">
        <v>691</v>
      </c>
      <c r="C30">
        <v>22.14</v>
      </c>
      <c r="D30">
        <v>0</v>
      </c>
      <c r="E30">
        <v>0.39252583152900006</v>
      </c>
      <c r="F30">
        <v>0</v>
      </c>
      <c r="G30">
        <v>2.3135563499999999E-4</v>
      </c>
      <c r="H30">
        <v>0</v>
      </c>
      <c r="I30">
        <v>0</v>
      </c>
      <c r="J30">
        <v>0</v>
      </c>
      <c r="K30">
        <v>0</v>
      </c>
      <c r="L30">
        <v>0</v>
      </c>
      <c r="M30">
        <v>0</v>
      </c>
      <c r="N30">
        <v>0</v>
      </c>
      <c r="O30">
        <v>0</v>
      </c>
      <c r="P30">
        <v>0</v>
      </c>
      <c r="Q30">
        <v>0</v>
      </c>
      <c r="R30">
        <v>0</v>
      </c>
      <c r="S30">
        <v>0</v>
      </c>
      <c r="T30">
        <v>0</v>
      </c>
      <c r="U30">
        <v>0</v>
      </c>
      <c r="V30">
        <v>0</v>
      </c>
      <c r="W30">
        <v>0</v>
      </c>
    </row>
    <row r="31" spans="1:23">
      <c r="A31">
        <v>1</v>
      </c>
      <c r="B31" t="s">
        <v>692</v>
      </c>
      <c r="C31">
        <v>5.3879999999999999</v>
      </c>
      <c r="D31">
        <v>0</v>
      </c>
      <c r="E31">
        <v>0.10005274743100001</v>
      </c>
      <c r="F31">
        <v>0</v>
      </c>
      <c r="G31">
        <v>1.2534784335000001E-3</v>
      </c>
      <c r="H31">
        <v>0</v>
      </c>
      <c r="I31">
        <v>0</v>
      </c>
      <c r="J31">
        <v>0</v>
      </c>
      <c r="K31">
        <v>0</v>
      </c>
      <c r="L31">
        <v>0</v>
      </c>
      <c r="M31">
        <v>0</v>
      </c>
      <c r="N31">
        <v>0</v>
      </c>
      <c r="O31">
        <v>0</v>
      </c>
      <c r="P31">
        <v>0</v>
      </c>
      <c r="Q31">
        <v>0</v>
      </c>
      <c r="R31">
        <v>0</v>
      </c>
      <c r="S31">
        <v>0</v>
      </c>
      <c r="T31">
        <v>0</v>
      </c>
      <c r="U31">
        <v>0</v>
      </c>
      <c r="V31">
        <v>0</v>
      </c>
      <c r="W31">
        <v>0</v>
      </c>
    </row>
    <row r="32" spans="1:23">
      <c r="A32">
        <v>1</v>
      </c>
      <c r="B32" t="s">
        <v>693</v>
      </c>
      <c r="C32">
        <v>10.456523000000001</v>
      </c>
      <c r="D32">
        <v>1.0924E-2</v>
      </c>
      <c r="E32">
        <v>0.13485557443800003</v>
      </c>
      <c r="F32">
        <v>0</v>
      </c>
      <c r="G32">
        <v>3.4969884000000004E-7</v>
      </c>
      <c r="H32">
        <v>0</v>
      </c>
      <c r="I32">
        <v>0</v>
      </c>
      <c r="J32">
        <v>0</v>
      </c>
      <c r="K32">
        <v>0</v>
      </c>
      <c r="L32">
        <v>0</v>
      </c>
      <c r="M32">
        <v>0</v>
      </c>
      <c r="N32">
        <v>0</v>
      </c>
      <c r="O32">
        <v>0</v>
      </c>
      <c r="P32">
        <v>0</v>
      </c>
      <c r="Q32">
        <v>0</v>
      </c>
      <c r="R32">
        <v>0</v>
      </c>
      <c r="S32">
        <v>0</v>
      </c>
      <c r="T32">
        <v>2568.5869059032921</v>
      </c>
      <c r="U32">
        <v>0</v>
      </c>
      <c r="V32">
        <v>0</v>
      </c>
      <c r="W32">
        <v>0</v>
      </c>
    </row>
    <row r="33" spans="1:23">
      <c r="A33">
        <v>1</v>
      </c>
      <c r="B33" t="s">
        <v>694</v>
      </c>
      <c r="C33">
        <v>12.104224</v>
      </c>
      <c r="D33">
        <v>0.28126199999999996</v>
      </c>
      <c r="E33">
        <v>0.10269539963358</v>
      </c>
      <c r="F33">
        <v>0</v>
      </c>
      <c r="G33">
        <v>0</v>
      </c>
      <c r="H33">
        <v>0</v>
      </c>
      <c r="I33">
        <v>0</v>
      </c>
      <c r="J33">
        <v>0</v>
      </c>
      <c r="K33">
        <v>0</v>
      </c>
      <c r="L33">
        <v>0</v>
      </c>
      <c r="M33">
        <v>0</v>
      </c>
      <c r="N33">
        <v>0</v>
      </c>
      <c r="O33">
        <v>0</v>
      </c>
      <c r="P33">
        <v>0</v>
      </c>
      <c r="Q33">
        <v>0</v>
      </c>
      <c r="R33">
        <v>0</v>
      </c>
      <c r="S33">
        <v>0</v>
      </c>
      <c r="T33">
        <v>2161.7558403720973</v>
      </c>
      <c r="U33">
        <v>0</v>
      </c>
      <c r="V33">
        <v>0</v>
      </c>
      <c r="W33">
        <v>0</v>
      </c>
    </row>
    <row r="34" spans="1:23">
      <c r="A34">
        <v>1</v>
      </c>
      <c r="B34" t="s">
        <v>695</v>
      </c>
      <c r="C34">
        <v>10.713386999999999</v>
      </c>
      <c r="D34">
        <v>7.2540999999999994E-2</v>
      </c>
      <c r="E34">
        <v>0.15427936546843785</v>
      </c>
      <c r="F34">
        <v>0</v>
      </c>
      <c r="G34">
        <v>2.7110793494500001E-2</v>
      </c>
      <c r="H34">
        <v>0</v>
      </c>
      <c r="I34">
        <v>0</v>
      </c>
      <c r="J34">
        <v>0</v>
      </c>
      <c r="K34">
        <v>0</v>
      </c>
      <c r="L34">
        <v>0</v>
      </c>
      <c r="M34">
        <v>0</v>
      </c>
      <c r="N34">
        <v>0</v>
      </c>
      <c r="O34">
        <v>0</v>
      </c>
      <c r="P34">
        <v>0</v>
      </c>
      <c r="Q34">
        <v>0</v>
      </c>
      <c r="R34">
        <v>0</v>
      </c>
      <c r="S34">
        <v>0</v>
      </c>
      <c r="T34">
        <v>0</v>
      </c>
      <c r="U34">
        <v>0</v>
      </c>
      <c r="V34">
        <v>0</v>
      </c>
      <c r="W34">
        <v>0</v>
      </c>
    </row>
    <row r="35" spans="1:23">
      <c r="A35">
        <v>1</v>
      </c>
      <c r="B35" t="s">
        <v>696</v>
      </c>
      <c r="C35">
        <v>13.76</v>
      </c>
      <c r="D35">
        <v>0.85000000000000009</v>
      </c>
      <c r="E35">
        <v>0.21624970071783262</v>
      </c>
      <c r="F35">
        <v>0</v>
      </c>
      <c r="G35">
        <v>1.6098940500000001E-4</v>
      </c>
      <c r="H35">
        <v>0</v>
      </c>
      <c r="I35">
        <v>0</v>
      </c>
      <c r="J35">
        <v>0</v>
      </c>
      <c r="K35">
        <v>0</v>
      </c>
      <c r="L35">
        <v>0</v>
      </c>
      <c r="M35">
        <v>0</v>
      </c>
      <c r="N35">
        <v>0</v>
      </c>
      <c r="O35">
        <v>0</v>
      </c>
      <c r="P35">
        <v>0</v>
      </c>
      <c r="Q35">
        <v>0</v>
      </c>
      <c r="R35">
        <v>0</v>
      </c>
      <c r="S35">
        <v>0</v>
      </c>
      <c r="T35">
        <v>0</v>
      </c>
      <c r="U35">
        <v>0</v>
      </c>
      <c r="V35">
        <v>0</v>
      </c>
      <c r="W35">
        <v>0</v>
      </c>
    </row>
    <row r="36" spans="1:23">
      <c r="A36">
        <v>1</v>
      </c>
      <c r="B36" t="s">
        <v>697</v>
      </c>
      <c r="C36">
        <v>30.62</v>
      </c>
      <c r="D36">
        <v>0.17</v>
      </c>
      <c r="E36">
        <v>0.38521293387273192</v>
      </c>
      <c r="F36">
        <v>0</v>
      </c>
      <c r="G36">
        <v>4.9931592500000006E-4</v>
      </c>
      <c r="H36">
        <v>0</v>
      </c>
      <c r="I36">
        <v>0</v>
      </c>
      <c r="J36">
        <v>0</v>
      </c>
      <c r="K36">
        <v>0</v>
      </c>
      <c r="L36">
        <v>0</v>
      </c>
      <c r="M36">
        <v>0</v>
      </c>
      <c r="N36">
        <v>0</v>
      </c>
      <c r="O36">
        <v>0</v>
      </c>
      <c r="P36">
        <v>0</v>
      </c>
      <c r="Q36">
        <v>0</v>
      </c>
      <c r="R36">
        <v>0</v>
      </c>
      <c r="S36">
        <v>0</v>
      </c>
      <c r="T36">
        <v>0</v>
      </c>
      <c r="U36">
        <v>0</v>
      </c>
      <c r="V36">
        <v>0</v>
      </c>
      <c r="W36">
        <v>0</v>
      </c>
    </row>
    <row r="37" spans="1:23">
      <c r="A37">
        <v>1</v>
      </c>
      <c r="B37" t="s">
        <v>698</v>
      </c>
      <c r="C37">
        <v>14.486999999999998</v>
      </c>
      <c r="D37">
        <v>5.6800000000000003E-2</v>
      </c>
      <c r="E37">
        <v>0.28338345688900002</v>
      </c>
      <c r="F37">
        <v>0</v>
      </c>
      <c r="G37">
        <v>0</v>
      </c>
      <c r="H37">
        <v>0</v>
      </c>
      <c r="I37">
        <v>0</v>
      </c>
      <c r="J37">
        <v>0</v>
      </c>
      <c r="K37">
        <v>0</v>
      </c>
      <c r="L37">
        <v>0</v>
      </c>
      <c r="M37">
        <v>0</v>
      </c>
      <c r="N37">
        <v>0</v>
      </c>
      <c r="O37">
        <v>0</v>
      </c>
      <c r="P37">
        <v>0</v>
      </c>
      <c r="Q37">
        <v>0</v>
      </c>
      <c r="R37">
        <v>0</v>
      </c>
      <c r="S37">
        <v>0</v>
      </c>
      <c r="T37">
        <v>0</v>
      </c>
      <c r="U37">
        <v>0</v>
      </c>
      <c r="V37">
        <v>0</v>
      </c>
      <c r="W37">
        <v>0</v>
      </c>
    </row>
    <row r="38" spans="1:23">
      <c r="A38">
        <v>1</v>
      </c>
      <c r="B38" t="s">
        <v>699</v>
      </c>
      <c r="C38">
        <v>25.909000000000002</v>
      </c>
      <c r="D38">
        <v>0</v>
      </c>
      <c r="E38">
        <v>0.47142575287600003</v>
      </c>
      <c r="F38">
        <v>0</v>
      </c>
      <c r="G38">
        <v>2.6266505349999998E-4</v>
      </c>
      <c r="H38">
        <v>0</v>
      </c>
      <c r="I38">
        <v>0</v>
      </c>
      <c r="J38">
        <v>0</v>
      </c>
      <c r="K38">
        <v>0</v>
      </c>
      <c r="L38">
        <v>0</v>
      </c>
      <c r="M38">
        <v>0</v>
      </c>
      <c r="N38">
        <v>0</v>
      </c>
      <c r="O38">
        <v>0</v>
      </c>
      <c r="P38">
        <v>0</v>
      </c>
      <c r="Q38">
        <v>0</v>
      </c>
      <c r="R38">
        <v>0</v>
      </c>
      <c r="S38">
        <v>0</v>
      </c>
      <c r="T38">
        <v>0</v>
      </c>
      <c r="U38">
        <v>0</v>
      </c>
      <c r="V38">
        <v>0</v>
      </c>
      <c r="W38">
        <v>0</v>
      </c>
    </row>
    <row r="39" spans="1:23">
      <c r="A39">
        <v>1</v>
      </c>
      <c r="B39" t="s">
        <v>700</v>
      </c>
      <c r="C39">
        <v>9.284516</v>
      </c>
      <c r="D39">
        <v>1.0924E-2</v>
      </c>
      <c r="E39">
        <v>3.8042208222620541E-2</v>
      </c>
      <c r="F39">
        <v>0</v>
      </c>
      <c r="G39">
        <v>0</v>
      </c>
      <c r="H39">
        <v>0</v>
      </c>
      <c r="I39">
        <v>0</v>
      </c>
      <c r="J39">
        <v>0</v>
      </c>
      <c r="K39">
        <v>0</v>
      </c>
      <c r="L39">
        <v>0</v>
      </c>
      <c r="M39">
        <v>0</v>
      </c>
      <c r="N39">
        <v>0</v>
      </c>
      <c r="O39">
        <v>0</v>
      </c>
      <c r="P39">
        <v>0</v>
      </c>
      <c r="Q39">
        <v>0</v>
      </c>
      <c r="R39">
        <v>0</v>
      </c>
      <c r="S39">
        <v>0</v>
      </c>
      <c r="T39">
        <v>1991.4746326804084</v>
      </c>
      <c r="U39">
        <v>0</v>
      </c>
      <c r="V39">
        <v>0</v>
      </c>
      <c r="W39">
        <v>0</v>
      </c>
    </row>
    <row r="40" spans="1:23">
      <c r="A40">
        <v>1</v>
      </c>
      <c r="B40" t="s">
        <v>701</v>
      </c>
      <c r="C40">
        <v>13.997</v>
      </c>
      <c r="D40">
        <v>1.0893E-2</v>
      </c>
      <c r="E40">
        <v>0.35605275201600001</v>
      </c>
      <c r="F40">
        <v>0</v>
      </c>
      <c r="G40">
        <v>1.3860015E-4</v>
      </c>
      <c r="H40">
        <v>0</v>
      </c>
      <c r="I40">
        <v>0</v>
      </c>
      <c r="J40">
        <v>0</v>
      </c>
      <c r="K40">
        <v>0</v>
      </c>
      <c r="L40">
        <v>0</v>
      </c>
      <c r="M40">
        <v>0</v>
      </c>
      <c r="N40">
        <v>0</v>
      </c>
      <c r="O40">
        <v>0</v>
      </c>
      <c r="P40">
        <v>0</v>
      </c>
      <c r="Q40">
        <v>0</v>
      </c>
      <c r="R40">
        <v>0</v>
      </c>
      <c r="S40">
        <v>0</v>
      </c>
      <c r="T40">
        <v>0</v>
      </c>
      <c r="U40">
        <v>0</v>
      </c>
      <c r="V40">
        <v>0</v>
      </c>
      <c r="W40">
        <v>0</v>
      </c>
    </row>
    <row r="41" spans="1:23">
      <c r="A41">
        <v>1</v>
      </c>
      <c r="B41" t="s">
        <v>702</v>
      </c>
      <c r="C41">
        <v>20.149999999999999</v>
      </c>
      <c r="D41">
        <v>0</v>
      </c>
      <c r="E41">
        <v>0.34560700001100003</v>
      </c>
      <c r="F41">
        <v>0</v>
      </c>
      <c r="G41">
        <v>1.5089647099999999E-4</v>
      </c>
      <c r="H41">
        <v>0</v>
      </c>
      <c r="I41">
        <v>0</v>
      </c>
      <c r="J41">
        <v>0</v>
      </c>
      <c r="K41">
        <v>0</v>
      </c>
      <c r="L41">
        <v>0</v>
      </c>
      <c r="M41">
        <v>0</v>
      </c>
      <c r="N41">
        <v>0</v>
      </c>
      <c r="O41">
        <v>0</v>
      </c>
      <c r="P41">
        <v>0</v>
      </c>
      <c r="Q41">
        <v>0</v>
      </c>
      <c r="R41">
        <v>0</v>
      </c>
      <c r="S41">
        <v>0</v>
      </c>
      <c r="T41">
        <v>0</v>
      </c>
      <c r="U41">
        <v>0</v>
      </c>
      <c r="V41">
        <v>0</v>
      </c>
      <c r="W41">
        <v>0</v>
      </c>
    </row>
    <row r="42" spans="1:23">
      <c r="A42">
        <v>1</v>
      </c>
      <c r="B42" t="s">
        <v>703</v>
      </c>
      <c r="C42">
        <v>18.78</v>
      </c>
      <c r="D42">
        <v>0.11</v>
      </c>
      <c r="E42">
        <v>0.35673939452167519</v>
      </c>
      <c r="F42">
        <v>0</v>
      </c>
      <c r="G42">
        <v>0</v>
      </c>
      <c r="H42">
        <v>0</v>
      </c>
      <c r="I42">
        <v>0</v>
      </c>
      <c r="J42">
        <v>0</v>
      </c>
      <c r="K42">
        <v>0</v>
      </c>
      <c r="L42">
        <v>0</v>
      </c>
      <c r="M42">
        <v>0</v>
      </c>
      <c r="N42">
        <v>0</v>
      </c>
      <c r="O42">
        <v>0</v>
      </c>
      <c r="P42">
        <v>0</v>
      </c>
      <c r="Q42">
        <v>0</v>
      </c>
      <c r="R42">
        <v>0</v>
      </c>
      <c r="S42">
        <v>0</v>
      </c>
      <c r="T42">
        <v>0</v>
      </c>
      <c r="U42">
        <v>0</v>
      </c>
      <c r="V42">
        <v>0</v>
      </c>
      <c r="W42">
        <v>0</v>
      </c>
    </row>
    <row r="43" spans="1:23">
      <c r="A43">
        <v>1</v>
      </c>
      <c r="B43" t="s">
        <v>704</v>
      </c>
      <c r="C43">
        <v>3.9560000000000004</v>
      </c>
      <c r="D43">
        <v>0</v>
      </c>
      <c r="E43">
        <v>6.5277423164382009E-2</v>
      </c>
      <c r="F43">
        <v>0</v>
      </c>
      <c r="G43">
        <v>3.9980812500000002E-4</v>
      </c>
      <c r="H43">
        <v>0</v>
      </c>
      <c r="I43">
        <v>0</v>
      </c>
      <c r="J43">
        <v>0</v>
      </c>
      <c r="K43">
        <v>0</v>
      </c>
      <c r="L43">
        <v>0</v>
      </c>
      <c r="M43">
        <v>0</v>
      </c>
      <c r="N43">
        <v>0</v>
      </c>
      <c r="O43">
        <v>0</v>
      </c>
      <c r="P43">
        <v>0</v>
      </c>
      <c r="Q43">
        <v>0</v>
      </c>
      <c r="R43">
        <v>0</v>
      </c>
      <c r="S43">
        <v>0</v>
      </c>
      <c r="T43">
        <v>0</v>
      </c>
      <c r="U43">
        <v>0</v>
      </c>
      <c r="V43">
        <v>0</v>
      </c>
      <c r="W43">
        <v>0</v>
      </c>
    </row>
    <row r="44" spans="1:23">
      <c r="A44">
        <v>1</v>
      </c>
      <c r="B44" t="s">
        <v>705</v>
      </c>
      <c r="C44">
        <v>32.477999999999994</v>
      </c>
      <c r="D44">
        <v>0.52</v>
      </c>
      <c r="E44">
        <v>0.6933972698867501</v>
      </c>
      <c r="F44">
        <v>0</v>
      </c>
      <c r="G44">
        <v>5.0763193399999996E-5</v>
      </c>
      <c r="H44">
        <v>0</v>
      </c>
      <c r="I44">
        <v>0</v>
      </c>
      <c r="J44">
        <v>0</v>
      </c>
      <c r="K44">
        <v>0</v>
      </c>
      <c r="L44">
        <v>0</v>
      </c>
      <c r="M44">
        <v>0</v>
      </c>
      <c r="N44">
        <v>0</v>
      </c>
      <c r="O44">
        <v>0</v>
      </c>
      <c r="P44">
        <v>0</v>
      </c>
      <c r="Q44">
        <v>0</v>
      </c>
      <c r="R44">
        <v>0</v>
      </c>
      <c r="S44">
        <v>0</v>
      </c>
      <c r="T44">
        <v>0</v>
      </c>
      <c r="U44">
        <v>0</v>
      </c>
      <c r="V44">
        <v>0</v>
      </c>
      <c r="W44">
        <v>0</v>
      </c>
    </row>
    <row r="45" spans="1:23">
      <c r="A45">
        <v>1</v>
      </c>
      <c r="B45" t="s">
        <v>706</v>
      </c>
      <c r="C45">
        <v>48.070444000000002</v>
      </c>
      <c r="D45">
        <v>0.58362099999999995</v>
      </c>
      <c r="E45">
        <v>1.2167612635158409</v>
      </c>
      <c r="F45">
        <v>0</v>
      </c>
      <c r="G45">
        <v>7.6149996490249991E-2</v>
      </c>
      <c r="H45">
        <v>0</v>
      </c>
      <c r="I45">
        <v>0</v>
      </c>
      <c r="J45">
        <v>0</v>
      </c>
      <c r="K45">
        <v>0</v>
      </c>
      <c r="L45">
        <v>0</v>
      </c>
      <c r="M45">
        <v>0</v>
      </c>
      <c r="N45">
        <v>0</v>
      </c>
      <c r="O45">
        <v>0</v>
      </c>
      <c r="P45">
        <v>0</v>
      </c>
      <c r="Q45">
        <v>0</v>
      </c>
      <c r="R45">
        <v>0</v>
      </c>
      <c r="S45">
        <v>0</v>
      </c>
      <c r="T45">
        <v>0</v>
      </c>
      <c r="U45">
        <v>0</v>
      </c>
      <c r="V45">
        <v>0</v>
      </c>
      <c r="W45">
        <v>0</v>
      </c>
    </row>
    <row r="46" spans="1:23">
      <c r="A46">
        <v>1</v>
      </c>
      <c r="B46" t="s">
        <v>707</v>
      </c>
      <c r="C46">
        <v>34.313000000000002</v>
      </c>
      <c r="D46">
        <v>3.2000000000000003E-4</v>
      </c>
      <c r="E46">
        <v>0.59812607462400003</v>
      </c>
      <c r="F46">
        <v>0</v>
      </c>
      <c r="G46">
        <v>0</v>
      </c>
      <c r="H46">
        <v>0</v>
      </c>
      <c r="I46">
        <v>0</v>
      </c>
      <c r="J46">
        <v>0</v>
      </c>
      <c r="K46">
        <v>0</v>
      </c>
      <c r="L46">
        <v>0</v>
      </c>
      <c r="M46">
        <v>0</v>
      </c>
      <c r="N46">
        <v>0</v>
      </c>
      <c r="O46">
        <v>0</v>
      </c>
      <c r="P46">
        <v>0</v>
      </c>
      <c r="Q46">
        <v>0</v>
      </c>
      <c r="R46">
        <v>0</v>
      </c>
      <c r="S46">
        <v>0</v>
      </c>
      <c r="T46">
        <v>0</v>
      </c>
      <c r="U46">
        <v>0</v>
      </c>
      <c r="V46">
        <v>0</v>
      </c>
      <c r="W46">
        <v>0</v>
      </c>
    </row>
    <row r="47" spans="1:23">
      <c r="B47" t="s">
        <v>708</v>
      </c>
      <c r="C47">
        <v>9.1851120000000002</v>
      </c>
      <c r="D47">
        <v>2.57772E-2</v>
      </c>
      <c r="E47">
        <v>8.9071186438000008E-2</v>
      </c>
      <c r="F47">
        <v>0</v>
      </c>
      <c r="G47">
        <v>0</v>
      </c>
      <c r="H47">
        <v>0</v>
      </c>
      <c r="I47">
        <v>0</v>
      </c>
      <c r="J47">
        <v>0</v>
      </c>
      <c r="K47">
        <v>0</v>
      </c>
      <c r="L47">
        <v>0</v>
      </c>
      <c r="M47">
        <v>0</v>
      </c>
      <c r="N47">
        <v>0</v>
      </c>
      <c r="O47">
        <v>0</v>
      </c>
      <c r="P47">
        <v>0</v>
      </c>
      <c r="Q47">
        <v>0</v>
      </c>
      <c r="R47">
        <v>0</v>
      </c>
      <c r="S47">
        <v>0</v>
      </c>
      <c r="T47">
        <v>0</v>
      </c>
      <c r="U47">
        <v>0</v>
      </c>
      <c r="V47">
        <v>0</v>
      </c>
      <c r="W47">
        <v>0</v>
      </c>
    </row>
    <row r="48" spans="1:23">
      <c r="B48" t="s">
        <v>709</v>
      </c>
      <c r="C48">
        <v>9.1851120000000002</v>
      </c>
      <c r="D48">
        <v>2.57772E-2</v>
      </c>
      <c r="E48">
        <v>8.9071186438000008E-2</v>
      </c>
      <c r="F48">
        <v>0</v>
      </c>
      <c r="G48">
        <v>0</v>
      </c>
      <c r="H48">
        <v>0</v>
      </c>
      <c r="I48">
        <v>0</v>
      </c>
      <c r="J48">
        <v>0</v>
      </c>
      <c r="K48">
        <v>0</v>
      </c>
      <c r="L48">
        <v>0</v>
      </c>
      <c r="M48">
        <v>0</v>
      </c>
      <c r="N48">
        <v>0</v>
      </c>
      <c r="O48">
        <v>0</v>
      </c>
      <c r="P48">
        <v>0</v>
      </c>
      <c r="Q48">
        <v>0</v>
      </c>
      <c r="R48">
        <v>0</v>
      </c>
      <c r="S48">
        <v>0</v>
      </c>
      <c r="T48">
        <v>0</v>
      </c>
      <c r="U48">
        <v>0</v>
      </c>
      <c r="V48">
        <v>0</v>
      </c>
      <c r="W48">
        <v>0</v>
      </c>
    </row>
    <row r="49" spans="1:23" s="340" customFormat="1" ht="18.75">
      <c r="B49" s="340" t="s">
        <v>710</v>
      </c>
      <c r="C49" s="340">
        <v>7853.3334999999997</v>
      </c>
      <c r="D49" s="340">
        <v>672.79882500000019</v>
      </c>
      <c r="E49" s="340">
        <v>96.806587059695261</v>
      </c>
      <c r="F49" s="340">
        <v>13.733345634320871</v>
      </c>
      <c r="G49" s="340">
        <v>5.4187016557740009</v>
      </c>
      <c r="H49" s="340">
        <v>0</v>
      </c>
      <c r="I49" s="340">
        <v>401.41527323069749</v>
      </c>
      <c r="J49" s="340">
        <v>0</v>
      </c>
      <c r="K49" s="340">
        <v>0</v>
      </c>
      <c r="L49" s="340">
        <v>0</v>
      </c>
      <c r="M49" s="340">
        <v>0</v>
      </c>
      <c r="N49" s="340">
        <v>0</v>
      </c>
      <c r="O49" s="340">
        <v>0</v>
      </c>
      <c r="P49" s="340">
        <v>0</v>
      </c>
      <c r="Q49" s="340">
        <v>0</v>
      </c>
      <c r="R49" s="340">
        <v>1.0523002937600001</v>
      </c>
      <c r="S49" s="340">
        <v>0</v>
      </c>
      <c r="T49" s="340">
        <v>0</v>
      </c>
      <c r="U49" s="340">
        <v>0</v>
      </c>
      <c r="V49" s="340">
        <v>0</v>
      </c>
      <c r="W49" s="340">
        <v>477.64002500000009</v>
      </c>
    </row>
    <row r="50" spans="1:23">
      <c r="B50" t="s">
        <v>683</v>
      </c>
      <c r="C50">
        <v>353.09977000000003</v>
      </c>
      <c r="D50">
        <v>2.2738779999999998</v>
      </c>
      <c r="E50">
        <v>6.0494646929308811</v>
      </c>
      <c r="F50">
        <v>0</v>
      </c>
      <c r="G50">
        <v>0.27485205807399998</v>
      </c>
      <c r="H50">
        <v>0</v>
      </c>
      <c r="I50">
        <v>0</v>
      </c>
      <c r="J50">
        <v>0</v>
      </c>
      <c r="K50">
        <v>0</v>
      </c>
      <c r="L50">
        <v>0</v>
      </c>
      <c r="M50">
        <v>0</v>
      </c>
      <c r="N50">
        <v>0</v>
      </c>
      <c r="O50">
        <v>0</v>
      </c>
      <c r="P50">
        <v>0</v>
      </c>
      <c r="Q50">
        <v>0</v>
      </c>
      <c r="R50">
        <v>0</v>
      </c>
      <c r="S50">
        <v>0</v>
      </c>
      <c r="T50">
        <v>0</v>
      </c>
      <c r="U50">
        <v>0</v>
      </c>
      <c r="V50">
        <v>0</v>
      </c>
      <c r="W50">
        <v>0</v>
      </c>
    </row>
    <row r="51" spans="1:23">
      <c r="B51" t="s">
        <v>711</v>
      </c>
      <c r="C51">
        <v>49.023769999999999</v>
      </c>
      <c r="D51">
        <v>0.43779800000000002</v>
      </c>
      <c r="E51">
        <v>0.79598009112245016</v>
      </c>
      <c r="F51">
        <v>0</v>
      </c>
      <c r="G51">
        <v>0</v>
      </c>
      <c r="H51">
        <v>0</v>
      </c>
      <c r="I51">
        <v>0</v>
      </c>
      <c r="J51">
        <v>0</v>
      </c>
      <c r="K51">
        <v>0</v>
      </c>
      <c r="L51">
        <v>0</v>
      </c>
      <c r="M51">
        <v>0</v>
      </c>
      <c r="N51">
        <v>0</v>
      </c>
      <c r="O51">
        <v>0</v>
      </c>
      <c r="P51">
        <v>0</v>
      </c>
      <c r="Q51">
        <v>0</v>
      </c>
      <c r="R51">
        <v>0</v>
      </c>
      <c r="S51">
        <v>0</v>
      </c>
      <c r="T51">
        <v>0</v>
      </c>
      <c r="U51">
        <v>0</v>
      </c>
      <c r="V51">
        <v>0</v>
      </c>
      <c r="W51">
        <v>0</v>
      </c>
    </row>
    <row r="52" spans="1:23">
      <c r="A52">
        <v>1</v>
      </c>
      <c r="B52" t="s">
        <v>712</v>
      </c>
      <c r="C52">
        <v>90.397000000000006</v>
      </c>
      <c r="D52">
        <v>0</v>
      </c>
      <c r="E52">
        <v>1.8802113211707805</v>
      </c>
      <c r="F52">
        <v>0</v>
      </c>
      <c r="G52">
        <v>0</v>
      </c>
      <c r="H52">
        <v>0</v>
      </c>
      <c r="I52">
        <v>0</v>
      </c>
      <c r="J52">
        <v>0</v>
      </c>
      <c r="K52">
        <v>0</v>
      </c>
      <c r="L52">
        <v>0</v>
      </c>
      <c r="M52">
        <v>0</v>
      </c>
      <c r="N52">
        <v>0</v>
      </c>
      <c r="O52">
        <v>0</v>
      </c>
      <c r="P52">
        <v>0</v>
      </c>
      <c r="Q52">
        <v>0</v>
      </c>
      <c r="R52">
        <v>0</v>
      </c>
      <c r="S52">
        <v>0</v>
      </c>
      <c r="T52">
        <v>0</v>
      </c>
      <c r="U52">
        <v>0</v>
      </c>
      <c r="V52">
        <v>0</v>
      </c>
      <c r="W52">
        <v>0</v>
      </c>
    </row>
    <row r="53" spans="1:23">
      <c r="A53">
        <v>1</v>
      </c>
      <c r="B53" t="s">
        <v>713</v>
      </c>
      <c r="C53">
        <v>147.14099999999999</v>
      </c>
      <c r="D53">
        <v>0.48608000000000001</v>
      </c>
      <c r="E53">
        <v>1.7543053596516505</v>
      </c>
      <c r="F53">
        <v>0</v>
      </c>
      <c r="G53">
        <v>0.27485205807399998</v>
      </c>
      <c r="H53">
        <v>0</v>
      </c>
      <c r="I53">
        <v>0</v>
      </c>
      <c r="J53">
        <v>0</v>
      </c>
      <c r="K53">
        <v>0</v>
      </c>
      <c r="L53">
        <v>0</v>
      </c>
      <c r="M53">
        <v>0</v>
      </c>
      <c r="N53">
        <v>0</v>
      </c>
      <c r="O53">
        <v>0</v>
      </c>
      <c r="P53">
        <v>0</v>
      </c>
      <c r="Q53">
        <v>0</v>
      </c>
      <c r="R53">
        <v>0</v>
      </c>
      <c r="S53">
        <v>0</v>
      </c>
      <c r="T53">
        <v>0</v>
      </c>
      <c r="U53">
        <v>0</v>
      </c>
      <c r="V53">
        <v>0</v>
      </c>
      <c r="W53">
        <v>0</v>
      </c>
    </row>
    <row r="54" spans="1:23">
      <c r="A54">
        <v>2</v>
      </c>
      <c r="B54" t="s">
        <v>714</v>
      </c>
      <c r="C54">
        <v>66.538000000000011</v>
      </c>
      <c r="D54">
        <v>1.35</v>
      </c>
      <c r="E54">
        <v>1.618967920986</v>
      </c>
      <c r="F54">
        <v>0</v>
      </c>
      <c r="G54">
        <v>0</v>
      </c>
      <c r="H54">
        <v>0</v>
      </c>
      <c r="I54">
        <v>0</v>
      </c>
      <c r="J54">
        <v>0</v>
      </c>
      <c r="K54">
        <v>0</v>
      </c>
      <c r="L54">
        <v>0</v>
      </c>
      <c r="M54">
        <v>0</v>
      </c>
      <c r="N54">
        <v>0</v>
      </c>
      <c r="O54">
        <v>0</v>
      </c>
      <c r="P54">
        <v>0</v>
      </c>
      <c r="Q54">
        <v>0</v>
      </c>
      <c r="R54">
        <v>0</v>
      </c>
      <c r="S54">
        <v>0</v>
      </c>
      <c r="T54">
        <v>0</v>
      </c>
      <c r="U54">
        <v>0</v>
      </c>
      <c r="V54">
        <v>0</v>
      </c>
      <c r="W54">
        <v>0</v>
      </c>
    </row>
    <row r="55" spans="1:23">
      <c r="B55" t="s">
        <v>686</v>
      </c>
      <c r="C55">
        <v>2315.6979499999998</v>
      </c>
      <c r="D55">
        <v>251.88144000000003</v>
      </c>
      <c r="E55">
        <v>37.109743778174469</v>
      </c>
      <c r="F55">
        <v>0</v>
      </c>
      <c r="G55">
        <v>0</v>
      </c>
      <c r="H55">
        <v>0</v>
      </c>
      <c r="I55">
        <v>0</v>
      </c>
      <c r="J55">
        <v>0</v>
      </c>
      <c r="K55">
        <v>0</v>
      </c>
      <c r="L55">
        <v>0</v>
      </c>
      <c r="M55">
        <v>0</v>
      </c>
      <c r="N55">
        <v>0</v>
      </c>
      <c r="O55">
        <v>0</v>
      </c>
      <c r="P55">
        <v>0</v>
      </c>
      <c r="Q55">
        <v>0</v>
      </c>
      <c r="R55">
        <v>0</v>
      </c>
      <c r="S55">
        <v>0</v>
      </c>
      <c r="T55">
        <v>0</v>
      </c>
      <c r="U55">
        <v>0</v>
      </c>
      <c r="V55">
        <v>0</v>
      </c>
      <c r="W55">
        <v>0</v>
      </c>
    </row>
    <row r="56" spans="1:23">
      <c r="B56" t="s">
        <v>715</v>
      </c>
      <c r="C56">
        <v>2315.6979499999998</v>
      </c>
      <c r="D56">
        <v>251.88144000000003</v>
      </c>
      <c r="E56">
        <v>37.109743778174469</v>
      </c>
      <c r="F56">
        <v>0</v>
      </c>
      <c r="G56">
        <v>0</v>
      </c>
      <c r="H56">
        <v>0</v>
      </c>
      <c r="I56">
        <v>0</v>
      </c>
      <c r="J56">
        <v>0</v>
      </c>
      <c r="K56">
        <v>0</v>
      </c>
      <c r="L56">
        <v>0</v>
      </c>
      <c r="M56">
        <v>0</v>
      </c>
      <c r="N56">
        <v>0</v>
      </c>
      <c r="O56">
        <v>0</v>
      </c>
      <c r="P56">
        <v>0</v>
      </c>
      <c r="Q56">
        <v>0</v>
      </c>
      <c r="R56">
        <v>0</v>
      </c>
      <c r="S56">
        <v>0</v>
      </c>
      <c r="T56">
        <v>0</v>
      </c>
      <c r="U56">
        <v>0</v>
      </c>
      <c r="V56">
        <v>0</v>
      </c>
      <c r="W56">
        <v>0</v>
      </c>
    </row>
    <row r="57" spans="1:23">
      <c r="B57" t="s">
        <v>716</v>
      </c>
      <c r="C57">
        <v>2168.9279999999999</v>
      </c>
      <c r="D57">
        <v>64.169999999999987</v>
      </c>
      <c r="E57">
        <v>24.868811312110999</v>
      </c>
      <c r="F57">
        <v>0</v>
      </c>
      <c r="G57">
        <v>0</v>
      </c>
      <c r="H57">
        <v>0</v>
      </c>
      <c r="I57">
        <v>0</v>
      </c>
      <c r="J57">
        <v>0</v>
      </c>
      <c r="K57">
        <v>0</v>
      </c>
      <c r="L57">
        <v>0</v>
      </c>
      <c r="M57">
        <v>0</v>
      </c>
      <c r="N57">
        <v>0</v>
      </c>
      <c r="O57">
        <v>0</v>
      </c>
      <c r="P57">
        <v>0</v>
      </c>
      <c r="Q57">
        <v>0</v>
      </c>
      <c r="R57">
        <v>0</v>
      </c>
      <c r="S57">
        <v>0</v>
      </c>
      <c r="T57">
        <v>0</v>
      </c>
      <c r="U57">
        <v>0</v>
      </c>
      <c r="V57">
        <v>0</v>
      </c>
      <c r="W57">
        <v>248.28800000000001</v>
      </c>
    </row>
    <row r="58" spans="1:23">
      <c r="A58">
        <v>3</v>
      </c>
      <c r="B58" t="s">
        <v>717</v>
      </c>
      <c r="C58">
        <v>2168.9279999999999</v>
      </c>
      <c r="D58">
        <v>64.169999999999987</v>
      </c>
      <c r="E58">
        <v>24.868811312110999</v>
      </c>
      <c r="F58">
        <v>0</v>
      </c>
      <c r="G58">
        <v>0</v>
      </c>
      <c r="H58">
        <v>0</v>
      </c>
      <c r="I58">
        <v>0</v>
      </c>
      <c r="J58">
        <v>0</v>
      </c>
      <c r="K58">
        <v>0</v>
      </c>
      <c r="L58">
        <v>0</v>
      </c>
      <c r="M58">
        <v>0</v>
      </c>
      <c r="N58">
        <v>0</v>
      </c>
      <c r="O58">
        <v>0</v>
      </c>
      <c r="P58">
        <v>0</v>
      </c>
      <c r="Q58">
        <v>0</v>
      </c>
      <c r="R58">
        <v>0</v>
      </c>
      <c r="S58">
        <v>0</v>
      </c>
      <c r="T58">
        <v>0</v>
      </c>
      <c r="U58">
        <v>0</v>
      </c>
      <c r="V58">
        <v>0</v>
      </c>
      <c r="W58">
        <v>248.28800000000001</v>
      </c>
    </row>
    <row r="59" spans="1:23">
      <c r="B59" t="s">
        <v>718</v>
      </c>
      <c r="C59">
        <v>2456.7400680000001</v>
      </c>
      <c r="D59">
        <v>346.57348000000002</v>
      </c>
      <c r="E59">
        <v>24.22654651775137</v>
      </c>
      <c r="F59">
        <v>11.886057171920871</v>
      </c>
      <c r="G59">
        <v>5.1438495977000009</v>
      </c>
      <c r="H59">
        <v>0</v>
      </c>
      <c r="I59">
        <v>401.41527323069749</v>
      </c>
      <c r="J59">
        <v>0</v>
      </c>
      <c r="K59">
        <v>0</v>
      </c>
      <c r="L59">
        <v>0</v>
      </c>
      <c r="M59">
        <v>0</v>
      </c>
      <c r="N59">
        <v>0</v>
      </c>
      <c r="O59">
        <v>0</v>
      </c>
      <c r="P59">
        <v>0</v>
      </c>
      <c r="Q59">
        <v>0</v>
      </c>
      <c r="R59">
        <v>1.0523002937600001</v>
      </c>
      <c r="S59">
        <v>0</v>
      </c>
      <c r="T59">
        <v>0</v>
      </c>
      <c r="U59">
        <v>0</v>
      </c>
      <c r="V59">
        <v>0</v>
      </c>
      <c r="W59">
        <v>161.87509499999996</v>
      </c>
    </row>
    <row r="60" spans="1:23">
      <c r="A60">
        <v>3</v>
      </c>
      <c r="B60" t="s">
        <v>719</v>
      </c>
      <c r="C60">
        <v>46.665000000000006</v>
      </c>
      <c r="D60">
        <v>2.5880000000000001</v>
      </c>
      <c r="E60">
        <v>1.2059709106300702</v>
      </c>
      <c r="F60">
        <v>0</v>
      </c>
      <c r="G60">
        <v>0</v>
      </c>
      <c r="H60">
        <v>0</v>
      </c>
      <c r="I60">
        <v>0</v>
      </c>
      <c r="J60">
        <v>0</v>
      </c>
      <c r="K60">
        <v>0</v>
      </c>
      <c r="L60">
        <v>0</v>
      </c>
      <c r="M60">
        <v>0</v>
      </c>
      <c r="N60">
        <v>0</v>
      </c>
      <c r="O60">
        <v>0</v>
      </c>
      <c r="P60">
        <v>0</v>
      </c>
      <c r="Q60">
        <v>0</v>
      </c>
      <c r="R60">
        <v>0</v>
      </c>
      <c r="S60">
        <v>0</v>
      </c>
      <c r="T60">
        <v>0</v>
      </c>
      <c r="U60">
        <v>0</v>
      </c>
      <c r="V60">
        <v>0</v>
      </c>
      <c r="W60">
        <v>0</v>
      </c>
    </row>
    <row r="61" spans="1:23">
      <c r="A61">
        <v>2</v>
      </c>
      <c r="B61" t="s">
        <v>720</v>
      </c>
      <c r="C61">
        <v>136.74200000000002</v>
      </c>
      <c r="D61">
        <v>19.065000000000001</v>
      </c>
      <c r="E61">
        <v>1.98004093846</v>
      </c>
      <c r="F61">
        <v>0</v>
      </c>
      <c r="G61">
        <v>0</v>
      </c>
      <c r="H61">
        <v>0</v>
      </c>
      <c r="I61">
        <v>0</v>
      </c>
      <c r="J61">
        <v>0</v>
      </c>
      <c r="K61">
        <v>0</v>
      </c>
      <c r="L61">
        <v>0</v>
      </c>
      <c r="M61">
        <v>0</v>
      </c>
      <c r="N61">
        <v>0</v>
      </c>
      <c r="O61">
        <v>0</v>
      </c>
      <c r="P61">
        <v>0</v>
      </c>
      <c r="Q61">
        <v>0</v>
      </c>
      <c r="R61">
        <v>1.0523002937600001</v>
      </c>
      <c r="S61">
        <v>0</v>
      </c>
      <c r="T61">
        <v>0</v>
      </c>
      <c r="U61">
        <v>0</v>
      </c>
      <c r="V61">
        <v>0</v>
      </c>
      <c r="W61">
        <v>53.960999999999999</v>
      </c>
    </row>
    <row r="62" spans="1:23">
      <c r="A62">
        <v>4</v>
      </c>
      <c r="B62" t="s">
        <v>721</v>
      </c>
      <c r="C62">
        <v>537.33999999999992</v>
      </c>
      <c r="D62">
        <v>22.17</v>
      </c>
      <c r="E62">
        <v>4.5854390098543005</v>
      </c>
      <c r="F62">
        <v>5.7590331598199995</v>
      </c>
      <c r="G62">
        <v>5.1438495977000009</v>
      </c>
      <c r="H62">
        <v>0</v>
      </c>
      <c r="I62">
        <v>0</v>
      </c>
      <c r="J62">
        <v>0</v>
      </c>
      <c r="K62">
        <v>0</v>
      </c>
      <c r="L62">
        <v>0</v>
      </c>
      <c r="M62">
        <v>0</v>
      </c>
      <c r="N62">
        <v>0</v>
      </c>
      <c r="O62">
        <v>0</v>
      </c>
      <c r="P62">
        <v>0</v>
      </c>
      <c r="Q62">
        <v>0</v>
      </c>
      <c r="R62">
        <v>0</v>
      </c>
      <c r="S62">
        <v>0</v>
      </c>
      <c r="T62">
        <v>0</v>
      </c>
      <c r="U62">
        <v>0</v>
      </c>
      <c r="V62">
        <v>0</v>
      </c>
      <c r="W62">
        <v>8.69</v>
      </c>
    </row>
    <row r="63" spans="1:23">
      <c r="A63">
        <v>4</v>
      </c>
      <c r="B63" t="s">
        <v>722</v>
      </c>
      <c r="C63">
        <v>502.33800000000002</v>
      </c>
      <c r="D63">
        <v>73.210999999999999</v>
      </c>
      <c r="E63">
        <v>10.853799621717</v>
      </c>
      <c r="F63">
        <v>0.36929858063999998</v>
      </c>
      <c r="G63">
        <v>0</v>
      </c>
      <c r="H63">
        <v>0</v>
      </c>
      <c r="I63">
        <v>0</v>
      </c>
      <c r="J63">
        <v>0</v>
      </c>
      <c r="K63">
        <v>0</v>
      </c>
      <c r="L63">
        <v>0</v>
      </c>
      <c r="M63">
        <v>0</v>
      </c>
      <c r="N63">
        <v>0</v>
      </c>
      <c r="O63">
        <v>0</v>
      </c>
      <c r="P63">
        <v>0</v>
      </c>
      <c r="Q63">
        <v>0</v>
      </c>
      <c r="R63">
        <v>0</v>
      </c>
      <c r="S63">
        <v>0</v>
      </c>
      <c r="T63">
        <v>0</v>
      </c>
      <c r="U63">
        <v>0</v>
      </c>
      <c r="V63">
        <v>0</v>
      </c>
      <c r="W63">
        <v>96.626000000000005</v>
      </c>
    </row>
    <row r="64" spans="1:23">
      <c r="A64">
        <v>4</v>
      </c>
      <c r="B64" t="s">
        <v>723</v>
      </c>
      <c r="C64">
        <v>224.98499999999999</v>
      </c>
      <c r="D64">
        <v>14.724999999999998</v>
      </c>
      <c r="E64">
        <v>2.55732612057</v>
      </c>
      <c r="F64">
        <v>0.46846503492000002</v>
      </c>
      <c r="G64">
        <v>0</v>
      </c>
      <c r="H64">
        <v>0</v>
      </c>
      <c r="I64">
        <v>0</v>
      </c>
      <c r="J64">
        <v>0</v>
      </c>
      <c r="K64">
        <v>0</v>
      </c>
      <c r="L64">
        <v>0</v>
      </c>
      <c r="M64">
        <v>0</v>
      </c>
      <c r="N64">
        <v>0</v>
      </c>
      <c r="O64">
        <v>0</v>
      </c>
      <c r="P64">
        <v>0</v>
      </c>
      <c r="Q64">
        <v>0</v>
      </c>
      <c r="R64">
        <v>0</v>
      </c>
      <c r="S64">
        <v>0</v>
      </c>
      <c r="T64">
        <v>0</v>
      </c>
      <c r="U64">
        <v>0</v>
      </c>
      <c r="V64">
        <v>0</v>
      </c>
      <c r="W64">
        <v>1.6460000000000001</v>
      </c>
    </row>
    <row r="65" spans="1:23">
      <c r="A65">
        <v>4</v>
      </c>
      <c r="B65" t="s">
        <v>724</v>
      </c>
      <c r="C65">
        <v>3.3180000000000001</v>
      </c>
      <c r="D65">
        <v>0</v>
      </c>
      <c r="E65">
        <v>7.6599328988000009E-2</v>
      </c>
      <c r="F65">
        <v>0</v>
      </c>
      <c r="G65">
        <v>0</v>
      </c>
      <c r="H65">
        <v>0</v>
      </c>
      <c r="I65">
        <v>0</v>
      </c>
      <c r="J65">
        <v>0</v>
      </c>
      <c r="K65">
        <v>0</v>
      </c>
      <c r="L65">
        <v>0</v>
      </c>
      <c r="M65">
        <v>0</v>
      </c>
      <c r="N65">
        <v>0</v>
      </c>
      <c r="O65">
        <v>0</v>
      </c>
      <c r="P65">
        <v>0</v>
      </c>
      <c r="Q65">
        <v>0</v>
      </c>
      <c r="R65">
        <v>0</v>
      </c>
      <c r="S65">
        <v>0</v>
      </c>
      <c r="T65">
        <v>0</v>
      </c>
      <c r="U65">
        <v>0</v>
      </c>
      <c r="V65">
        <v>0</v>
      </c>
      <c r="W65">
        <v>0</v>
      </c>
    </row>
    <row r="66" spans="1:23">
      <c r="A66">
        <v>4</v>
      </c>
      <c r="B66" t="s">
        <v>725</v>
      </c>
      <c r="C66">
        <v>474.90612800000002</v>
      </c>
      <c r="D66">
        <v>93.855969999999985</v>
      </c>
      <c r="E66">
        <v>0</v>
      </c>
      <c r="F66">
        <v>2.6604919721172005</v>
      </c>
      <c r="G66">
        <v>0</v>
      </c>
      <c r="H66">
        <v>0</v>
      </c>
      <c r="I66">
        <v>401.41527323069749</v>
      </c>
      <c r="J66">
        <v>0</v>
      </c>
      <c r="K66">
        <v>0</v>
      </c>
      <c r="L66">
        <v>0</v>
      </c>
      <c r="M66">
        <v>0</v>
      </c>
      <c r="N66">
        <v>0</v>
      </c>
      <c r="O66">
        <v>0</v>
      </c>
      <c r="P66">
        <v>0</v>
      </c>
      <c r="Q66">
        <v>0</v>
      </c>
      <c r="R66">
        <v>0</v>
      </c>
      <c r="S66">
        <v>0</v>
      </c>
      <c r="T66">
        <v>0</v>
      </c>
      <c r="U66">
        <v>0</v>
      </c>
      <c r="V66">
        <v>0</v>
      </c>
      <c r="W66">
        <v>0.94906200000000007</v>
      </c>
    </row>
    <row r="67" spans="1:23">
      <c r="A67">
        <v>4</v>
      </c>
      <c r="B67" t="s">
        <v>726</v>
      </c>
      <c r="C67">
        <v>530.44594000000006</v>
      </c>
      <c r="D67">
        <v>120.95850999999999</v>
      </c>
      <c r="E67">
        <v>2.9673705875320002</v>
      </c>
      <c r="F67">
        <v>2.6287684244236722</v>
      </c>
      <c r="G67">
        <v>0</v>
      </c>
      <c r="H67">
        <v>0</v>
      </c>
      <c r="I67">
        <v>0</v>
      </c>
      <c r="J67">
        <v>0</v>
      </c>
      <c r="K67">
        <v>0</v>
      </c>
      <c r="L67">
        <v>0</v>
      </c>
      <c r="M67">
        <v>0</v>
      </c>
      <c r="N67">
        <v>0</v>
      </c>
      <c r="O67">
        <v>0</v>
      </c>
      <c r="P67">
        <v>0</v>
      </c>
      <c r="Q67">
        <v>0</v>
      </c>
      <c r="R67">
        <v>0</v>
      </c>
      <c r="S67">
        <v>0</v>
      </c>
      <c r="T67">
        <v>0</v>
      </c>
      <c r="U67">
        <v>0</v>
      </c>
      <c r="V67">
        <v>0</v>
      </c>
      <c r="W67">
        <v>3.0330000000000001E-3</v>
      </c>
    </row>
    <row r="68" spans="1:23">
      <c r="B68" t="s">
        <v>727</v>
      </c>
      <c r="C68">
        <v>342.23599999999999</v>
      </c>
      <c r="D68">
        <v>4.8180000000000005</v>
      </c>
      <c r="E68">
        <v>1.482852032532</v>
      </c>
      <c r="F68">
        <v>1.8472884623999999</v>
      </c>
      <c r="G68">
        <v>0</v>
      </c>
      <c r="H68">
        <v>0</v>
      </c>
      <c r="I68">
        <v>0</v>
      </c>
      <c r="J68">
        <v>0</v>
      </c>
      <c r="K68">
        <v>0</v>
      </c>
      <c r="L68">
        <v>0</v>
      </c>
      <c r="M68">
        <v>0</v>
      </c>
      <c r="N68">
        <v>0</v>
      </c>
      <c r="O68">
        <v>0</v>
      </c>
      <c r="P68">
        <v>0</v>
      </c>
      <c r="Q68">
        <v>0</v>
      </c>
      <c r="R68">
        <v>0</v>
      </c>
      <c r="S68">
        <v>0</v>
      </c>
      <c r="T68">
        <v>0</v>
      </c>
      <c r="U68">
        <v>0</v>
      </c>
      <c r="V68">
        <v>0</v>
      </c>
      <c r="W68">
        <v>0</v>
      </c>
    </row>
    <row r="69" spans="1:23">
      <c r="B69" t="s">
        <v>728</v>
      </c>
      <c r="C69">
        <v>342.23599999999999</v>
      </c>
      <c r="D69">
        <v>4.8180000000000005</v>
      </c>
      <c r="E69">
        <v>1.482852032532</v>
      </c>
      <c r="F69">
        <v>1.8472884623999999</v>
      </c>
      <c r="G69">
        <v>0</v>
      </c>
      <c r="H69">
        <v>0</v>
      </c>
      <c r="I69">
        <v>0</v>
      </c>
      <c r="J69">
        <v>0</v>
      </c>
      <c r="K69">
        <v>0</v>
      </c>
      <c r="L69">
        <v>0</v>
      </c>
      <c r="M69">
        <v>0</v>
      </c>
      <c r="N69">
        <v>0</v>
      </c>
      <c r="O69">
        <v>0</v>
      </c>
      <c r="P69">
        <v>0</v>
      </c>
      <c r="Q69">
        <v>0</v>
      </c>
      <c r="R69">
        <v>0</v>
      </c>
      <c r="S69">
        <v>0</v>
      </c>
      <c r="T69">
        <v>0</v>
      </c>
      <c r="U69">
        <v>0</v>
      </c>
      <c r="V69">
        <v>0</v>
      </c>
      <c r="W69">
        <v>0</v>
      </c>
    </row>
    <row r="70" spans="1:23">
      <c r="B70" t="s">
        <v>708</v>
      </c>
      <c r="C70">
        <v>216.63171199999999</v>
      </c>
      <c r="D70">
        <v>3.0820270000000001</v>
      </c>
      <c r="E70">
        <v>3.0691687261955591</v>
      </c>
      <c r="F70">
        <v>0</v>
      </c>
      <c r="G70">
        <v>0</v>
      </c>
      <c r="H70">
        <v>0</v>
      </c>
      <c r="I70">
        <v>0</v>
      </c>
      <c r="J70">
        <v>0</v>
      </c>
      <c r="K70">
        <v>0</v>
      </c>
      <c r="L70">
        <v>0</v>
      </c>
      <c r="M70">
        <v>0</v>
      </c>
      <c r="N70">
        <v>0</v>
      </c>
      <c r="O70">
        <v>0</v>
      </c>
      <c r="P70">
        <v>0</v>
      </c>
      <c r="Q70">
        <v>0</v>
      </c>
      <c r="R70">
        <v>0</v>
      </c>
      <c r="S70">
        <v>0</v>
      </c>
      <c r="T70">
        <v>0</v>
      </c>
      <c r="U70">
        <v>0</v>
      </c>
      <c r="V70">
        <v>0</v>
      </c>
      <c r="W70">
        <v>67.476929999999996</v>
      </c>
    </row>
    <row r="71" spans="1:23">
      <c r="B71" t="s">
        <v>729</v>
      </c>
      <c r="C71">
        <v>100.28339199999999</v>
      </c>
      <c r="D71">
        <v>3.0820270000000001</v>
      </c>
      <c r="E71">
        <v>1.4855234284074081</v>
      </c>
      <c r="F71">
        <v>0</v>
      </c>
      <c r="G71">
        <v>0</v>
      </c>
      <c r="H71">
        <v>0</v>
      </c>
      <c r="I71">
        <v>0</v>
      </c>
      <c r="J71">
        <v>0</v>
      </c>
      <c r="K71">
        <v>0</v>
      </c>
      <c r="L71">
        <v>0</v>
      </c>
      <c r="M71">
        <v>0</v>
      </c>
      <c r="N71">
        <v>0</v>
      </c>
      <c r="O71">
        <v>0</v>
      </c>
      <c r="P71">
        <v>0</v>
      </c>
      <c r="Q71">
        <v>0</v>
      </c>
      <c r="R71">
        <v>0</v>
      </c>
      <c r="S71">
        <v>0</v>
      </c>
      <c r="T71">
        <v>0</v>
      </c>
      <c r="U71">
        <v>0</v>
      </c>
      <c r="V71">
        <v>0</v>
      </c>
      <c r="W71">
        <v>0</v>
      </c>
    </row>
    <row r="72" spans="1:23">
      <c r="A72">
        <v>3</v>
      </c>
      <c r="B72" t="s">
        <v>730</v>
      </c>
      <c r="C72">
        <v>116.34832</v>
      </c>
      <c r="D72">
        <v>0</v>
      </c>
      <c r="E72">
        <v>1.583645297788151</v>
      </c>
      <c r="F72">
        <v>0</v>
      </c>
      <c r="G72">
        <v>0</v>
      </c>
      <c r="H72">
        <v>0</v>
      </c>
      <c r="I72">
        <v>0</v>
      </c>
      <c r="J72">
        <v>0</v>
      </c>
      <c r="K72">
        <v>0</v>
      </c>
      <c r="L72">
        <v>0</v>
      </c>
      <c r="M72">
        <v>0</v>
      </c>
      <c r="N72">
        <v>0</v>
      </c>
      <c r="O72">
        <v>0</v>
      </c>
      <c r="P72">
        <v>0</v>
      </c>
      <c r="Q72">
        <v>0</v>
      </c>
      <c r="R72">
        <v>0</v>
      </c>
      <c r="S72">
        <v>0</v>
      </c>
      <c r="T72">
        <v>0</v>
      </c>
      <c r="U72">
        <v>0</v>
      </c>
      <c r="V72">
        <v>0</v>
      </c>
      <c r="W72">
        <v>67.476929999999996</v>
      </c>
    </row>
    <row r="73" spans="1:23">
      <c r="B73" t="s">
        <v>372</v>
      </c>
      <c r="C73">
        <v>8342.4343659999977</v>
      </c>
      <c r="D73">
        <v>676.12620720000007</v>
      </c>
      <c r="E73">
        <v>105.97151171023732</v>
      </c>
      <c r="F73">
        <v>13.733345634320871</v>
      </c>
      <c r="G73">
        <v>5.6952987876095298</v>
      </c>
      <c r="H73">
        <v>0</v>
      </c>
      <c r="I73">
        <v>401.41527323069749</v>
      </c>
      <c r="J73">
        <v>0</v>
      </c>
      <c r="K73">
        <v>0</v>
      </c>
      <c r="L73">
        <v>0</v>
      </c>
      <c r="M73">
        <v>0</v>
      </c>
      <c r="N73">
        <v>0</v>
      </c>
      <c r="O73">
        <v>0</v>
      </c>
      <c r="P73">
        <v>0</v>
      </c>
      <c r="Q73">
        <v>0</v>
      </c>
      <c r="R73">
        <v>1.0523002937600001</v>
      </c>
      <c r="S73">
        <v>0</v>
      </c>
      <c r="T73">
        <v>6721.8173789557986</v>
      </c>
      <c r="U73">
        <v>0</v>
      </c>
      <c r="V73">
        <v>0</v>
      </c>
      <c r="W73">
        <v>480.168025</v>
      </c>
    </row>
    <row r="75" spans="1:23">
      <c r="E75">
        <v>2</v>
      </c>
    </row>
    <row r="76" spans="1:23">
      <c r="B76" t="s">
        <v>653</v>
      </c>
      <c r="C76" t="s">
        <v>654</v>
      </c>
      <c r="D76" t="s">
        <v>655</v>
      </c>
      <c r="E76" t="s">
        <v>656</v>
      </c>
      <c r="F76" t="s">
        <v>657</v>
      </c>
      <c r="G76" t="s">
        <v>658</v>
      </c>
      <c r="H76" t="s">
        <v>659</v>
      </c>
      <c r="I76" t="s">
        <v>660</v>
      </c>
      <c r="J76" t="s">
        <v>661</v>
      </c>
      <c r="K76" t="s">
        <v>662</v>
      </c>
      <c r="L76" t="s">
        <v>663</v>
      </c>
      <c r="M76" t="s">
        <v>664</v>
      </c>
      <c r="N76" t="s">
        <v>665</v>
      </c>
      <c r="O76" t="s">
        <v>666</v>
      </c>
      <c r="P76" t="s">
        <v>667</v>
      </c>
      <c r="Q76" t="s">
        <v>668</v>
      </c>
      <c r="R76" t="s">
        <v>669</v>
      </c>
      <c r="S76" t="s">
        <v>670</v>
      </c>
      <c r="T76" t="s">
        <v>671</v>
      </c>
      <c r="U76" t="s">
        <v>672</v>
      </c>
      <c r="V76" t="s">
        <v>673</v>
      </c>
      <c r="W76" t="s">
        <v>674</v>
      </c>
    </row>
    <row r="77" spans="1:23" s="343" customFormat="1" ht="18.75">
      <c r="A77" s="341"/>
      <c r="B77" s="341" t="s">
        <v>675</v>
      </c>
      <c r="C77" s="342">
        <f>+C14/277.77</f>
        <v>1.7608124203477697</v>
      </c>
      <c r="D77" s="342">
        <f t="shared" ref="D77:D136" si="0">+D14/277.77</f>
        <v>1.1978911329517226E-2</v>
      </c>
      <c r="E77" s="341">
        <v>9.1649246505420638</v>
      </c>
      <c r="F77" s="341">
        <v>0</v>
      </c>
      <c r="G77" s="341">
        <v>0.27659713183552903</v>
      </c>
      <c r="H77" s="341">
        <v>0</v>
      </c>
      <c r="I77" s="341">
        <v>0</v>
      </c>
      <c r="J77" s="341">
        <v>0</v>
      </c>
      <c r="K77" s="341">
        <v>0</v>
      </c>
      <c r="L77" s="341">
        <v>0</v>
      </c>
      <c r="M77" s="341">
        <v>0</v>
      </c>
      <c r="N77" s="341">
        <v>0</v>
      </c>
      <c r="O77" s="341">
        <v>0</v>
      </c>
      <c r="P77" s="341">
        <v>0</v>
      </c>
      <c r="Q77" s="341">
        <v>0</v>
      </c>
      <c r="R77" s="341">
        <v>0</v>
      </c>
      <c r="S77" s="341">
        <v>0</v>
      </c>
      <c r="T77" s="341">
        <v>6721.8173789557986</v>
      </c>
      <c r="U77" s="341">
        <v>0</v>
      </c>
      <c r="V77" s="341">
        <v>0</v>
      </c>
      <c r="W77" s="341">
        <v>2.528</v>
      </c>
    </row>
    <row r="78" spans="1:23" s="343" customFormat="1">
      <c r="B78" s="343" t="s">
        <v>676</v>
      </c>
      <c r="C78" s="344">
        <f t="shared" ref="C78:C136" si="1">+C15/277.77</f>
        <v>3.4404528926809952E-2</v>
      </c>
      <c r="D78" s="344">
        <f t="shared" si="0"/>
        <v>2.0448572560031683E-4</v>
      </c>
      <c r="E78" s="343">
        <v>6.785743640000001E-4</v>
      </c>
      <c r="F78" s="343">
        <v>0</v>
      </c>
      <c r="G78" s="343">
        <v>0.12035066824950001</v>
      </c>
      <c r="H78" s="343">
        <v>0</v>
      </c>
      <c r="I78" s="343">
        <v>0</v>
      </c>
      <c r="J78" s="343">
        <v>0</v>
      </c>
      <c r="K78" s="343">
        <v>0</v>
      </c>
      <c r="L78" s="343">
        <v>0</v>
      </c>
      <c r="M78" s="343">
        <v>0</v>
      </c>
      <c r="N78" s="343">
        <v>0</v>
      </c>
      <c r="O78" s="343">
        <v>0</v>
      </c>
      <c r="P78" s="343">
        <v>0</v>
      </c>
      <c r="Q78" s="343">
        <v>0</v>
      </c>
      <c r="R78" s="343">
        <v>0</v>
      </c>
      <c r="S78" s="343">
        <v>0</v>
      </c>
      <c r="T78" s="343">
        <v>0</v>
      </c>
      <c r="U78" s="343">
        <v>0</v>
      </c>
      <c r="V78" s="343">
        <v>0</v>
      </c>
      <c r="W78" s="343">
        <v>0</v>
      </c>
    </row>
    <row r="79" spans="1:23" s="77" customFormat="1">
      <c r="A79" s="77">
        <v>1</v>
      </c>
      <c r="B79" s="77" t="s">
        <v>677</v>
      </c>
      <c r="C79" s="345">
        <f t="shared" si="1"/>
        <v>1.4400403211289918E-4</v>
      </c>
      <c r="D79" s="345">
        <f t="shared" si="0"/>
        <v>0</v>
      </c>
      <c r="E79" s="77">
        <v>6.7286960000000008E-4</v>
      </c>
      <c r="F79" s="77">
        <v>0</v>
      </c>
      <c r="G79" s="77">
        <v>0</v>
      </c>
      <c r="H79" s="77">
        <v>0</v>
      </c>
      <c r="I79" s="77">
        <v>0</v>
      </c>
      <c r="J79" s="77">
        <v>0</v>
      </c>
      <c r="K79" s="77">
        <v>0</v>
      </c>
      <c r="L79" s="77">
        <v>0</v>
      </c>
      <c r="M79" s="77">
        <v>0</v>
      </c>
      <c r="N79" s="77">
        <v>0</v>
      </c>
      <c r="O79" s="77">
        <v>0</v>
      </c>
      <c r="P79" s="77">
        <v>0</v>
      </c>
      <c r="Q79" s="77">
        <v>0</v>
      </c>
      <c r="R79" s="77">
        <v>0</v>
      </c>
      <c r="S79" s="77">
        <v>0</v>
      </c>
      <c r="T79" s="77">
        <v>0</v>
      </c>
      <c r="U79" s="77">
        <v>0</v>
      </c>
      <c r="V79" s="77">
        <v>0</v>
      </c>
      <c r="W79" s="77">
        <v>0</v>
      </c>
    </row>
    <row r="80" spans="1:23" s="77" customFormat="1">
      <c r="A80" s="77">
        <v>1</v>
      </c>
      <c r="B80" s="77" t="s">
        <v>678</v>
      </c>
      <c r="C80" s="345">
        <f t="shared" si="1"/>
        <v>5.1933110127083569E-3</v>
      </c>
      <c r="D80" s="345">
        <f t="shared" si="0"/>
        <v>0</v>
      </c>
      <c r="E80" s="77">
        <v>5.7047639999999999E-6</v>
      </c>
      <c r="F80" s="77">
        <v>0</v>
      </c>
      <c r="G80" s="77">
        <v>1.6560940999999999E-2</v>
      </c>
      <c r="H80" s="77">
        <v>0</v>
      </c>
      <c r="I80" s="77">
        <v>0</v>
      </c>
      <c r="J80" s="77">
        <v>0</v>
      </c>
      <c r="K80" s="77">
        <v>0</v>
      </c>
      <c r="L80" s="77">
        <v>0</v>
      </c>
      <c r="M80" s="77">
        <v>0</v>
      </c>
      <c r="N80" s="77">
        <v>0</v>
      </c>
      <c r="O80" s="77">
        <v>0</v>
      </c>
      <c r="P80" s="77">
        <v>0</v>
      </c>
      <c r="Q80" s="77">
        <v>0</v>
      </c>
      <c r="R80" s="77">
        <v>0</v>
      </c>
      <c r="S80" s="77">
        <v>0</v>
      </c>
      <c r="T80" s="77">
        <v>0</v>
      </c>
      <c r="U80" s="77">
        <v>0</v>
      </c>
      <c r="V80" s="77">
        <v>0</v>
      </c>
      <c r="W80" s="77">
        <v>0</v>
      </c>
    </row>
    <row r="81" spans="1:23" s="77" customFormat="1">
      <c r="A81" s="77">
        <v>1</v>
      </c>
      <c r="B81" s="77" t="s">
        <v>679</v>
      </c>
      <c r="C81" s="345">
        <f t="shared" si="1"/>
        <v>0</v>
      </c>
      <c r="D81" s="345">
        <f t="shared" si="0"/>
        <v>0</v>
      </c>
      <c r="E81" s="77">
        <v>0</v>
      </c>
      <c r="F81" s="77">
        <v>0</v>
      </c>
      <c r="G81" s="77">
        <v>0</v>
      </c>
      <c r="H81" s="77">
        <v>0</v>
      </c>
      <c r="I81" s="77">
        <v>0</v>
      </c>
      <c r="J81" s="77">
        <v>0</v>
      </c>
      <c r="K81" s="77">
        <v>0</v>
      </c>
      <c r="L81" s="77">
        <v>0</v>
      </c>
      <c r="M81" s="77">
        <v>0</v>
      </c>
      <c r="N81" s="77">
        <v>0</v>
      </c>
      <c r="O81" s="77">
        <v>0</v>
      </c>
      <c r="P81" s="77">
        <v>0</v>
      </c>
      <c r="Q81" s="77">
        <v>0</v>
      </c>
      <c r="R81" s="77">
        <v>0</v>
      </c>
      <c r="S81" s="77">
        <v>0</v>
      </c>
      <c r="T81" s="77">
        <v>0</v>
      </c>
      <c r="U81" s="77">
        <v>0</v>
      </c>
      <c r="V81" s="77">
        <v>0</v>
      </c>
      <c r="W81" s="77">
        <v>0</v>
      </c>
    </row>
    <row r="82" spans="1:23" s="77" customFormat="1">
      <c r="A82" s="77">
        <v>1</v>
      </c>
      <c r="B82" s="77" t="s">
        <v>680</v>
      </c>
      <c r="C82" s="345">
        <f t="shared" si="1"/>
        <v>2.7432768117507289E-3</v>
      </c>
      <c r="D82" s="345">
        <f t="shared" si="0"/>
        <v>0</v>
      </c>
      <c r="E82" s="77">
        <v>0</v>
      </c>
      <c r="F82" s="77">
        <v>0</v>
      </c>
      <c r="G82" s="77">
        <v>1.0935196449999999E-2</v>
      </c>
      <c r="H82" s="77">
        <v>0</v>
      </c>
      <c r="I82" s="77">
        <v>0</v>
      </c>
      <c r="J82" s="77">
        <v>0</v>
      </c>
      <c r="K82" s="77">
        <v>0</v>
      </c>
      <c r="L82" s="77">
        <v>0</v>
      </c>
      <c r="M82" s="77">
        <v>0</v>
      </c>
      <c r="N82" s="77">
        <v>0</v>
      </c>
      <c r="O82" s="77">
        <v>0</v>
      </c>
      <c r="P82" s="77">
        <v>0</v>
      </c>
      <c r="Q82" s="77">
        <v>0</v>
      </c>
      <c r="R82" s="77">
        <v>0</v>
      </c>
      <c r="S82" s="77">
        <v>0</v>
      </c>
      <c r="T82" s="77">
        <v>0</v>
      </c>
      <c r="U82" s="77">
        <v>0</v>
      </c>
      <c r="V82" s="77">
        <v>0</v>
      </c>
      <c r="W82" s="77">
        <v>0</v>
      </c>
    </row>
    <row r="83" spans="1:23" s="77" customFormat="1">
      <c r="A83" s="77">
        <v>1</v>
      </c>
      <c r="B83" s="77" t="s">
        <v>681</v>
      </c>
      <c r="C83" s="345">
        <f t="shared" si="1"/>
        <v>1.7356085970407172E-2</v>
      </c>
      <c r="D83" s="345">
        <f t="shared" si="0"/>
        <v>2.0448572560031683E-4</v>
      </c>
      <c r="E83" s="77">
        <v>0</v>
      </c>
      <c r="F83" s="77">
        <v>0</v>
      </c>
      <c r="G83" s="77">
        <v>5.4068878054500009E-2</v>
      </c>
      <c r="H83" s="77">
        <v>0</v>
      </c>
      <c r="I83" s="77">
        <v>0</v>
      </c>
      <c r="J83" s="77">
        <v>0</v>
      </c>
      <c r="K83" s="77">
        <v>0</v>
      </c>
      <c r="L83" s="77">
        <v>0</v>
      </c>
      <c r="M83" s="77">
        <v>0</v>
      </c>
      <c r="N83" s="77">
        <v>0</v>
      </c>
      <c r="O83" s="77">
        <v>0</v>
      </c>
      <c r="P83" s="77">
        <v>0</v>
      </c>
      <c r="Q83" s="77">
        <v>0</v>
      </c>
      <c r="R83" s="77">
        <v>0</v>
      </c>
      <c r="S83" s="77">
        <v>0</v>
      </c>
      <c r="T83" s="77">
        <v>0</v>
      </c>
      <c r="U83" s="77">
        <v>0</v>
      </c>
      <c r="V83" s="77">
        <v>0</v>
      </c>
      <c r="W83" s="77">
        <v>0</v>
      </c>
    </row>
    <row r="84" spans="1:23" s="77" customFormat="1">
      <c r="A84" s="77">
        <v>1</v>
      </c>
      <c r="B84" s="77" t="s">
        <v>682</v>
      </c>
      <c r="C84" s="345">
        <f t="shared" si="1"/>
        <v>8.9678510998307953E-3</v>
      </c>
      <c r="D84" s="345">
        <f t="shared" si="0"/>
        <v>0</v>
      </c>
      <c r="E84" s="77">
        <v>0</v>
      </c>
      <c r="F84" s="77">
        <v>0</v>
      </c>
      <c r="G84" s="77">
        <v>3.8785652744999996E-2</v>
      </c>
      <c r="H84" s="77">
        <v>0</v>
      </c>
      <c r="I84" s="77">
        <v>0</v>
      </c>
      <c r="J84" s="77">
        <v>0</v>
      </c>
      <c r="K84" s="77">
        <v>0</v>
      </c>
      <c r="L84" s="77">
        <v>0</v>
      </c>
      <c r="M84" s="77">
        <v>0</v>
      </c>
      <c r="N84" s="77">
        <v>0</v>
      </c>
      <c r="O84" s="77">
        <v>0</v>
      </c>
      <c r="P84" s="77">
        <v>0</v>
      </c>
      <c r="Q84" s="77">
        <v>0</v>
      </c>
      <c r="R84" s="77">
        <v>0</v>
      </c>
      <c r="S84" s="77">
        <v>0</v>
      </c>
      <c r="T84" s="77">
        <v>0</v>
      </c>
      <c r="U84" s="77">
        <v>0</v>
      </c>
      <c r="V84" s="77">
        <v>0</v>
      </c>
      <c r="W84" s="77">
        <v>0</v>
      </c>
    </row>
    <row r="85" spans="1:23" s="343" customFormat="1">
      <c r="B85" s="343" t="s">
        <v>683</v>
      </c>
      <c r="C85" s="344">
        <f t="shared" si="1"/>
        <v>0.1716151132231703</v>
      </c>
      <c r="D85" s="344">
        <f t="shared" si="0"/>
        <v>2.0431292076178134E-3</v>
      </c>
      <c r="E85" s="343">
        <v>1.4774426999750603</v>
      </c>
      <c r="F85" s="343">
        <v>0</v>
      </c>
      <c r="G85" s="343">
        <v>0</v>
      </c>
      <c r="H85" s="343">
        <v>0</v>
      </c>
      <c r="I85" s="343">
        <v>0</v>
      </c>
      <c r="J85" s="343">
        <v>0</v>
      </c>
      <c r="K85" s="343">
        <v>0</v>
      </c>
      <c r="L85" s="343">
        <v>0</v>
      </c>
      <c r="M85" s="343">
        <v>0</v>
      </c>
      <c r="N85" s="343">
        <v>0</v>
      </c>
      <c r="O85" s="343">
        <v>0</v>
      </c>
      <c r="P85" s="343">
        <v>0</v>
      </c>
      <c r="Q85" s="343">
        <v>0</v>
      </c>
      <c r="R85" s="343">
        <v>0</v>
      </c>
      <c r="S85" s="343">
        <v>0</v>
      </c>
      <c r="T85" s="343">
        <v>0</v>
      </c>
      <c r="U85" s="343">
        <v>0</v>
      </c>
      <c r="V85" s="343">
        <v>0</v>
      </c>
      <c r="W85" s="343">
        <v>0</v>
      </c>
    </row>
    <row r="86" spans="1:23" s="77" customFormat="1">
      <c r="A86" s="77">
        <v>1</v>
      </c>
      <c r="B86" s="77" t="s">
        <v>684</v>
      </c>
      <c r="C86" s="345">
        <f t="shared" si="1"/>
        <v>6.121611405119344E-2</v>
      </c>
      <c r="D86" s="345">
        <f t="shared" si="0"/>
        <v>8.0642257983223539E-4</v>
      </c>
      <c r="E86" s="77">
        <v>0.48114506059893009</v>
      </c>
      <c r="F86" s="77">
        <v>0</v>
      </c>
      <c r="G86" s="77">
        <v>0</v>
      </c>
      <c r="H86" s="77">
        <v>0</v>
      </c>
      <c r="I86" s="77">
        <v>0</v>
      </c>
      <c r="J86" s="77">
        <v>0</v>
      </c>
      <c r="K86" s="77">
        <v>0</v>
      </c>
      <c r="L86" s="77">
        <v>0</v>
      </c>
      <c r="M86" s="77">
        <v>0</v>
      </c>
      <c r="N86" s="77">
        <v>0</v>
      </c>
      <c r="O86" s="77">
        <v>0</v>
      </c>
      <c r="P86" s="77">
        <v>0</v>
      </c>
      <c r="Q86" s="77">
        <v>0</v>
      </c>
      <c r="R86" s="77">
        <v>0</v>
      </c>
      <c r="S86" s="77">
        <v>0</v>
      </c>
      <c r="T86" s="77">
        <v>0</v>
      </c>
      <c r="U86" s="77">
        <v>0</v>
      </c>
      <c r="V86" s="77">
        <v>0</v>
      </c>
      <c r="W86" s="77">
        <v>0</v>
      </c>
    </row>
    <row r="87" spans="1:23" s="77" customFormat="1">
      <c r="A87" s="77">
        <v>2</v>
      </c>
      <c r="B87" s="77" t="s">
        <v>685</v>
      </c>
      <c r="C87" s="345">
        <f t="shared" si="1"/>
        <v>0.11039899917197683</v>
      </c>
      <c r="D87" s="345">
        <f t="shared" si="0"/>
        <v>1.236706627785578E-3</v>
      </c>
      <c r="E87" s="77">
        <v>0.99629763937613014</v>
      </c>
      <c r="F87" s="77">
        <v>0</v>
      </c>
      <c r="G87" s="77">
        <v>0</v>
      </c>
      <c r="H87" s="77">
        <v>0</v>
      </c>
      <c r="I87" s="77">
        <v>0</v>
      </c>
      <c r="J87" s="77">
        <v>0</v>
      </c>
      <c r="K87" s="77">
        <v>0</v>
      </c>
      <c r="L87" s="77">
        <v>0</v>
      </c>
      <c r="M87" s="77">
        <v>0</v>
      </c>
      <c r="N87" s="77">
        <v>0</v>
      </c>
      <c r="O87" s="77">
        <v>0</v>
      </c>
      <c r="P87" s="77">
        <v>0</v>
      </c>
      <c r="Q87" s="77">
        <v>0</v>
      </c>
      <c r="R87" s="77">
        <v>0</v>
      </c>
      <c r="S87" s="77">
        <v>0</v>
      </c>
      <c r="T87" s="77">
        <v>0</v>
      </c>
      <c r="U87" s="77">
        <v>0</v>
      </c>
      <c r="V87" s="77">
        <v>0</v>
      </c>
      <c r="W87" s="77">
        <v>0</v>
      </c>
    </row>
    <row r="88" spans="1:23" s="343" customFormat="1">
      <c r="B88" s="343" t="s">
        <v>686</v>
      </c>
      <c r="C88" s="344">
        <f t="shared" si="1"/>
        <v>1.5217254491125751</v>
      </c>
      <c r="D88" s="344">
        <f t="shared" si="0"/>
        <v>9.6384958778845814E-3</v>
      </c>
      <c r="E88" s="343">
        <v>7.5977321897650043</v>
      </c>
      <c r="F88" s="343">
        <v>0</v>
      </c>
      <c r="G88" s="343">
        <v>0.15624646358602901</v>
      </c>
      <c r="H88" s="343">
        <v>0</v>
      </c>
      <c r="I88" s="343">
        <v>0</v>
      </c>
      <c r="J88" s="343">
        <v>0</v>
      </c>
      <c r="K88" s="343">
        <v>0</v>
      </c>
      <c r="L88" s="343">
        <v>0</v>
      </c>
      <c r="M88" s="343">
        <v>0</v>
      </c>
      <c r="N88" s="343">
        <v>0</v>
      </c>
      <c r="O88" s="343">
        <v>0</v>
      </c>
      <c r="P88" s="343">
        <v>0</v>
      </c>
      <c r="Q88" s="343">
        <v>0</v>
      </c>
      <c r="R88" s="343">
        <v>0</v>
      </c>
      <c r="S88" s="343">
        <v>0</v>
      </c>
      <c r="T88" s="343">
        <v>6721.8173789557986</v>
      </c>
      <c r="U88" s="343">
        <v>0</v>
      </c>
      <c r="V88" s="343">
        <v>0</v>
      </c>
      <c r="W88" s="343">
        <v>2.528</v>
      </c>
    </row>
    <row r="89" spans="1:23" s="77" customFormat="1">
      <c r="A89" s="77">
        <v>1</v>
      </c>
      <c r="B89" s="77" t="s">
        <v>687</v>
      </c>
      <c r="C89" s="345">
        <f t="shared" si="1"/>
        <v>1.9262641753969113E-2</v>
      </c>
      <c r="D89" s="345">
        <f t="shared" si="0"/>
        <v>0</v>
      </c>
      <c r="E89" s="77">
        <v>4.8277275081151996E-2</v>
      </c>
      <c r="F89" s="77">
        <v>0</v>
      </c>
      <c r="G89" s="77">
        <v>4.6948669000039009E-2</v>
      </c>
      <c r="H89" s="77">
        <v>0</v>
      </c>
      <c r="I89" s="77">
        <v>0</v>
      </c>
      <c r="J89" s="77">
        <v>0</v>
      </c>
      <c r="K89" s="77">
        <v>0</v>
      </c>
      <c r="L89" s="77">
        <v>0</v>
      </c>
      <c r="M89" s="77">
        <v>0</v>
      </c>
      <c r="N89" s="77">
        <v>0</v>
      </c>
      <c r="O89" s="77">
        <v>0</v>
      </c>
      <c r="P89" s="77">
        <v>0</v>
      </c>
      <c r="Q89" s="77">
        <v>0</v>
      </c>
      <c r="R89" s="77">
        <v>0</v>
      </c>
      <c r="S89" s="77">
        <v>0</v>
      </c>
      <c r="T89" s="77">
        <v>0</v>
      </c>
      <c r="U89" s="77">
        <v>0</v>
      </c>
      <c r="V89" s="77">
        <v>0</v>
      </c>
      <c r="W89" s="77">
        <v>0</v>
      </c>
    </row>
    <row r="90" spans="1:23" s="77" customFormat="1">
      <c r="A90" s="77">
        <v>1</v>
      </c>
      <c r="B90" s="77" t="s">
        <v>688</v>
      </c>
      <c r="C90" s="345">
        <f t="shared" si="1"/>
        <v>0.11920293768225512</v>
      </c>
      <c r="D90" s="345">
        <f t="shared" si="0"/>
        <v>0</v>
      </c>
      <c r="E90" s="77">
        <v>0.591113786029</v>
      </c>
      <c r="F90" s="77">
        <v>0</v>
      </c>
      <c r="G90" s="77">
        <v>8.8721865249999994E-4</v>
      </c>
      <c r="H90" s="77">
        <v>0</v>
      </c>
      <c r="I90" s="77">
        <v>0</v>
      </c>
      <c r="J90" s="77">
        <v>0</v>
      </c>
      <c r="K90" s="77">
        <v>0</v>
      </c>
      <c r="L90" s="77">
        <v>0</v>
      </c>
      <c r="M90" s="77">
        <v>0</v>
      </c>
      <c r="N90" s="77">
        <v>0</v>
      </c>
      <c r="O90" s="77">
        <v>0</v>
      </c>
      <c r="P90" s="77">
        <v>0</v>
      </c>
      <c r="Q90" s="77">
        <v>0</v>
      </c>
      <c r="R90" s="77">
        <v>0</v>
      </c>
      <c r="S90" s="77">
        <v>0</v>
      </c>
      <c r="T90" s="77">
        <v>0</v>
      </c>
      <c r="U90" s="77">
        <v>0</v>
      </c>
      <c r="V90" s="77">
        <v>0</v>
      </c>
      <c r="W90" s="77">
        <v>0</v>
      </c>
    </row>
    <row r="91" spans="1:23" s="77" customFormat="1">
      <c r="A91" s="77">
        <v>1</v>
      </c>
      <c r="B91" s="77" t="s">
        <v>689</v>
      </c>
      <c r="C91" s="345">
        <f t="shared" si="1"/>
        <v>0.15597796738308672</v>
      </c>
      <c r="D91" s="345">
        <f t="shared" si="0"/>
        <v>0</v>
      </c>
      <c r="E91" s="77">
        <v>0.79539542412200015</v>
      </c>
      <c r="F91" s="77">
        <v>0</v>
      </c>
      <c r="G91" s="77">
        <v>2.8125168900000006E-4</v>
      </c>
      <c r="H91" s="77">
        <v>0</v>
      </c>
      <c r="I91" s="77">
        <v>0</v>
      </c>
      <c r="J91" s="77">
        <v>0</v>
      </c>
      <c r="K91" s="77">
        <v>0</v>
      </c>
      <c r="L91" s="77">
        <v>0</v>
      </c>
      <c r="M91" s="77">
        <v>0</v>
      </c>
      <c r="N91" s="77">
        <v>0</v>
      </c>
      <c r="O91" s="77">
        <v>0</v>
      </c>
      <c r="P91" s="77">
        <v>0</v>
      </c>
      <c r="Q91" s="77">
        <v>0</v>
      </c>
      <c r="R91" s="77">
        <v>0</v>
      </c>
      <c r="S91" s="77">
        <v>0</v>
      </c>
      <c r="T91" s="77">
        <v>0</v>
      </c>
      <c r="U91" s="77">
        <v>0</v>
      </c>
      <c r="V91" s="77">
        <v>0</v>
      </c>
      <c r="W91" s="77">
        <v>0</v>
      </c>
    </row>
    <row r="92" spans="1:23" s="77" customFormat="1">
      <c r="A92" s="77">
        <v>1</v>
      </c>
      <c r="B92" s="77" t="s">
        <v>690</v>
      </c>
      <c r="C92" s="345">
        <f t="shared" si="1"/>
        <v>5.1463440976347349E-2</v>
      </c>
      <c r="D92" s="345">
        <f t="shared" si="0"/>
        <v>0</v>
      </c>
      <c r="E92" s="77">
        <v>0.25226155571500003</v>
      </c>
      <c r="F92" s="77">
        <v>0</v>
      </c>
      <c r="G92" s="77">
        <v>1.7203121694999999E-3</v>
      </c>
      <c r="H92" s="77">
        <v>0</v>
      </c>
      <c r="I92" s="77">
        <v>0</v>
      </c>
      <c r="J92" s="77">
        <v>0</v>
      </c>
      <c r="K92" s="77">
        <v>0</v>
      </c>
      <c r="L92" s="77">
        <v>0</v>
      </c>
      <c r="M92" s="77">
        <v>0</v>
      </c>
      <c r="N92" s="77">
        <v>0</v>
      </c>
      <c r="O92" s="77">
        <v>0</v>
      </c>
      <c r="P92" s="77">
        <v>0</v>
      </c>
      <c r="Q92" s="77">
        <v>0</v>
      </c>
      <c r="R92" s="77">
        <v>0</v>
      </c>
      <c r="S92" s="77">
        <v>0</v>
      </c>
      <c r="T92" s="77">
        <v>0</v>
      </c>
      <c r="U92" s="77">
        <v>0</v>
      </c>
      <c r="V92" s="77">
        <v>0</v>
      </c>
      <c r="W92" s="77">
        <v>2.528</v>
      </c>
    </row>
    <row r="93" spans="1:23" s="77" customFormat="1">
      <c r="A93" s="77">
        <v>1</v>
      </c>
      <c r="B93" s="77" t="s">
        <v>691</v>
      </c>
      <c r="C93" s="345">
        <f t="shared" si="1"/>
        <v>7.9706231774489697E-2</v>
      </c>
      <c r="D93" s="345">
        <f t="shared" si="0"/>
        <v>0</v>
      </c>
      <c r="E93" s="77">
        <v>0.39252583152900006</v>
      </c>
      <c r="F93" s="77">
        <v>0</v>
      </c>
      <c r="G93" s="77">
        <v>2.3135563499999999E-4</v>
      </c>
      <c r="H93" s="77">
        <v>0</v>
      </c>
      <c r="I93" s="77">
        <v>0</v>
      </c>
      <c r="J93" s="77">
        <v>0</v>
      </c>
      <c r="K93" s="77">
        <v>0</v>
      </c>
      <c r="L93" s="77">
        <v>0</v>
      </c>
      <c r="M93" s="77">
        <v>0</v>
      </c>
      <c r="N93" s="77">
        <v>0</v>
      </c>
      <c r="O93" s="77">
        <v>0</v>
      </c>
      <c r="P93" s="77">
        <v>0</v>
      </c>
      <c r="Q93" s="77">
        <v>0</v>
      </c>
      <c r="R93" s="77">
        <v>0</v>
      </c>
      <c r="S93" s="77">
        <v>0</v>
      </c>
      <c r="T93" s="77">
        <v>0</v>
      </c>
      <c r="U93" s="77">
        <v>0</v>
      </c>
      <c r="V93" s="77">
        <v>0</v>
      </c>
      <c r="W93" s="77">
        <v>0</v>
      </c>
    </row>
    <row r="94" spans="1:23" s="77" customFormat="1">
      <c r="A94" s="77">
        <v>1</v>
      </c>
      <c r="B94" s="77" t="s">
        <v>692</v>
      </c>
      <c r="C94" s="345">
        <f t="shared" si="1"/>
        <v>1.9397343125607518E-2</v>
      </c>
      <c r="D94" s="345">
        <f t="shared" si="0"/>
        <v>0</v>
      </c>
      <c r="E94" s="77">
        <v>0.10005274743100001</v>
      </c>
      <c r="F94" s="77">
        <v>0</v>
      </c>
      <c r="G94" s="77">
        <v>1.2534784335000001E-3</v>
      </c>
      <c r="H94" s="77">
        <v>0</v>
      </c>
      <c r="I94" s="77">
        <v>0</v>
      </c>
      <c r="J94" s="77">
        <v>0</v>
      </c>
      <c r="K94" s="77">
        <v>0</v>
      </c>
      <c r="L94" s="77">
        <v>0</v>
      </c>
      <c r="M94" s="77">
        <v>0</v>
      </c>
      <c r="N94" s="77">
        <v>0</v>
      </c>
      <c r="O94" s="77">
        <v>0</v>
      </c>
      <c r="P94" s="77">
        <v>0</v>
      </c>
      <c r="Q94" s="77">
        <v>0</v>
      </c>
      <c r="R94" s="77">
        <v>0</v>
      </c>
      <c r="S94" s="77">
        <v>0</v>
      </c>
      <c r="T94" s="77">
        <v>0</v>
      </c>
      <c r="U94" s="77">
        <v>0</v>
      </c>
      <c r="V94" s="77">
        <v>0</v>
      </c>
      <c r="W94" s="77">
        <v>0</v>
      </c>
    </row>
    <row r="95" spans="1:23" s="77" customFormat="1">
      <c r="A95" s="77">
        <v>1</v>
      </c>
      <c r="B95" s="77" t="s">
        <v>693</v>
      </c>
      <c r="C95" s="345">
        <f t="shared" si="1"/>
        <v>3.7644536847031722E-2</v>
      </c>
      <c r="D95" s="345">
        <f t="shared" si="0"/>
        <v>3.9327501170032766E-5</v>
      </c>
      <c r="E95" s="77">
        <v>0.13485557443800003</v>
      </c>
      <c r="F95" s="77">
        <v>0</v>
      </c>
      <c r="G95" s="77">
        <v>3.4969884000000004E-7</v>
      </c>
      <c r="H95" s="77">
        <v>0</v>
      </c>
      <c r="I95" s="77">
        <v>0</v>
      </c>
      <c r="J95" s="77">
        <v>0</v>
      </c>
      <c r="K95" s="77">
        <v>0</v>
      </c>
      <c r="L95" s="77">
        <v>0</v>
      </c>
      <c r="M95" s="77">
        <v>0</v>
      </c>
      <c r="N95" s="77">
        <v>0</v>
      </c>
      <c r="O95" s="77">
        <v>0</v>
      </c>
      <c r="P95" s="77">
        <v>0</v>
      </c>
      <c r="Q95" s="77">
        <v>0</v>
      </c>
      <c r="R95" s="77">
        <v>0</v>
      </c>
      <c r="S95" s="77">
        <v>0</v>
      </c>
      <c r="T95" s="77">
        <v>2568.5869059032921</v>
      </c>
      <c r="U95" s="77">
        <v>0</v>
      </c>
      <c r="V95" s="77">
        <v>0</v>
      </c>
      <c r="W95" s="77">
        <v>0</v>
      </c>
    </row>
    <row r="96" spans="1:23" s="77" customFormat="1">
      <c r="A96" s="77">
        <v>1</v>
      </c>
      <c r="B96" s="77" t="s">
        <v>694</v>
      </c>
      <c r="C96" s="345">
        <f t="shared" si="1"/>
        <v>4.3576426539943119E-2</v>
      </c>
      <c r="D96" s="345">
        <f t="shared" si="0"/>
        <v>1.0125715520034561E-3</v>
      </c>
      <c r="E96" s="77">
        <v>0.10269539963358</v>
      </c>
      <c r="F96" s="77">
        <v>0</v>
      </c>
      <c r="G96" s="77">
        <v>0</v>
      </c>
      <c r="H96" s="77">
        <v>0</v>
      </c>
      <c r="I96" s="77">
        <v>0</v>
      </c>
      <c r="J96" s="77">
        <v>0</v>
      </c>
      <c r="K96" s="77">
        <v>0</v>
      </c>
      <c r="L96" s="77">
        <v>0</v>
      </c>
      <c r="M96" s="77">
        <v>0</v>
      </c>
      <c r="N96" s="77">
        <v>0</v>
      </c>
      <c r="O96" s="77">
        <v>0</v>
      </c>
      <c r="P96" s="77">
        <v>0</v>
      </c>
      <c r="Q96" s="77">
        <v>0</v>
      </c>
      <c r="R96" s="77">
        <v>0</v>
      </c>
      <c r="S96" s="77">
        <v>0</v>
      </c>
      <c r="T96" s="77">
        <v>2161.7558403720973</v>
      </c>
      <c r="U96" s="77">
        <v>0</v>
      </c>
      <c r="V96" s="77">
        <v>0</v>
      </c>
      <c r="W96" s="77">
        <v>0</v>
      </c>
    </row>
    <row r="97" spans="1:23" s="77" customFormat="1">
      <c r="A97" s="77">
        <v>1</v>
      </c>
      <c r="B97" s="77" t="s">
        <v>695</v>
      </c>
      <c r="C97" s="345">
        <f t="shared" si="1"/>
        <v>3.8569273139647912E-2</v>
      </c>
      <c r="D97" s="345">
        <f t="shared" si="0"/>
        <v>2.6115491233754545E-4</v>
      </c>
      <c r="E97" s="77">
        <v>0.15427936546843785</v>
      </c>
      <c r="F97" s="77">
        <v>0</v>
      </c>
      <c r="G97" s="77">
        <v>2.7110793494500001E-2</v>
      </c>
      <c r="H97" s="77">
        <v>0</v>
      </c>
      <c r="I97" s="77">
        <v>0</v>
      </c>
      <c r="J97" s="77">
        <v>0</v>
      </c>
      <c r="K97" s="77">
        <v>0</v>
      </c>
      <c r="L97" s="77">
        <v>0</v>
      </c>
      <c r="M97" s="77">
        <v>0</v>
      </c>
      <c r="N97" s="77">
        <v>0</v>
      </c>
      <c r="O97" s="77">
        <v>0</v>
      </c>
      <c r="P97" s="77">
        <v>0</v>
      </c>
      <c r="Q97" s="77">
        <v>0</v>
      </c>
      <c r="R97" s="77">
        <v>0</v>
      </c>
      <c r="S97" s="77">
        <v>0</v>
      </c>
      <c r="T97" s="77">
        <v>0</v>
      </c>
      <c r="U97" s="77">
        <v>0</v>
      </c>
      <c r="V97" s="77">
        <v>0</v>
      </c>
      <c r="W97" s="77">
        <v>0</v>
      </c>
    </row>
    <row r="98" spans="1:23" s="77" customFormat="1">
      <c r="A98" s="77">
        <v>1</v>
      </c>
      <c r="B98" s="77" t="s">
        <v>696</v>
      </c>
      <c r="C98" s="345">
        <f t="shared" si="1"/>
        <v>4.9537387046837314E-2</v>
      </c>
      <c r="D98" s="345">
        <f t="shared" si="0"/>
        <v>3.0600856823991079E-3</v>
      </c>
      <c r="E98" s="77">
        <v>0.21624970071783262</v>
      </c>
      <c r="F98" s="77">
        <v>0</v>
      </c>
      <c r="G98" s="77">
        <v>1.6098940500000001E-4</v>
      </c>
      <c r="H98" s="77">
        <v>0</v>
      </c>
      <c r="I98" s="77">
        <v>0</v>
      </c>
      <c r="J98" s="77">
        <v>0</v>
      </c>
      <c r="K98" s="77">
        <v>0</v>
      </c>
      <c r="L98" s="77">
        <v>0</v>
      </c>
      <c r="M98" s="77">
        <v>0</v>
      </c>
      <c r="N98" s="77">
        <v>0</v>
      </c>
      <c r="O98" s="77">
        <v>0</v>
      </c>
      <c r="P98" s="77">
        <v>0</v>
      </c>
      <c r="Q98" s="77">
        <v>0</v>
      </c>
      <c r="R98" s="77">
        <v>0</v>
      </c>
      <c r="S98" s="77">
        <v>0</v>
      </c>
      <c r="T98" s="77">
        <v>0</v>
      </c>
      <c r="U98" s="77">
        <v>0</v>
      </c>
      <c r="V98" s="77">
        <v>0</v>
      </c>
      <c r="W98" s="77">
        <v>0</v>
      </c>
    </row>
    <row r="99" spans="1:23" s="77" customFormat="1">
      <c r="A99" s="77">
        <v>1</v>
      </c>
      <c r="B99" s="77" t="s">
        <v>697</v>
      </c>
      <c r="C99" s="345">
        <f t="shared" si="1"/>
        <v>0.11023508658242431</v>
      </c>
      <c r="D99" s="345">
        <f t="shared" si="0"/>
        <v>6.1201713647982155E-4</v>
      </c>
      <c r="E99" s="77">
        <v>0.38521293387273192</v>
      </c>
      <c r="F99" s="77">
        <v>0</v>
      </c>
      <c r="G99" s="77">
        <v>4.9931592500000006E-4</v>
      </c>
      <c r="H99" s="77">
        <v>0</v>
      </c>
      <c r="I99" s="77">
        <v>0</v>
      </c>
      <c r="J99" s="77">
        <v>0</v>
      </c>
      <c r="K99" s="77">
        <v>0</v>
      </c>
      <c r="L99" s="77">
        <v>0</v>
      </c>
      <c r="M99" s="77">
        <v>0</v>
      </c>
      <c r="N99" s="77">
        <v>0</v>
      </c>
      <c r="O99" s="77">
        <v>0</v>
      </c>
      <c r="P99" s="77">
        <v>0</v>
      </c>
      <c r="Q99" s="77">
        <v>0</v>
      </c>
      <c r="R99" s="77">
        <v>0</v>
      </c>
      <c r="S99" s="77">
        <v>0</v>
      </c>
      <c r="T99" s="77">
        <v>0</v>
      </c>
      <c r="U99" s="77">
        <v>0</v>
      </c>
      <c r="V99" s="77">
        <v>0</v>
      </c>
      <c r="W99" s="77">
        <v>0</v>
      </c>
    </row>
    <row r="100" spans="1:23" s="77" customFormat="1">
      <c r="A100" s="77">
        <v>1</v>
      </c>
      <c r="B100" s="77" t="s">
        <v>698</v>
      </c>
      <c r="C100" s="345">
        <f t="shared" si="1"/>
        <v>5.2154660330489253E-2</v>
      </c>
      <c r="D100" s="345">
        <f t="shared" si="0"/>
        <v>2.0448572560031683E-4</v>
      </c>
      <c r="E100" s="77">
        <v>0.28338345688900002</v>
      </c>
      <c r="F100" s="77">
        <v>0</v>
      </c>
      <c r="G100" s="77">
        <v>0</v>
      </c>
      <c r="H100" s="77">
        <v>0</v>
      </c>
      <c r="I100" s="77">
        <v>0</v>
      </c>
      <c r="J100" s="77">
        <v>0</v>
      </c>
      <c r="K100" s="77">
        <v>0</v>
      </c>
      <c r="L100" s="77">
        <v>0</v>
      </c>
      <c r="M100" s="77">
        <v>0</v>
      </c>
      <c r="N100" s="77">
        <v>0</v>
      </c>
      <c r="O100" s="77">
        <v>0</v>
      </c>
      <c r="P100" s="77">
        <v>0</v>
      </c>
      <c r="Q100" s="77">
        <v>0</v>
      </c>
      <c r="R100" s="77">
        <v>0</v>
      </c>
      <c r="S100" s="77">
        <v>0</v>
      </c>
      <c r="T100" s="77">
        <v>0</v>
      </c>
      <c r="U100" s="77">
        <v>0</v>
      </c>
      <c r="V100" s="77">
        <v>0</v>
      </c>
      <c r="W100" s="77">
        <v>0</v>
      </c>
    </row>
    <row r="101" spans="1:23" s="77" customFormat="1">
      <c r="A101" s="77">
        <v>1</v>
      </c>
      <c r="B101" s="77" t="s">
        <v>699</v>
      </c>
      <c r="C101" s="345">
        <f t="shared" si="1"/>
        <v>9.327501170032762E-2</v>
      </c>
      <c r="D101" s="345">
        <f t="shared" si="0"/>
        <v>0</v>
      </c>
      <c r="E101" s="77">
        <v>0.47142575287600003</v>
      </c>
      <c r="F101" s="77">
        <v>0</v>
      </c>
      <c r="G101" s="77">
        <v>2.6266505349999998E-4</v>
      </c>
      <c r="H101" s="77">
        <v>0</v>
      </c>
      <c r="I101" s="77">
        <v>0</v>
      </c>
      <c r="J101" s="77">
        <v>0</v>
      </c>
      <c r="K101" s="77">
        <v>0</v>
      </c>
      <c r="L101" s="77">
        <v>0</v>
      </c>
      <c r="M101" s="77">
        <v>0</v>
      </c>
      <c r="N101" s="77">
        <v>0</v>
      </c>
      <c r="O101" s="77">
        <v>0</v>
      </c>
      <c r="P101" s="77">
        <v>0</v>
      </c>
      <c r="Q101" s="77">
        <v>0</v>
      </c>
      <c r="R101" s="77">
        <v>0</v>
      </c>
      <c r="S101" s="77">
        <v>0</v>
      </c>
      <c r="T101" s="77">
        <v>0</v>
      </c>
      <c r="U101" s="77">
        <v>0</v>
      </c>
      <c r="V101" s="77">
        <v>0</v>
      </c>
      <c r="W101" s="77">
        <v>0</v>
      </c>
    </row>
    <row r="102" spans="1:23" s="77" customFormat="1">
      <c r="A102" s="77">
        <v>1</v>
      </c>
      <c r="B102" s="77" t="s">
        <v>700</v>
      </c>
      <c r="C102" s="345">
        <f t="shared" si="1"/>
        <v>3.3425193505418151E-2</v>
      </c>
      <c r="D102" s="345">
        <f t="shared" si="0"/>
        <v>3.9327501170032766E-5</v>
      </c>
      <c r="E102" s="77">
        <v>3.8042208222620541E-2</v>
      </c>
      <c r="F102" s="77">
        <v>0</v>
      </c>
      <c r="G102" s="77">
        <v>0</v>
      </c>
      <c r="H102" s="77">
        <v>0</v>
      </c>
      <c r="I102" s="77">
        <v>0</v>
      </c>
      <c r="J102" s="77">
        <v>0</v>
      </c>
      <c r="K102" s="77">
        <v>0</v>
      </c>
      <c r="L102" s="77">
        <v>0</v>
      </c>
      <c r="M102" s="77">
        <v>0</v>
      </c>
      <c r="N102" s="77">
        <v>0</v>
      </c>
      <c r="O102" s="77">
        <v>0</v>
      </c>
      <c r="P102" s="77">
        <v>0</v>
      </c>
      <c r="Q102" s="77">
        <v>0</v>
      </c>
      <c r="R102" s="77">
        <v>0</v>
      </c>
      <c r="S102" s="77">
        <v>0</v>
      </c>
      <c r="T102" s="77">
        <v>1991.4746326804084</v>
      </c>
      <c r="U102" s="77">
        <v>0</v>
      </c>
      <c r="V102" s="77">
        <v>0</v>
      </c>
      <c r="W102" s="77">
        <v>0</v>
      </c>
    </row>
    <row r="103" spans="1:23" s="77" customFormat="1">
      <c r="A103" s="77">
        <v>1</v>
      </c>
      <c r="B103" s="77" t="s">
        <v>701</v>
      </c>
      <c r="C103" s="345">
        <f t="shared" si="1"/>
        <v>5.0390610937106242E-2</v>
      </c>
      <c r="D103" s="345">
        <f t="shared" si="0"/>
        <v>3.9215898045145263E-5</v>
      </c>
      <c r="E103" s="77">
        <v>0.35605275201600001</v>
      </c>
      <c r="F103" s="77">
        <v>0</v>
      </c>
      <c r="G103" s="77">
        <v>1.3860015E-4</v>
      </c>
      <c r="H103" s="77">
        <v>0</v>
      </c>
      <c r="I103" s="77">
        <v>0</v>
      </c>
      <c r="J103" s="77">
        <v>0</v>
      </c>
      <c r="K103" s="77">
        <v>0</v>
      </c>
      <c r="L103" s="77">
        <v>0</v>
      </c>
      <c r="M103" s="77">
        <v>0</v>
      </c>
      <c r="N103" s="77">
        <v>0</v>
      </c>
      <c r="O103" s="77">
        <v>0</v>
      </c>
      <c r="P103" s="77">
        <v>0</v>
      </c>
      <c r="Q103" s="77">
        <v>0</v>
      </c>
      <c r="R103" s="77">
        <v>0</v>
      </c>
      <c r="S103" s="77">
        <v>0</v>
      </c>
      <c r="T103" s="77">
        <v>0</v>
      </c>
      <c r="U103" s="77">
        <v>0</v>
      </c>
      <c r="V103" s="77">
        <v>0</v>
      </c>
      <c r="W103" s="77">
        <v>0</v>
      </c>
    </row>
    <row r="104" spans="1:23" s="77" customFormat="1">
      <c r="A104" s="77">
        <v>1</v>
      </c>
      <c r="B104" s="77" t="s">
        <v>702</v>
      </c>
      <c r="C104" s="345">
        <f t="shared" si="1"/>
        <v>7.2542031176872954E-2</v>
      </c>
      <c r="D104" s="345">
        <f t="shared" si="0"/>
        <v>0</v>
      </c>
      <c r="E104" s="77">
        <v>0.34560700001100003</v>
      </c>
      <c r="F104" s="77">
        <v>0</v>
      </c>
      <c r="G104" s="77">
        <v>1.5089647099999999E-4</v>
      </c>
      <c r="H104" s="77">
        <v>0</v>
      </c>
      <c r="I104" s="77">
        <v>0</v>
      </c>
      <c r="J104" s="77">
        <v>0</v>
      </c>
      <c r="K104" s="77">
        <v>0</v>
      </c>
      <c r="L104" s="77">
        <v>0</v>
      </c>
      <c r="M104" s="77">
        <v>0</v>
      </c>
      <c r="N104" s="77">
        <v>0</v>
      </c>
      <c r="O104" s="77">
        <v>0</v>
      </c>
      <c r="P104" s="77">
        <v>0</v>
      </c>
      <c r="Q104" s="77">
        <v>0</v>
      </c>
      <c r="R104" s="77">
        <v>0</v>
      </c>
      <c r="S104" s="77">
        <v>0</v>
      </c>
      <c r="T104" s="77">
        <v>0</v>
      </c>
      <c r="U104" s="77">
        <v>0</v>
      </c>
      <c r="V104" s="77">
        <v>0</v>
      </c>
      <c r="W104" s="77">
        <v>0</v>
      </c>
    </row>
    <row r="105" spans="1:23" s="77" customFormat="1">
      <c r="A105" s="77">
        <v>1</v>
      </c>
      <c r="B105" s="77" t="s">
        <v>703</v>
      </c>
      <c r="C105" s="345">
        <f t="shared" si="1"/>
        <v>6.760989307700617E-2</v>
      </c>
      <c r="D105" s="345">
        <f t="shared" si="0"/>
        <v>3.9601108831047274E-4</v>
      </c>
      <c r="E105" s="77">
        <v>0.35673939452167519</v>
      </c>
      <c r="F105" s="77">
        <v>0</v>
      </c>
      <c r="G105" s="77">
        <v>0</v>
      </c>
      <c r="H105" s="77">
        <v>0</v>
      </c>
      <c r="I105" s="77">
        <v>0</v>
      </c>
      <c r="J105" s="77">
        <v>0</v>
      </c>
      <c r="K105" s="77">
        <v>0</v>
      </c>
      <c r="L105" s="77">
        <v>0</v>
      </c>
      <c r="M105" s="77">
        <v>0</v>
      </c>
      <c r="N105" s="77">
        <v>0</v>
      </c>
      <c r="O105" s="77">
        <v>0</v>
      </c>
      <c r="P105" s="77">
        <v>0</v>
      </c>
      <c r="Q105" s="77">
        <v>0</v>
      </c>
      <c r="R105" s="77">
        <v>0</v>
      </c>
      <c r="S105" s="77">
        <v>0</v>
      </c>
      <c r="T105" s="77">
        <v>0</v>
      </c>
      <c r="U105" s="77">
        <v>0</v>
      </c>
      <c r="V105" s="77">
        <v>0</v>
      </c>
      <c r="W105" s="77">
        <v>0</v>
      </c>
    </row>
    <row r="106" spans="1:23" s="77" customFormat="1">
      <c r="A106" s="77">
        <v>1</v>
      </c>
      <c r="B106" s="77" t="s">
        <v>704</v>
      </c>
      <c r="C106" s="345">
        <f t="shared" si="1"/>
        <v>1.424199877596573E-2</v>
      </c>
      <c r="D106" s="345">
        <f t="shared" si="0"/>
        <v>0</v>
      </c>
      <c r="E106" s="77">
        <v>6.5277423164382009E-2</v>
      </c>
      <c r="F106" s="77">
        <v>0</v>
      </c>
      <c r="G106" s="77">
        <v>3.9980812500000002E-4</v>
      </c>
      <c r="H106" s="77">
        <v>0</v>
      </c>
      <c r="I106" s="77">
        <v>0</v>
      </c>
      <c r="J106" s="77">
        <v>0</v>
      </c>
      <c r="K106" s="77">
        <v>0</v>
      </c>
      <c r="L106" s="77">
        <v>0</v>
      </c>
      <c r="M106" s="77">
        <v>0</v>
      </c>
      <c r="N106" s="77">
        <v>0</v>
      </c>
      <c r="O106" s="77">
        <v>0</v>
      </c>
      <c r="P106" s="77">
        <v>0</v>
      </c>
      <c r="Q106" s="77">
        <v>0</v>
      </c>
      <c r="R106" s="77">
        <v>0</v>
      </c>
      <c r="S106" s="77">
        <v>0</v>
      </c>
      <c r="T106" s="77">
        <v>0</v>
      </c>
      <c r="U106" s="77">
        <v>0</v>
      </c>
      <c r="V106" s="77">
        <v>0</v>
      </c>
      <c r="W106" s="77">
        <v>0</v>
      </c>
    </row>
    <row r="107" spans="1:23" s="77" customFormat="1">
      <c r="A107" s="77">
        <v>1</v>
      </c>
      <c r="B107" s="77" t="s">
        <v>705</v>
      </c>
      <c r="C107" s="345">
        <f t="shared" si="1"/>
        <v>0.11692407387406846</v>
      </c>
      <c r="D107" s="345">
        <f t="shared" si="0"/>
        <v>1.8720524174676892E-3</v>
      </c>
      <c r="E107" s="77">
        <v>0.6933972698867501</v>
      </c>
      <c r="F107" s="77">
        <v>0</v>
      </c>
      <c r="G107" s="77">
        <v>5.0763193399999996E-5</v>
      </c>
      <c r="H107" s="77">
        <v>0</v>
      </c>
      <c r="I107" s="77">
        <v>0</v>
      </c>
      <c r="J107" s="77">
        <v>0</v>
      </c>
      <c r="K107" s="77">
        <v>0</v>
      </c>
      <c r="L107" s="77">
        <v>0</v>
      </c>
      <c r="M107" s="77">
        <v>0</v>
      </c>
      <c r="N107" s="77">
        <v>0</v>
      </c>
      <c r="O107" s="77">
        <v>0</v>
      </c>
      <c r="P107" s="77">
        <v>0</v>
      </c>
      <c r="Q107" s="77">
        <v>0</v>
      </c>
      <c r="R107" s="77">
        <v>0</v>
      </c>
      <c r="S107" s="77">
        <v>0</v>
      </c>
      <c r="T107" s="77">
        <v>0</v>
      </c>
      <c r="U107" s="77">
        <v>0</v>
      </c>
      <c r="V107" s="77">
        <v>0</v>
      </c>
      <c r="W107" s="77">
        <v>0</v>
      </c>
    </row>
    <row r="108" spans="1:23" s="77" customFormat="1">
      <c r="A108" s="77">
        <v>1</v>
      </c>
      <c r="B108" s="77" t="s">
        <v>706</v>
      </c>
      <c r="C108" s="345">
        <f t="shared" si="1"/>
        <v>0.17305844403643303</v>
      </c>
      <c r="D108" s="345">
        <f t="shared" si="0"/>
        <v>2.1010944306440581E-3</v>
      </c>
      <c r="E108" s="77">
        <v>1.2167612635158409</v>
      </c>
      <c r="F108" s="77">
        <v>0</v>
      </c>
      <c r="G108" s="77">
        <v>7.6149996490249991E-2</v>
      </c>
      <c r="H108" s="77">
        <v>0</v>
      </c>
      <c r="I108" s="77">
        <v>0</v>
      </c>
      <c r="J108" s="77">
        <v>0</v>
      </c>
      <c r="K108" s="77">
        <v>0</v>
      </c>
      <c r="L108" s="77">
        <v>0</v>
      </c>
      <c r="M108" s="77">
        <v>0</v>
      </c>
      <c r="N108" s="77">
        <v>0</v>
      </c>
      <c r="O108" s="77">
        <v>0</v>
      </c>
      <c r="P108" s="77">
        <v>0</v>
      </c>
      <c r="Q108" s="77">
        <v>0</v>
      </c>
      <c r="R108" s="77">
        <v>0</v>
      </c>
      <c r="S108" s="77">
        <v>0</v>
      </c>
      <c r="T108" s="77">
        <v>0</v>
      </c>
      <c r="U108" s="77">
        <v>0</v>
      </c>
      <c r="V108" s="77">
        <v>0</v>
      </c>
      <c r="W108" s="77">
        <v>0</v>
      </c>
    </row>
    <row r="109" spans="1:23" s="77" customFormat="1">
      <c r="A109" s="77">
        <v>1</v>
      </c>
      <c r="B109" s="77" t="s">
        <v>707</v>
      </c>
      <c r="C109" s="345">
        <f t="shared" si="1"/>
        <v>0.12353025884724773</v>
      </c>
      <c r="D109" s="345">
        <f t="shared" si="0"/>
        <v>1.1520322569031934E-6</v>
      </c>
      <c r="E109" s="77">
        <v>0.59812607462400003</v>
      </c>
      <c r="F109" s="77">
        <v>0</v>
      </c>
      <c r="G109" s="77">
        <v>0</v>
      </c>
      <c r="H109" s="77">
        <v>0</v>
      </c>
      <c r="I109" s="77">
        <v>0</v>
      </c>
      <c r="J109" s="77">
        <v>0</v>
      </c>
      <c r="K109" s="77">
        <v>0</v>
      </c>
      <c r="L109" s="77">
        <v>0</v>
      </c>
      <c r="M109" s="77">
        <v>0</v>
      </c>
      <c r="N109" s="77">
        <v>0</v>
      </c>
      <c r="O109" s="77">
        <v>0</v>
      </c>
      <c r="P109" s="77">
        <v>0</v>
      </c>
      <c r="Q109" s="77">
        <v>0</v>
      </c>
      <c r="R109" s="77">
        <v>0</v>
      </c>
      <c r="S109" s="77">
        <v>0</v>
      </c>
      <c r="T109" s="77">
        <v>0</v>
      </c>
      <c r="U109" s="77">
        <v>0</v>
      </c>
      <c r="V109" s="77">
        <v>0</v>
      </c>
      <c r="W109" s="77">
        <v>0</v>
      </c>
    </row>
    <row r="110" spans="1:23">
      <c r="B110" t="s">
        <v>708</v>
      </c>
      <c r="C110" s="345">
        <f t="shared" si="1"/>
        <v>3.3067329085214391E-2</v>
      </c>
      <c r="D110" s="345">
        <f t="shared" si="0"/>
        <v>9.2800518414515613E-5</v>
      </c>
      <c r="E110">
        <v>8.9071186438000008E-2</v>
      </c>
      <c r="F110">
        <v>0</v>
      </c>
      <c r="G110">
        <v>0</v>
      </c>
      <c r="H110">
        <v>0</v>
      </c>
      <c r="I110">
        <v>0</v>
      </c>
      <c r="J110">
        <v>0</v>
      </c>
      <c r="K110">
        <v>0</v>
      </c>
      <c r="L110">
        <v>0</v>
      </c>
      <c r="M110">
        <v>0</v>
      </c>
      <c r="N110">
        <v>0</v>
      </c>
      <c r="O110">
        <v>0</v>
      </c>
      <c r="P110">
        <v>0</v>
      </c>
      <c r="Q110">
        <v>0</v>
      </c>
      <c r="R110">
        <v>0</v>
      </c>
      <c r="S110">
        <v>0</v>
      </c>
      <c r="T110">
        <v>0</v>
      </c>
      <c r="U110">
        <v>0</v>
      </c>
      <c r="V110">
        <v>0</v>
      </c>
      <c r="W110">
        <v>0</v>
      </c>
    </row>
    <row r="111" spans="1:23">
      <c r="B111" t="s">
        <v>709</v>
      </c>
      <c r="C111" s="345">
        <f t="shared" si="1"/>
        <v>3.3067329085214391E-2</v>
      </c>
      <c r="D111" s="345">
        <f t="shared" si="0"/>
        <v>9.2800518414515613E-5</v>
      </c>
      <c r="E111">
        <v>8.9071186438000008E-2</v>
      </c>
      <c r="F111">
        <v>0</v>
      </c>
      <c r="G111">
        <v>0</v>
      </c>
      <c r="H111">
        <v>0</v>
      </c>
      <c r="I111">
        <v>0</v>
      </c>
      <c r="J111">
        <v>0</v>
      </c>
      <c r="K111">
        <v>0</v>
      </c>
      <c r="L111">
        <v>0</v>
      </c>
      <c r="M111">
        <v>0</v>
      </c>
      <c r="N111">
        <v>0</v>
      </c>
      <c r="O111">
        <v>0</v>
      </c>
      <c r="P111">
        <v>0</v>
      </c>
      <c r="Q111">
        <v>0</v>
      </c>
      <c r="R111">
        <v>0</v>
      </c>
      <c r="S111">
        <v>0</v>
      </c>
      <c r="T111">
        <v>0</v>
      </c>
      <c r="U111">
        <v>0</v>
      </c>
      <c r="V111">
        <v>0</v>
      </c>
      <c r="W111">
        <v>0</v>
      </c>
    </row>
    <row r="112" spans="1:23" s="343" customFormat="1" ht="18.75">
      <c r="A112" s="341"/>
      <c r="B112" s="341" t="s">
        <v>710</v>
      </c>
      <c r="C112" s="342">
        <f t="shared" si="1"/>
        <v>28.272792238182671</v>
      </c>
      <c r="D112" s="342">
        <f t="shared" si="0"/>
        <v>2.4221435900205215</v>
      </c>
      <c r="E112" s="341">
        <v>96.806587059695261</v>
      </c>
      <c r="F112" s="341">
        <v>13.733345634320871</v>
      </c>
      <c r="G112" s="341">
        <v>5.4187016557740009</v>
      </c>
      <c r="H112" s="341">
        <v>0</v>
      </c>
      <c r="I112" s="341">
        <v>401.41527323069749</v>
      </c>
      <c r="J112" s="341">
        <v>0</v>
      </c>
      <c r="K112" s="341">
        <v>0</v>
      </c>
      <c r="L112" s="341">
        <v>0</v>
      </c>
      <c r="M112" s="341">
        <v>0</v>
      </c>
      <c r="N112" s="341">
        <v>0</v>
      </c>
      <c r="O112" s="341">
        <v>0</v>
      </c>
      <c r="P112" s="341">
        <v>0</v>
      </c>
      <c r="Q112" s="341">
        <v>0</v>
      </c>
      <c r="R112" s="341">
        <v>1.0523002937600001</v>
      </c>
      <c r="S112" s="341">
        <v>0</v>
      </c>
      <c r="T112" s="341">
        <v>0</v>
      </c>
      <c r="U112" s="341">
        <v>0</v>
      </c>
      <c r="V112" s="341">
        <v>0</v>
      </c>
      <c r="W112" s="341">
        <v>477.64002500000009</v>
      </c>
    </row>
    <row r="113" spans="1:23" s="343" customFormat="1">
      <c r="B113" s="343" t="s">
        <v>683</v>
      </c>
      <c r="C113" s="344">
        <f t="shared" si="1"/>
        <v>1.2711947654534328</v>
      </c>
      <c r="D113" s="344">
        <f t="shared" si="0"/>
        <v>8.1861900133203738E-3</v>
      </c>
      <c r="E113" s="343">
        <v>6.0494646929308811</v>
      </c>
      <c r="F113" s="343">
        <v>0</v>
      </c>
      <c r="G113" s="343">
        <v>0.27485205807399998</v>
      </c>
      <c r="H113" s="343">
        <v>0</v>
      </c>
      <c r="I113" s="343">
        <v>0</v>
      </c>
      <c r="J113" s="343">
        <v>0</v>
      </c>
      <c r="K113" s="343">
        <v>0</v>
      </c>
      <c r="L113" s="343">
        <v>0</v>
      </c>
      <c r="M113" s="343">
        <v>0</v>
      </c>
      <c r="N113" s="343">
        <v>0</v>
      </c>
      <c r="O113" s="343">
        <v>0</v>
      </c>
      <c r="P113" s="343">
        <v>0</v>
      </c>
      <c r="Q113" s="343">
        <v>0</v>
      </c>
      <c r="R113" s="343">
        <v>0</v>
      </c>
      <c r="S113" s="343">
        <v>0</v>
      </c>
      <c r="T113" s="343">
        <v>0</v>
      </c>
      <c r="U113" s="343">
        <v>0</v>
      </c>
      <c r="V113" s="343">
        <v>0</v>
      </c>
      <c r="W113" s="343">
        <v>0</v>
      </c>
    </row>
    <row r="114" spans="1:23">
      <c r="B114" t="s">
        <v>711</v>
      </c>
      <c r="C114" s="345">
        <f t="shared" si="1"/>
        <v>0.17649051373438457</v>
      </c>
      <c r="D114" s="345">
        <f t="shared" si="0"/>
        <v>1.5761169312740759E-3</v>
      </c>
      <c r="E114">
        <v>0.79598009112245016</v>
      </c>
      <c r="F114">
        <v>0</v>
      </c>
      <c r="G114">
        <v>0</v>
      </c>
      <c r="H114">
        <v>0</v>
      </c>
      <c r="I114">
        <v>0</v>
      </c>
      <c r="J114">
        <v>0</v>
      </c>
      <c r="K114">
        <v>0</v>
      </c>
      <c r="L114">
        <v>0</v>
      </c>
      <c r="M114">
        <v>0</v>
      </c>
      <c r="N114">
        <v>0</v>
      </c>
      <c r="O114">
        <v>0</v>
      </c>
      <c r="P114">
        <v>0</v>
      </c>
      <c r="Q114">
        <v>0</v>
      </c>
      <c r="R114">
        <v>0</v>
      </c>
      <c r="S114">
        <v>0</v>
      </c>
      <c r="T114">
        <v>0</v>
      </c>
      <c r="U114">
        <v>0</v>
      </c>
      <c r="V114">
        <v>0</v>
      </c>
      <c r="W114">
        <v>0</v>
      </c>
    </row>
    <row r="115" spans="1:23" s="77" customFormat="1">
      <c r="A115" s="77">
        <v>1</v>
      </c>
      <c r="B115" s="77" t="s">
        <v>712</v>
      </c>
      <c r="C115" s="345">
        <f t="shared" si="1"/>
        <v>0.32543831227274367</v>
      </c>
      <c r="D115" s="345">
        <f t="shared" si="0"/>
        <v>0</v>
      </c>
      <c r="E115" s="77">
        <v>1.8802113211707805</v>
      </c>
      <c r="F115" s="77">
        <v>0</v>
      </c>
      <c r="G115" s="77">
        <v>0</v>
      </c>
      <c r="H115" s="77">
        <v>0</v>
      </c>
      <c r="I115" s="77">
        <v>0</v>
      </c>
      <c r="J115" s="77">
        <v>0</v>
      </c>
      <c r="K115" s="77">
        <v>0</v>
      </c>
      <c r="L115" s="77">
        <v>0</v>
      </c>
      <c r="M115" s="77">
        <v>0</v>
      </c>
      <c r="N115" s="77">
        <v>0</v>
      </c>
      <c r="O115" s="77">
        <v>0</v>
      </c>
      <c r="P115" s="77">
        <v>0</v>
      </c>
      <c r="Q115" s="77">
        <v>0</v>
      </c>
      <c r="R115" s="77">
        <v>0</v>
      </c>
      <c r="S115" s="77">
        <v>0</v>
      </c>
      <c r="T115" s="77">
        <v>0</v>
      </c>
      <c r="U115" s="77">
        <v>0</v>
      </c>
      <c r="V115" s="77">
        <v>0</v>
      </c>
      <c r="W115" s="77">
        <v>0</v>
      </c>
    </row>
    <row r="116" spans="1:23" s="77" customFormat="1">
      <c r="A116" s="77">
        <v>1</v>
      </c>
      <c r="B116" s="77" t="s">
        <v>713</v>
      </c>
      <c r="C116" s="345">
        <f t="shared" si="1"/>
        <v>0.52972243222810234</v>
      </c>
      <c r="D116" s="345">
        <f t="shared" si="0"/>
        <v>1.7499369982359508E-3</v>
      </c>
      <c r="E116" s="77">
        <v>1.7543053596516505</v>
      </c>
      <c r="F116" s="77">
        <v>0</v>
      </c>
      <c r="G116" s="77">
        <v>0.27485205807399998</v>
      </c>
      <c r="H116" s="77">
        <v>0</v>
      </c>
      <c r="I116" s="77">
        <v>0</v>
      </c>
      <c r="J116" s="77">
        <v>0</v>
      </c>
      <c r="K116" s="77">
        <v>0</v>
      </c>
      <c r="L116" s="77">
        <v>0</v>
      </c>
      <c r="M116" s="77">
        <v>0</v>
      </c>
      <c r="N116" s="77">
        <v>0</v>
      </c>
      <c r="O116" s="77">
        <v>0</v>
      </c>
      <c r="P116" s="77">
        <v>0</v>
      </c>
      <c r="Q116" s="77">
        <v>0</v>
      </c>
      <c r="R116" s="77">
        <v>0</v>
      </c>
      <c r="S116" s="77">
        <v>0</v>
      </c>
      <c r="T116" s="77">
        <v>0</v>
      </c>
      <c r="U116" s="77">
        <v>0</v>
      </c>
      <c r="V116" s="77">
        <v>0</v>
      </c>
      <c r="W116" s="77">
        <v>0</v>
      </c>
    </row>
    <row r="117" spans="1:23" s="77" customFormat="1">
      <c r="A117" s="77">
        <v>2</v>
      </c>
      <c r="B117" s="77" t="s">
        <v>714</v>
      </c>
      <c r="C117" s="345">
        <f t="shared" si="1"/>
        <v>0.23954350721820217</v>
      </c>
      <c r="D117" s="345">
        <f t="shared" si="0"/>
        <v>4.8601360838103477E-3</v>
      </c>
      <c r="E117" s="77">
        <v>1.618967920986</v>
      </c>
      <c r="F117" s="77">
        <v>0</v>
      </c>
      <c r="G117" s="77">
        <v>0</v>
      </c>
      <c r="H117" s="77">
        <v>0</v>
      </c>
      <c r="I117" s="77">
        <v>0</v>
      </c>
      <c r="J117" s="77">
        <v>0</v>
      </c>
      <c r="K117" s="77">
        <v>0</v>
      </c>
      <c r="L117" s="77">
        <v>0</v>
      </c>
      <c r="M117" s="77">
        <v>0</v>
      </c>
      <c r="N117" s="77">
        <v>0</v>
      </c>
      <c r="O117" s="77">
        <v>0</v>
      </c>
      <c r="P117" s="77">
        <v>0</v>
      </c>
      <c r="Q117" s="77">
        <v>0</v>
      </c>
      <c r="R117" s="77">
        <v>0</v>
      </c>
      <c r="S117" s="77">
        <v>0</v>
      </c>
      <c r="T117" s="77">
        <v>0</v>
      </c>
      <c r="U117" s="77">
        <v>0</v>
      </c>
      <c r="V117" s="77">
        <v>0</v>
      </c>
      <c r="W117" s="77">
        <v>0</v>
      </c>
    </row>
    <row r="118" spans="1:23" s="343" customFormat="1">
      <c r="B118" s="343" t="s">
        <v>686</v>
      </c>
      <c r="C118" s="344">
        <f t="shared" si="1"/>
        <v>8.3367460488893688</v>
      </c>
      <c r="D118" s="344">
        <f t="shared" si="0"/>
        <v>0.90679857436008227</v>
      </c>
      <c r="E118" s="343">
        <v>37.109743778174469</v>
      </c>
      <c r="F118" s="343">
        <v>0</v>
      </c>
      <c r="G118" s="343">
        <v>0</v>
      </c>
      <c r="H118" s="343">
        <v>0</v>
      </c>
      <c r="I118" s="343">
        <v>0</v>
      </c>
      <c r="J118" s="343">
        <v>0</v>
      </c>
      <c r="K118" s="343">
        <v>0</v>
      </c>
      <c r="L118" s="343">
        <v>0</v>
      </c>
      <c r="M118" s="343">
        <v>0</v>
      </c>
      <c r="N118" s="343">
        <v>0</v>
      </c>
      <c r="O118" s="343">
        <v>0</v>
      </c>
      <c r="P118" s="343">
        <v>0</v>
      </c>
      <c r="Q118" s="343">
        <v>0</v>
      </c>
      <c r="R118" s="343">
        <v>0</v>
      </c>
      <c r="S118" s="343">
        <v>0</v>
      </c>
      <c r="T118" s="343">
        <v>0</v>
      </c>
      <c r="U118" s="343">
        <v>0</v>
      </c>
      <c r="V118" s="343">
        <v>0</v>
      </c>
      <c r="W118" s="343">
        <v>0</v>
      </c>
    </row>
    <row r="119" spans="1:23">
      <c r="B119" t="s">
        <v>715</v>
      </c>
      <c r="C119" s="345">
        <f t="shared" si="1"/>
        <v>8.3367460488893688</v>
      </c>
      <c r="D119" s="345">
        <f t="shared" si="0"/>
        <v>0.90679857436008227</v>
      </c>
      <c r="E119">
        <v>37.109743778174469</v>
      </c>
      <c r="F119">
        <v>0</v>
      </c>
      <c r="G119">
        <v>0</v>
      </c>
      <c r="H119">
        <v>0</v>
      </c>
      <c r="I119">
        <v>0</v>
      </c>
      <c r="J119">
        <v>0</v>
      </c>
      <c r="K119">
        <v>0</v>
      </c>
      <c r="L119">
        <v>0</v>
      </c>
      <c r="M119">
        <v>0</v>
      </c>
      <c r="N119">
        <v>0</v>
      </c>
      <c r="O119">
        <v>0</v>
      </c>
      <c r="P119">
        <v>0</v>
      </c>
      <c r="Q119">
        <v>0</v>
      </c>
      <c r="R119">
        <v>0</v>
      </c>
      <c r="S119">
        <v>0</v>
      </c>
      <c r="T119">
        <v>0</v>
      </c>
      <c r="U119">
        <v>0</v>
      </c>
      <c r="V119">
        <v>0</v>
      </c>
      <c r="W119">
        <v>0</v>
      </c>
    </row>
    <row r="120" spans="1:23">
      <c r="B120" t="s">
        <v>716</v>
      </c>
      <c r="C120" s="345">
        <f t="shared" si="1"/>
        <v>7.8083594340641538</v>
      </c>
      <c r="D120" s="345">
        <f t="shared" si="0"/>
        <v>0.23101846851711844</v>
      </c>
      <c r="E120">
        <v>24.868811312110999</v>
      </c>
      <c r="F120">
        <v>0</v>
      </c>
      <c r="G120">
        <v>0</v>
      </c>
      <c r="H120">
        <v>0</v>
      </c>
      <c r="I120">
        <v>0</v>
      </c>
      <c r="J120">
        <v>0</v>
      </c>
      <c r="K120">
        <v>0</v>
      </c>
      <c r="L120">
        <v>0</v>
      </c>
      <c r="M120">
        <v>0</v>
      </c>
      <c r="N120">
        <v>0</v>
      </c>
      <c r="O120">
        <v>0</v>
      </c>
      <c r="P120">
        <v>0</v>
      </c>
      <c r="Q120">
        <v>0</v>
      </c>
      <c r="R120">
        <v>0</v>
      </c>
      <c r="S120">
        <v>0</v>
      </c>
      <c r="T120">
        <v>0</v>
      </c>
      <c r="U120">
        <v>0</v>
      </c>
      <c r="V120">
        <v>0</v>
      </c>
      <c r="W120">
        <v>248.28800000000001</v>
      </c>
    </row>
    <row r="121" spans="1:23" s="77" customFormat="1">
      <c r="A121" s="77">
        <v>3</v>
      </c>
      <c r="B121" s="77" t="s">
        <v>717</v>
      </c>
      <c r="C121" s="345">
        <f t="shared" si="1"/>
        <v>7.8083594340641538</v>
      </c>
      <c r="D121" s="345">
        <f t="shared" si="0"/>
        <v>0.23101846851711844</v>
      </c>
      <c r="E121" s="77">
        <v>24.868811312110999</v>
      </c>
      <c r="F121" s="77">
        <v>0</v>
      </c>
      <c r="G121" s="77">
        <v>0</v>
      </c>
      <c r="H121" s="77">
        <v>0</v>
      </c>
      <c r="I121" s="77">
        <v>0</v>
      </c>
      <c r="J121" s="77">
        <v>0</v>
      </c>
      <c r="K121" s="77">
        <v>0</v>
      </c>
      <c r="L121" s="77">
        <v>0</v>
      </c>
      <c r="M121" s="77">
        <v>0</v>
      </c>
      <c r="N121" s="77">
        <v>0</v>
      </c>
      <c r="O121" s="77">
        <v>0</v>
      </c>
      <c r="P121" s="77">
        <v>0</v>
      </c>
      <c r="Q121" s="77">
        <v>0</v>
      </c>
      <c r="R121" s="77">
        <v>0</v>
      </c>
      <c r="S121" s="77">
        <v>0</v>
      </c>
      <c r="T121" s="77">
        <v>0</v>
      </c>
      <c r="U121" s="77">
        <v>0</v>
      </c>
      <c r="V121" s="77">
        <v>0</v>
      </c>
      <c r="W121" s="77">
        <v>248.28800000000001</v>
      </c>
    </row>
    <row r="122" spans="1:23" s="343" customFormat="1">
      <c r="B122" s="343" t="s">
        <v>718</v>
      </c>
      <c r="C122" s="344">
        <f t="shared" si="1"/>
        <v>8.844511891132953</v>
      </c>
      <c r="D122" s="344">
        <f t="shared" si="0"/>
        <v>1.2476994635849805</v>
      </c>
      <c r="E122" s="343">
        <v>24.22654651775137</v>
      </c>
      <c r="F122" s="343">
        <v>11.886057171920871</v>
      </c>
      <c r="G122" s="343">
        <v>5.1438495977000009</v>
      </c>
      <c r="H122" s="343">
        <v>0</v>
      </c>
      <c r="I122" s="343">
        <v>401.41527323069749</v>
      </c>
      <c r="J122" s="343">
        <v>0</v>
      </c>
      <c r="K122" s="343">
        <v>0</v>
      </c>
      <c r="L122" s="343">
        <v>0</v>
      </c>
      <c r="M122" s="343">
        <v>0</v>
      </c>
      <c r="N122" s="343">
        <v>0</v>
      </c>
      <c r="O122" s="343">
        <v>0</v>
      </c>
      <c r="P122" s="343">
        <v>0</v>
      </c>
      <c r="Q122" s="343">
        <v>0</v>
      </c>
      <c r="R122" s="343">
        <v>1.0523002937600001</v>
      </c>
      <c r="S122" s="343">
        <v>0</v>
      </c>
      <c r="T122" s="343">
        <v>0</v>
      </c>
      <c r="U122" s="343">
        <v>0</v>
      </c>
      <c r="V122" s="343">
        <v>0</v>
      </c>
      <c r="W122" s="343">
        <v>161.87509499999996</v>
      </c>
    </row>
    <row r="123" spans="1:23" s="77" customFormat="1">
      <c r="A123" s="77">
        <v>3</v>
      </c>
      <c r="B123" s="77" t="s">
        <v>719</v>
      </c>
      <c r="C123" s="345">
        <f t="shared" si="1"/>
        <v>0.16799870396371103</v>
      </c>
      <c r="D123" s="345">
        <f t="shared" si="0"/>
        <v>9.317060877704576E-3</v>
      </c>
      <c r="E123" s="77">
        <v>1.2059709106300702</v>
      </c>
      <c r="F123" s="77">
        <v>0</v>
      </c>
      <c r="G123" s="77">
        <v>0</v>
      </c>
      <c r="H123" s="77">
        <v>0</v>
      </c>
      <c r="I123" s="77">
        <v>0</v>
      </c>
      <c r="J123" s="77">
        <v>0</v>
      </c>
      <c r="K123" s="77">
        <v>0</v>
      </c>
      <c r="L123" s="77">
        <v>0</v>
      </c>
      <c r="M123" s="77">
        <v>0</v>
      </c>
      <c r="N123" s="77">
        <v>0</v>
      </c>
      <c r="O123" s="77">
        <v>0</v>
      </c>
      <c r="P123" s="77">
        <v>0</v>
      </c>
      <c r="Q123" s="77">
        <v>0</v>
      </c>
      <c r="R123" s="77">
        <v>0</v>
      </c>
      <c r="S123" s="77">
        <v>0</v>
      </c>
      <c r="T123" s="77">
        <v>0</v>
      </c>
      <c r="U123" s="77">
        <v>0</v>
      </c>
      <c r="V123" s="77">
        <v>0</v>
      </c>
      <c r="W123" s="77">
        <v>0</v>
      </c>
    </row>
    <row r="124" spans="1:23">
      <c r="A124">
        <v>2</v>
      </c>
      <c r="B124" t="s">
        <v>720</v>
      </c>
      <c r="C124" s="345">
        <f t="shared" si="1"/>
        <v>0.4922849839795515</v>
      </c>
      <c r="D124" s="345">
        <f t="shared" si="0"/>
        <v>6.8635921805810574E-2</v>
      </c>
      <c r="E124">
        <v>1.98004093846</v>
      </c>
      <c r="F124">
        <v>0</v>
      </c>
      <c r="G124">
        <v>0</v>
      </c>
      <c r="H124">
        <v>0</v>
      </c>
      <c r="I124">
        <v>0</v>
      </c>
      <c r="J124">
        <v>0</v>
      </c>
      <c r="K124">
        <v>0</v>
      </c>
      <c r="L124">
        <v>0</v>
      </c>
      <c r="M124">
        <v>0</v>
      </c>
      <c r="N124">
        <v>0</v>
      </c>
      <c r="O124">
        <v>0</v>
      </c>
      <c r="P124">
        <v>0</v>
      </c>
      <c r="Q124">
        <v>0</v>
      </c>
      <c r="R124">
        <v>1.0523002937600001</v>
      </c>
      <c r="S124">
        <v>0</v>
      </c>
      <c r="T124">
        <v>0</v>
      </c>
      <c r="U124">
        <v>0</v>
      </c>
      <c r="V124">
        <v>0</v>
      </c>
      <c r="W124">
        <v>53.960999999999999</v>
      </c>
    </row>
    <row r="125" spans="1:23" s="77" customFormat="1">
      <c r="A125" s="77">
        <v>4</v>
      </c>
      <c r="B125" s="77" t="s">
        <v>721</v>
      </c>
      <c r="C125" s="345">
        <f t="shared" si="1"/>
        <v>1.9344781653886307</v>
      </c>
      <c r="D125" s="345">
        <f t="shared" si="0"/>
        <v>7.9814234798574371E-2</v>
      </c>
      <c r="E125" s="77">
        <v>4.5854390098543005</v>
      </c>
      <c r="F125" s="77">
        <v>5.7590331598199995</v>
      </c>
      <c r="G125" s="77">
        <v>5.1438495977000009</v>
      </c>
      <c r="H125" s="77">
        <v>0</v>
      </c>
      <c r="I125" s="77">
        <v>0</v>
      </c>
      <c r="J125" s="77">
        <v>0</v>
      </c>
      <c r="K125" s="77">
        <v>0</v>
      </c>
      <c r="L125" s="77">
        <v>0</v>
      </c>
      <c r="M125" s="77">
        <v>0</v>
      </c>
      <c r="N125" s="77">
        <v>0</v>
      </c>
      <c r="O125" s="77">
        <v>0</v>
      </c>
      <c r="P125" s="77">
        <v>0</v>
      </c>
      <c r="Q125" s="77">
        <v>0</v>
      </c>
      <c r="R125" s="77">
        <v>0</v>
      </c>
      <c r="S125" s="77">
        <v>0</v>
      </c>
      <c r="T125" s="77">
        <v>0</v>
      </c>
      <c r="U125" s="77">
        <v>0</v>
      </c>
      <c r="V125" s="77">
        <v>0</v>
      </c>
      <c r="W125" s="77">
        <v>8.69</v>
      </c>
    </row>
    <row r="126" spans="1:23" s="77" customFormat="1">
      <c r="A126" s="77">
        <v>4</v>
      </c>
      <c r="B126" s="77" t="s">
        <v>722</v>
      </c>
      <c r="C126" s="345">
        <f t="shared" si="1"/>
        <v>1.8084674370882388</v>
      </c>
      <c r="D126" s="345">
        <f t="shared" si="0"/>
        <v>0.26356697987543654</v>
      </c>
      <c r="E126" s="77">
        <v>10.853799621717</v>
      </c>
      <c r="F126" s="77">
        <v>0.36929858063999998</v>
      </c>
      <c r="G126" s="77">
        <v>0</v>
      </c>
      <c r="H126" s="77">
        <v>0</v>
      </c>
      <c r="I126" s="77">
        <v>0</v>
      </c>
      <c r="J126" s="77">
        <v>0</v>
      </c>
      <c r="K126" s="77">
        <v>0</v>
      </c>
      <c r="L126" s="77">
        <v>0</v>
      </c>
      <c r="M126" s="77">
        <v>0</v>
      </c>
      <c r="N126" s="77">
        <v>0</v>
      </c>
      <c r="O126" s="77">
        <v>0</v>
      </c>
      <c r="P126" s="77">
        <v>0</v>
      </c>
      <c r="Q126" s="77">
        <v>0</v>
      </c>
      <c r="R126" s="77">
        <v>0</v>
      </c>
      <c r="S126" s="77">
        <v>0</v>
      </c>
      <c r="T126" s="77">
        <v>0</v>
      </c>
      <c r="U126" s="77">
        <v>0</v>
      </c>
      <c r="V126" s="77">
        <v>0</v>
      </c>
      <c r="W126" s="77">
        <v>96.626000000000005</v>
      </c>
    </row>
    <row r="127" spans="1:23" s="77" customFormat="1">
      <c r="A127" s="77">
        <v>4</v>
      </c>
      <c r="B127" s="77" t="s">
        <v>723</v>
      </c>
      <c r="C127" s="345">
        <f t="shared" si="1"/>
        <v>0.8099686791230154</v>
      </c>
      <c r="D127" s="345">
        <f t="shared" si="0"/>
        <v>5.3011484321560998E-2</v>
      </c>
      <c r="E127" s="77">
        <v>2.55732612057</v>
      </c>
      <c r="F127" s="77">
        <v>0.46846503492000002</v>
      </c>
      <c r="G127" s="77">
        <v>0</v>
      </c>
      <c r="H127" s="77">
        <v>0</v>
      </c>
      <c r="I127" s="77">
        <v>0</v>
      </c>
      <c r="J127" s="77">
        <v>0</v>
      </c>
      <c r="K127" s="77">
        <v>0</v>
      </c>
      <c r="L127" s="77">
        <v>0</v>
      </c>
      <c r="M127" s="77">
        <v>0</v>
      </c>
      <c r="N127" s="77">
        <v>0</v>
      </c>
      <c r="O127" s="77">
        <v>0</v>
      </c>
      <c r="P127" s="77">
        <v>0</v>
      </c>
      <c r="Q127" s="77">
        <v>0</v>
      </c>
      <c r="R127" s="77">
        <v>0</v>
      </c>
      <c r="S127" s="77">
        <v>0</v>
      </c>
      <c r="T127" s="77">
        <v>0</v>
      </c>
      <c r="U127" s="77">
        <v>0</v>
      </c>
      <c r="V127" s="77">
        <v>0</v>
      </c>
      <c r="W127" s="77">
        <v>1.6460000000000001</v>
      </c>
    </row>
    <row r="128" spans="1:23" s="77" customFormat="1">
      <c r="A128" s="77">
        <v>4</v>
      </c>
      <c r="B128" s="77" t="s">
        <v>724</v>
      </c>
      <c r="C128" s="345">
        <f t="shared" si="1"/>
        <v>1.1945134463764986E-2</v>
      </c>
      <c r="D128" s="345">
        <f t="shared" si="0"/>
        <v>0</v>
      </c>
      <c r="E128" s="77">
        <v>7.6599328988000009E-2</v>
      </c>
      <c r="F128" s="77">
        <v>0</v>
      </c>
      <c r="G128" s="77">
        <v>0</v>
      </c>
      <c r="H128" s="77">
        <v>0</v>
      </c>
      <c r="I128" s="77">
        <v>0</v>
      </c>
      <c r="J128" s="77">
        <v>0</v>
      </c>
      <c r="K128" s="77">
        <v>0</v>
      </c>
      <c r="L128" s="77">
        <v>0</v>
      </c>
      <c r="M128" s="77">
        <v>0</v>
      </c>
      <c r="N128" s="77">
        <v>0</v>
      </c>
      <c r="O128" s="77">
        <v>0</v>
      </c>
      <c r="P128" s="77">
        <v>0</v>
      </c>
      <c r="Q128" s="77">
        <v>0</v>
      </c>
      <c r="R128" s="77">
        <v>0</v>
      </c>
      <c r="S128" s="77">
        <v>0</v>
      </c>
      <c r="T128" s="77">
        <v>0</v>
      </c>
      <c r="U128" s="77">
        <v>0</v>
      </c>
      <c r="V128" s="77">
        <v>0</v>
      </c>
      <c r="W128" s="77">
        <v>0</v>
      </c>
    </row>
    <row r="129" spans="1:23" s="77" customFormat="1">
      <c r="A129" s="77">
        <v>4</v>
      </c>
      <c r="B129" s="77" t="s">
        <v>725</v>
      </c>
      <c r="C129" s="345">
        <f t="shared" si="1"/>
        <v>1.7097099326781151</v>
      </c>
      <c r="D129" s="345">
        <f t="shared" si="0"/>
        <v>0.33789095294668248</v>
      </c>
      <c r="E129" s="77">
        <v>0</v>
      </c>
      <c r="F129" s="77">
        <v>2.6604919721172005</v>
      </c>
      <c r="G129" s="77">
        <v>0</v>
      </c>
      <c r="H129" s="77">
        <v>0</v>
      </c>
      <c r="I129" s="77">
        <v>401.41527323069749</v>
      </c>
      <c r="J129" s="77">
        <v>0</v>
      </c>
      <c r="K129" s="77">
        <v>0</v>
      </c>
      <c r="L129" s="77">
        <v>0</v>
      </c>
      <c r="M129" s="77">
        <v>0</v>
      </c>
      <c r="N129" s="77">
        <v>0</v>
      </c>
      <c r="O129" s="77">
        <v>0</v>
      </c>
      <c r="P129" s="77">
        <v>0</v>
      </c>
      <c r="Q129" s="77">
        <v>0</v>
      </c>
      <c r="R129" s="77">
        <v>0</v>
      </c>
      <c r="S129" s="77">
        <v>0</v>
      </c>
      <c r="T129" s="77">
        <v>0</v>
      </c>
      <c r="U129" s="77">
        <v>0</v>
      </c>
      <c r="V129" s="77">
        <v>0</v>
      </c>
      <c r="W129" s="77">
        <v>0.94906200000000007</v>
      </c>
    </row>
    <row r="130" spans="1:23" s="77" customFormat="1">
      <c r="A130" s="77">
        <v>4</v>
      </c>
      <c r="B130" s="77" t="s">
        <v>726</v>
      </c>
      <c r="C130" s="345">
        <f t="shared" si="1"/>
        <v>1.9096588544479249</v>
      </c>
      <c r="D130" s="345">
        <f t="shared" si="0"/>
        <v>0.43546282895921085</v>
      </c>
      <c r="E130" s="77">
        <v>2.9673705875320002</v>
      </c>
      <c r="F130" s="77">
        <v>2.6287684244236722</v>
      </c>
      <c r="G130" s="77">
        <v>0</v>
      </c>
      <c r="H130" s="77">
        <v>0</v>
      </c>
      <c r="I130" s="77">
        <v>0</v>
      </c>
      <c r="J130" s="77">
        <v>0</v>
      </c>
      <c r="K130" s="77">
        <v>0</v>
      </c>
      <c r="L130" s="77">
        <v>0</v>
      </c>
      <c r="M130" s="77">
        <v>0</v>
      </c>
      <c r="N130" s="77">
        <v>0</v>
      </c>
      <c r="O130" s="77">
        <v>0</v>
      </c>
      <c r="P130" s="77">
        <v>0</v>
      </c>
      <c r="Q130" s="77">
        <v>0</v>
      </c>
      <c r="R130" s="77">
        <v>0</v>
      </c>
      <c r="S130" s="77">
        <v>0</v>
      </c>
      <c r="T130" s="77">
        <v>0</v>
      </c>
      <c r="U130" s="77">
        <v>0</v>
      </c>
      <c r="V130" s="77">
        <v>0</v>
      </c>
      <c r="W130" s="77">
        <v>3.0330000000000001E-3</v>
      </c>
    </row>
    <row r="131" spans="1:23" s="343" customFormat="1">
      <c r="B131" s="343" t="s">
        <v>727</v>
      </c>
      <c r="C131" s="344">
        <f t="shared" si="1"/>
        <v>1.2320840983547541</v>
      </c>
      <c r="D131" s="344">
        <f t="shared" si="0"/>
        <v>1.7345285667998707E-2</v>
      </c>
      <c r="E131" s="343">
        <v>1.482852032532</v>
      </c>
      <c r="F131" s="343">
        <v>1.8472884623999999</v>
      </c>
      <c r="G131" s="343">
        <v>0</v>
      </c>
      <c r="H131" s="343">
        <v>0</v>
      </c>
      <c r="I131" s="343">
        <v>0</v>
      </c>
      <c r="J131" s="343">
        <v>0</v>
      </c>
      <c r="K131" s="343">
        <v>0</v>
      </c>
      <c r="L131" s="343">
        <v>0</v>
      </c>
      <c r="M131" s="343">
        <v>0</v>
      </c>
      <c r="N131" s="343">
        <v>0</v>
      </c>
      <c r="O131" s="343">
        <v>0</v>
      </c>
      <c r="P131" s="343">
        <v>0</v>
      </c>
      <c r="Q131" s="343">
        <v>0</v>
      </c>
      <c r="R131" s="343">
        <v>0</v>
      </c>
      <c r="S131" s="343">
        <v>0</v>
      </c>
      <c r="T131" s="343">
        <v>0</v>
      </c>
      <c r="U131" s="343">
        <v>0</v>
      </c>
      <c r="V131" s="343">
        <v>0</v>
      </c>
      <c r="W131" s="343">
        <v>0</v>
      </c>
    </row>
    <row r="132" spans="1:23">
      <c r="B132" t="s">
        <v>728</v>
      </c>
      <c r="C132" s="345">
        <f t="shared" si="1"/>
        <v>1.2320840983547541</v>
      </c>
      <c r="D132" s="345">
        <f t="shared" si="0"/>
        <v>1.7345285667998707E-2</v>
      </c>
      <c r="E132">
        <v>1.482852032532</v>
      </c>
      <c r="F132">
        <v>1.8472884623999999</v>
      </c>
      <c r="G132">
        <v>0</v>
      </c>
      <c r="H132">
        <v>0</v>
      </c>
      <c r="I132">
        <v>0</v>
      </c>
      <c r="J132">
        <v>0</v>
      </c>
      <c r="K132">
        <v>0</v>
      </c>
      <c r="L132">
        <v>0</v>
      </c>
      <c r="M132">
        <v>0</v>
      </c>
      <c r="N132">
        <v>0</v>
      </c>
      <c r="O132">
        <v>0</v>
      </c>
      <c r="P132">
        <v>0</v>
      </c>
      <c r="Q132">
        <v>0</v>
      </c>
      <c r="R132">
        <v>0</v>
      </c>
      <c r="S132">
        <v>0</v>
      </c>
      <c r="T132">
        <v>0</v>
      </c>
      <c r="U132">
        <v>0</v>
      </c>
      <c r="V132">
        <v>0</v>
      </c>
      <c r="W132">
        <v>0</v>
      </c>
    </row>
    <row r="133" spans="1:23" s="343" customFormat="1">
      <c r="B133" s="343" t="s">
        <v>708</v>
      </c>
      <c r="C133" s="344">
        <f t="shared" si="1"/>
        <v>0.7798960002880081</v>
      </c>
      <c r="D133" s="344">
        <f t="shared" si="0"/>
        <v>1.1095607877020557E-2</v>
      </c>
      <c r="E133" s="343">
        <v>3.0691687261955591</v>
      </c>
      <c r="F133" s="343">
        <v>0</v>
      </c>
      <c r="G133" s="343">
        <v>0</v>
      </c>
      <c r="H133" s="343">
        <v>0</v>
      </c>
      <c r="I133" s="343">
        <v>0</v>
      </c>
      <c r="J133" s="343">
        <v>0</v>
      </c>
      <c r="K133" s="343">
        <v>0</v>
      </c>
      <c r="L133" s="343">
        <v>0</v>
      </c>
      <c r="M133" s="343">
        <v>0</v>
      </c>
      <c r="N133" s="343">
        <v>0</v>
      </c>
      <c r="O133" s="343">
        <v>0</v>
      </c>
      <c r="P133" s="343">
        <v>0</v>
      </c>
      <c r="Q133" s="343">
        <v>0</v>
      </c>
      <c r="R133" s="343">
        <v>0</v>
      </c>
      <c r="S133" s="343">
        <v>0</v>
      </c>
      <c r="T133" s="343">
        <v>0</v>
      </c>
      <c r="U133" s="343">
        <v>0</v>
      </c>
      <c r="V133" s="343">
        <v>0</v>
      </c>
      <c r="W133" s="343">
        <v>67.476929999999996</v>
      </c>
    </row>
    <row r="134" spans="1:23">
      <c r="B134" t="s">
        <v>729</v>
      </c>
      <c r="C134" s="345">
        <f t="shared" si="1"/>
        <v>0.36103032004896135</v>
      </c>
      <c r="D134" s="345">
        <f t="shared" si="0"/>
        <v>1.1095607877020557E-2</v>
      </c>
      <c r="E134">
        <v>1.4855234284074081</v>
      </c>
      <c r="F134">
        <v>0</v>
      </c>
      <c r="G134">
        <v>0</v>
      </c>
      <c r="H134">
        <v>0</v>
      </c>
      <c r="I134">
        <v>0</v>
      </c>
      <c r="J134">
        <v>0</v>
      </c>
      <c r="K134">
        <v>0</v>
      </c>
      <c r="L134">
        <v>0</v>
      </c>
      <c r="M134">
        <v>0</v>
      </c>
      <c r="N134">
        <v>0</v>
      </c>
      <c r="O134">
        <v>0</v>
      </c>
      <c r="P134">
        <v>0</v>
      </c>
      <c r="Q134">
        <v>0</v>
      </c>
      <c r="R134">
        <v>0</v>
      </c>
      <c r="S134">
        <v>0</v>
      </c>
      <c r="T134">
        <v>0</v>
      </c>
      <c r="U134">
        <v>0</v>
      </c>
      <c r="V134">
        <v>0</v>
      </c>
      <c r="W134">
        <v>0</v>
      </c>
    </row>
    <row r="135" spans="1:23" s="77" customFormat="1">
      <c r="A135" s="77">
        <v>3</v>
      </c>
      <c r="B135" s="77" t="s">
        <v>730</v>
      </c>
      <c r="C135" s="345">
        <f t="shared" si="1"/>
        <v>0.41886568023904674</v>
      </c>
      <c r="D135" s="345">
        <f t="shared" si="0"/>
        <v>0</v>
      </c>
      <c r="E135" s="77">
        <v>1.583645297788151</v>
      </c>
      <c r="F135" s="77">
        <v>0</v>
      </c>
      <c r="G135" s="77">
        <v>0</v>
      </c>
      <c r="H135" s="77">
        <v>0</v>
      </c>
      <c r="I135" s="77">
        <v>0</v>
      </c>
      <c r="J135" s="77">
        <v>0</v>
      </c>
      <c r="K135" s="77">
        <v>0</v>
      </c>
      <c r="L135" s="77">
        <v>0</v>
      </c>
      <c r="M135" s="77">
        <v>0</v>
      </c>
      <c r="N135" s="77">
        <v>0</v>
      </c>
      <c r="O135" s="77">
        <v>0</v>
      </c>
      <c r="P135" s="77">
        <v>0</v>
      </c>
      <c r="Q135" s="77">
        <v>0</v>
      </c>
      <c r="R135" s="77">
        <v>0</v>
      </c>
      <c r="S135" s="77">
        <v>0</v>
      </c>
      <c r="T135" s="77">
        <v>0</v>
      </c>
      <c r="U135" s="77">
        <v>0</v>
      </c>
      <c r="V135" s="77">
        <v>0</v>
      </c>
      <c r="W135" s="77">
        <v>67.476929999999996</v>
      </c>
    </row>
    <row r="136" spans="1:23">
      <c r="B136" t="s">
        <v>372</v>
      </c>
      <c r="C136" s="345">
        <f t="shared" si="1"/>
        <v>30.033604658530432</v>
      </c>
      <c r="D136" s="345">
        <f t="shared" si="0"/>
        <v>2.4341225013500383</v>
      </c>
      <c r="E136">
        <v>105.97151171023732</v>
      </c>
      <c r="F136">
        <v>13.733345634320871</v>
      </c>
      <c r="G136">
        <v>5.6952987876095298</v>
      </c>
      <c r="H136">
        <v>0</v>
      </c>
      <c r="I136">
        <v>401.41527323069749</v>
      </c>
      <c r="J136">
        <v>0</v>
      </c>
      <c r="K136">
        <v>0</v>
      </c>
      <c r="L136">
        <v>0</v>
      </c>
      <c r="M136">
        <v>0</v>
      </c>
      <c r="N136">
        <v>0</v>
      </c>
      <c r="O136">
        <v>0</v>
      </c>
      <c r="P136">
        <v>0</v>
      </c>
      <c r="Q136">
        <v>0</v>
      </c>
      <c r="R136">
        <v>1.0523002937600001</v>
      </c>
      <c r="S136">
        <v>0</v>
      </c>
      <c r="T136">
        <v>6721.8173789557986</v>
      </c>
      <c r="U136">
        <v>0</v>
      </c>
      <c r="V136">
        <v>0</v>
      </c>
      <c r="W136">
        <v>480.168025</v>
      </c>
    </row>
  </sheetData>
  <mergeCells count="1">
    <mergeCell ref="C2:G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G214"/>
  <sheetViews>
    <sheetView topLeftCell="A70" zoomScale="80" zoomScaleNormal="80" workbookViewId="0">
      <selection activeCell="C96" sqref="C96"/>
    </sheetView>
  </sheetViews>
  <sheetFormatPr baseColWidth="10" defaultColWidth="10.875" defaultRowHeight="15"/>
  <cols>
    <col min="1" max="1" width="21" style="57" customWidth="1"/>
    <col min="2" max="2" width="44.75" style="57" customWidth="1"/>
    <col min="3" max="3" width="89.625" style="57" customWidth="1"/>
    <col min="4" max="4" width="14.625" style="57" bestFit="1" customWidth="1"/>
    <col min="5" max="21" width="14.125" style="57" customWidth="1"/>
    <col min="22" max="22" width="11.625" style="57" customWidth="1"/>
    <col min="23" max="23" width="14.375" style="57" bestFit="1" customWidth="1"/>
    <col min="24" max="25" width="9.375" style="57" bestFit="1" customWidth="1"/>
    <col min="26" max="26" width="8.5" style="57" bestFit="1" customWidth="1"/>
    <col min="27" max="27" width="11" style="57" bestFit="1" customWidth="1"/>
    <col min="28" max="28" width="8.5" style="57" bestFit="1" customWidth="1"/>
    <col min="29" max="29" width="48" style="57" customWidth="1"/>
    <col min="30" max="30" width="21.125" style="57" customWidth="1"/>
    <col min="31" max="31" width="8.5" style="57" bestFit="1" customWidth="1"/>
    <col min="32" max="32" width="13.625" style="57" bestFit="1" customWidth="1"/>
    <col min="33" max="33" width="11.125" style="57" bestFit="1" customWidth="1"/>
    <col min="34" max="34" width="24.875" style="57" customWidth="1"/>
    <col min="35" max="43" width="12.5" style="57" customWidth="1"/>
    <col min="44" max="16384" width="10.875" style="57"/>
  </cols>
  <sheetData>
    <row r="1" spans="1:33">
      <c r="C1" s="51">
        <v>1</v>
      </c>
      <c r="D1" s="51">
        <v>2</v>
      </c>
      <c r="E1" s="51">
        <v>3</v>
      </c>
      <c r="F1" s="51">
        <v>4</v>
      </c>
      <c r="G1" s="51">
        <v>5</v>
      </c>
      <c r="H1" s="51">
        <v>6</v>
      </c>
      <c r="I1" s="51">
        <v>7</v>
      </c>
      <c r="J1" s="51">
        <v>8</v>
      </c>
      <c r="K1" s="51">
        <v>9</v>
      </c>
      <c r="L1" s="51">
        <v>10</v>
      </c>
      <c r="M1" s="51">
        <v>11</v>
      </c>
      <c r="N1" s="51">
        <v>12</v>
      </c>
      <c r="O1" s="51">
        <v>13</v>
      </c>
      <c r="P1" s="51">
        <v>14</v>
      </c>
      <c r="Q1" s="51">
        <v>15</v>
      </c>
      <c r="R1" s="51">
        <v>16</v>
      </c>
      <c r="S1" s="51">
        <v>17</v>
      </c>
      <c r="T1" s="51">
        <v>18</v>
      </c>
      <c r="U1" s="51">
        <v>19</v>
      </c>
      <c r="V1" s="51">
        <v>20</v>
      </c>
    </row>
    <row r="2" spans="1:33" ht="15.75">
      <c r="C2" s="51"/>
      <c r="D2" s="5" t="s">
        <v>385</v>
      </c>
      <c r="E2" s="5" t="s">
        <v>386</v>
      </c>
      <c r="F2" s="5" t="s">
        <v>383</v>
      </c>
      <c r="G2" s="5" t="s">
        <v>383</v>
      </c>
      <c r="H2" s="5" t="s">
        <v>383</v>
      </c>
      <c r="I2" s="5" t="s">
        <v>383</v>
      </c>
      <c r="J2" s="5" t="s">
        <v>383</v>
      </c>
      <c r="K2" s="5" t="s">
        <v>172</v>
      </c>
      <c r="L2" s="5" t="s">
        <v>219</v>
      </c>
      <c r="M2" s="5" t="s">
        <v>11</v>
      </c>
      <c r="N2" s="5" t="s">
        <v>383</v>
      </c>
      <c r="O2" s="5" t="s">
        <v>384</v>
      </c>
      <c r="P2" s="5" t="s">
        <v>384</v>
      </c>
      <c r="Q2" s="5" t="s">
        <v>383</v>
      </c>
      <c r="R2" s="49" t="s">
        <v>171</v>
      </c>
      <c r="S2" s="49" t="s">
        <v>218</v>
      </c>
      <c r="T2" s="5" t="s">
        <v>386</v>
      </c>
      <c r="U2" s="49" t="s">
        <v>187</v>
      </c>
      <c r="V2" s="5" t="s">
        <v>383</v>
      </c>
    </row>
    <row r="3" spans="1:33" ht="75" customHeight="1">
      <c r="C3" s="51" t="s">
        <v>373</v>
      </c>
      <c r="D3" s="65" t="s">
        <v>301</v>
      </c>
      <c r="E3" s="65" t="s">
        <v>271</v>
      </c>
      <c r="F3" s="65" t="s">
        <v>287</v>
      </c>
      <c r="G3" s="65" t="s">
        <v>229</v>
      </c>
      <c r="H3" s="65" t="s">
        <v>232</v>
      </c>
      <c r="I3" s="65" t="s">
        <v>231</v>
      </c>
      <c r="J3" s="65" t="s">
        <v>3</v>
      </c>
      <c r="K3" s="65" t="s">
        <v>4</v>
      </c>
      <c r="L3" s="65" t="s">
        <v>233</v>
      </c>
      <c r="M3" s="65" t="s">
        <v>234</v>
      </c>
      <c r="N3" s="65" t="s">
        <v>294</v>
      </c>
      <c r="O3" s="65" t="s">
        <v>282</v>
      </c>
      <c r="P3" s="65" t="s">
        <v>10</v>
      </c>
      <c r="Q3" s="65" t="s">
        <v>293</v>
      </c>
      <c r="R3" s="65" t="s">
        <v>235</v>
      </c>
      <c r="S3" s="65" t="s">
        <v>236</v>
      </c>
      <c r="T3" s="65" t="s">
        <v>17</v>
      </c>
      <c r="U3" s="65" t="s">
        <v>237</v>
      </c>
      <c r="V3" s="65" t="s">
        <v>230</v>
      </c>
      <c r="W3" s="56" t="s">
        <v>367</v>
      </c>
      <c r="X3" s="66"/>
      <c r="Y3" s="66"/>
      <c r="Z3" s="66"/>
      <c r="AA3" s="66"/>
      <c r="AB3" s="66"/>
      <c r="AC3" s="59" t="s">
        <v>374</v>
      </c>
      <c r="AD3" s="67"/>
      <c r="AE3" s="67"/>
      <c r="AF3" s="67"/>
      <c r="AG3" s="67"/>
    </row>
    <row r="4" spans="1:33" ht="15.75">
      <c r="A4" s="693"/>
      <c r="B4" s="187"/>
      <c r="C4" s="67" t="s">
        <v>335</v>
      </c>
      <c r="D4" s="66">
        <f>VLOOKUP('AggrStep1-energy'!$C4,'Energia PJ'!$B$2:$V$61,D$1,FALSE)</f>
        <v>0</v>
      </c>
      <c r="E4" s="66">
        <f>VLOOKUP('AggrStep1-energy'!$C4,'Energia PJ'!$B$2:$V$61,E$1,FALSE)</f>
        <v>0</v>
      </c>
      <c r="F4" s="66">
        <f>VLOOKUP('AggrStep1-energy'!$C4,'Energia PJ'!$B$2:$V$61,F$1,FALSE)</f>
        <v>0</v>
      </c>
      <c r="G4" s="66">
        <f>VLOOKUP('AggrStep1-energy'!$C4,'Energia PJ'!$B$2:$V$61,G$1,FALSE)</f>
        <v>0</v>
      </c>
      <c r="H4" s="66">
        <f>VLOOKUP('AggrStep1-energy'!$C4,'Energia PJ'!$B$2:$V$61,H$1,FALSE)</f>
        <v>0</v>
      </c>
      <c r="I4" s="66">
        <f>VLOOKUP('AggrStep1-energy'!$C4,'Energia PJ'!$B$2:$V$61,I$1,FALSE)</f>
        <v>0</v>
      </c>
      <c r="J4" s="66">
        <f>VLOOKUP('AggrStep1-energy'!$C4,'Energia PJ'!$B$2:$V$61,J$1,FALSE)</f>
        <v>0</v>
      </c>
      <c r="K4" s="66">
        <f>VLOOKUP('AggrStep1-energy'!$C4,'Energia PJ'!$B$2:$V$61,K$1,FALSE)</f>
        <v>1.7729999999999999</v>
      </c>
      <c r="L4" s="66">
        <f>VLOOKUP('AggrStep1-energy'!$C4,'Energia PJ'!$B$2:$V$61,L$1,FALSE)</f>
        <v>0</v>
      </c>
      <c r="M4" s="66">
        <f>VLOOKUP('AggrStep1-energy'!$C4,'Energia PJ'!$B$2:$V$61,M$1,FALSE)</f>
        <v>0</v>
      </c>
      <c r="N4" s="66">
        <f>VLOOKUP('AggrStep1-energy'!$C4,'Energia PJ'!$B$2:$V$61,N$1,FALSE)</f>
        <v>0</v>
      </c>
      <c r="O4" s="66">
        <f>VLOOKUP('AggrStep1-energy'!$C4,'Energia PJ'!$B$2:$V$61,O$1,FALSE)</f>
        <v>0</v>
      </c>
      <c r="P4" s="66">
        <f>VLOOKUP('AggrStep1-energy'!$C4,'Energia PJ'!$B$2:$V$61,P$1,FALSE)</f>
        <v>0</v>
      </c>
      <c r="Q4" s="66">
        <f>VLOOKUP('AggrStep1-energy'!$C4,'Energia PJ'!$B$2:$V$61,Q$1,FALSE)</f>
        <v>0</v>
      </c>
      <c r="R4" s="66">
        <f>VLOOKUP('AggrStep1-energy'!$C4,'Energia PJ'!$B$2:$V$61,R$1,FALSE)</f>
        <v>0</v>
      </c>
      <c r="S4" s="66">
        <f>VLOOKUP('AggrStep1-energy'!$C4,'Energia PJ'!$B$2:$V$61,S$1,FALSE)</f>
        <v>0</v>
      </c>
      <c r="T4" s="66">
        <f>VLOOKUP('AggrStep1-energy'!$C4,'Energia PJ'!$B$2:$V$61,T$1,FALSE)</f>
        <v>0</v>
      </c>
      <c r="U4" s="66">
        <f>VLOOKUP('AggrStep1-energy'!$C4,'Energia PJ'!$B$2:$V$61,U$1,FALSE)</f>
        <v>0</v>
      </c>
      <c r="V4" s="66">
        <f>VLOOKUP('AggrStep1-energy'!$C4,'Energia PJ'!$B$2:$V$61,V$1,FALSE)</f>
        <v>0</v>
      </c>
      <c r="W4" s="56">
        <f t="shared" ref="W4:W29" si="0">SUM(D4:V4)</f>
        <v>1.7729999999999999</v>
      </c>
      <c r="X4" s="66"/>
      <c r="Y4" s="66"/>
      <c r="Z4" s="66"/>
      <c r="AA4" s="66"/>
      <c r="AB4" s="66"/>
      <c r="AC4" s="68"/>
      <c r="AD4" s="60" t="s">
        <v>2</v>
      </c>
      <c r="AE4" s="69" t="s">
        <v>242</v>
      </c>
      <c r="AF4" s="66"/>
      <c r="AG4" s="66"/>
    </row>
    <row r="5" spans="1:33" ht="15.75">
      <c r="A5" s="693"/>
      <c r="B5" s="187"/>
      <c r="C5" s="67" t="s">
        <v>329</v>
      </c>
      <c r="D5" s="66">
        <f>VLOOKUP('AggrStep1-energy'!$C5,'Energia PJ'!$B$2:$V$61,D$1,FALSE)</f>
        <v>0</v>
      </c>
      <c r="E5" s="66">
        <f>VLOOKUP('AggrStep1-energy'!$C5,'Energia PJ'!$B$2:$V$61,E$1,FALSE)</f>
        <v>4.2556149999999988</v>
      </c>
      <c r="F5" s="66">
        <f>VLOOKUP('AggrStep1-energy'!$C5,'Energia PJ'!$B$2:$V$61,F$1,FALSE)</f>
        <v>94.208432999999999</v>
      </c>
      <c r="G5" s="66">
        <f>VLOOKUP('AggrStep1-energy'!$C5,'Energia PJ'!$B$2:$V$61,G$1,FALSE)</f>
        <v>1.0112719999999999</v>
      </c>
      <c r="H5" s="66">
        <f>VLOOKUP('AggrStep1-energy'!$C5,'Energia PJ'!$B$2:$V$61,H$1,FALSE)</f>
        <v>0</v>
      </c>
      <c r="I5" s="66">
        <f>VLOOKUP('AggrStep1-energy'!$C5,'Energia PJ'!$B$2:$V$61,I$1,FALSE)</f>
        <v>5.9778859999999998</v>
      </c>
      <c r="J5" s="66">
        <f>VLOOKUP('AggrStep1-energy'!$C5,'Energia PJ'!$B$2:$V$61,J$1,FALSE)</f>
        <v>35.364891</v>
      </c>
      <c r="K5" s="66">
        <f>VLOOKUP('AggrStep1-energy'!$C5,'Energia PJ'!$B$2:$V$61,K$1,FALSE)</f>
        <v>376.97500000000002</v>
      </c>
      <c r="L5" s="66">
        <f>VLOOKUP('AggrStep1-energy'!$C5,'Energia PJ'!$B$2:$V$61,L$1,FALSE)</f>
        <v>0</v>
      </c>
      <c r="M5" s="66">
        <f>VLOOKUP('AggrStep1-energy'!$C5,'Energia PJ'!$B$2:$V$61,M$1,FALSE)</f>
        <v>0.38100000000000001</v>
      </c>
      <c r="N5" s="66">
        <f>VLOOKUP('AggrStep1-energy'!$C5,'Energia PJ'!$B$2:$V$61,N$1,FALSE)</f>
        <v>30.583707</v>
      </c>
      <c r="O5" s="66">
        <f>VLOOKUP('AggrStep1-energy'!$C5,'Energia PJ'!$B$2:$V$61,O$1,FALSE)</f>
        <v>0</v>
      </c>
      <c r="P5" s="66">
        <f>VLOOKUP('AggrStep1-energy'!$C5,'Energia PJ'!$B$2:$V$61,P$1,FALSE)</f>
        <v>178.715</v>
      </c>
      <c r="Q5" s="66">
        <f>VLOOKUP('AggrStep1-energy'!$C5,'Energia PJ'!$B$2:$V$61,Q$1,FALSE)</f>
        <v>0.85200500000000001</v>
      </c>
      <c r="R5" s="66">
        <f>VLOOKUP('AggrStep1-energy'!$C5,'Energia PJ'!$B$2:$V$61,R$1,FALSE)</f>
        <v>0</v>
      </c>
      <c r="S5" s="66">
        <f>VLOOKUP('AggrStep1-energy'!$C5,'Energia PJ'!$B$2:$V$61,S$1,FALSE)</f>
        <v>0</v>
      </c>
      <c r="T5" s="66">
        <f>VLOOKUP('AggrStep1-energy'!$C5,'Energia PJ'!$B$2:$V$61,T$1,FALSE)</f>
        <v>0</v>
      </c>
      <c r="U5" s="66">
        <f>VLOOKUP('AggrStep1-energy'!$C5,'Energia PJ'!$B$2:$V$61,U$1,FALSE)</f>
        <v>0</v>
      </c>
      <c r="V5" s="66">
        <f>VLOOKUP('AggrStep1-energy'!$C5,'Energia PJ'!$B$2:$V$61,V$1,FALSE)</f>
        <v>0</v>
      </c>
      <c r="W5" s="56">
        <f t="shared" si="0"/>
        <v>728.32480899999996</v>
      </c>
      <c r="X5" s="66"/>
      <c r="Y5" s="66"/>
      <c r="Z5" s="66"/>
      <c r="AA5" s="66"/>
      <c r="AB5" s="66"/>
      <c r="AC5" s="70" t="s">
        <v>197</v>
      </c>
      <c r="AD5" s="66">
        <v>787437.35400000005</v>
      </c>
      <c r="AE5" s="71">
        <f>AD5/$AD$7</f>
        <v>0.97129257105125733</v>
      </c>
      <c r="AF5" s="66"/>
      <c r="AG5" s="66"/>
    </row>
    <row r="6" spans="1:33" ht="15.75">
      <c r="A6" s="693"/>
      <c r="B6" s="187"/>
      <c r="C6" s="67" t="s">
        <v>338</v>
      </c>
      <c r="D6" s="66">
        <f>VLOOKUP('AggrStep1-energy'!$C6,'Energia PJ'!$B$2:$V$61,D$1,FALSE)</f>
        <v>0</v>
      </c>
      <c r="E6" s="66">
        <f>VLOOKUP('AggrStep1-energy'!$C6,'Energia PJ'!$B$2:$V$61,E$1,FALSE)</f>
        <v>0</v>
      </c>
      <c r="F6" s="66">
        <f>VLOOKUP('AggrStep1-energy'!$C6,'Energia PJ'!$B$2:$V$61,F$1,FALSE)</f>
        <v>0</v>
      </c>
      <c r="G6" s="66">
        <f>VLOOKUP('AggrStep1-energy'!$C6,'Energia PJ'!$B$2:$V$61,G$1,FALSE)</f>
        <v>2.9323039999999998</v>
      </c>
      <c r="H6" s="66">
        <f>VLOOKUP('AggrStep1-energy'!$C6,'Energia PJ'!$B$2:$V$61,H$1,FALSE)</f>
        <v>65.126006000000004</v>
      </c>
      <c r="I6" s="66">
        <f>VLOOKUP('AggrStep1-energy'!$C6,'Energia PJ'!$B$2:$V$61,I$1,FALSE)</f>
        <v>2.2635710000000002</v>
      </c>
      <c r="J6" s="66">
        <f>VLOOKUP('AggrStep1-energy'!$C6,'Energia PJ'!$B$2:$V$61,J$1,FALSE)</f>
        <v>0.88261100000000003</v>
      </c>
      <c r="K6" s="66">
        <f>VLOOKUP('AggrStep1-energy'!$C6,'Energia PJ'!$B$2:$V$61,K$1,FALSE)</f>
        <v>21.582000000000001</v>
      </c>
      <c r="L6" s="66">
        <f>VLOOKUP('AggrStep1-energy'!$C6,'Energia PJ'!$B$2:$V$61,L$1,FALSE)</f>
        <v>0</v>
      </c>
      <c r="M6" s="66">
        <f>VLOOKUP('AggrStep1-energy'!$C6,'Energia PJ'!$B$2:$V$61,M$1,FALSE)</f>
        <v>0</v>
      </c>
      <c r="N6" s="66">
        <f>VLOOKUP('AggrStep1-energy'!$C6,'Energia PJ'!$B$2:$V$61,N$1,FALSE)</f>
        <v>6.2030000000000002E-3</v>
      </c>
      <c r="O6" s="66">
        <f>VLOOKUP('AggrStep1-energy'!$C6,'Energia PJ'!$B$2:$V$61,O$1,FALSE)</f>
        <v>0</v>
      </c>
      <c r="P6" s="66">
        <f>VLOOKUP('AggrStep1-energy'!$C6,'Energia PJ'!$B$2:$V$61,P$1,FALSE)</f>
        <v>115.285</v>
      </c>
      <c r="Q6" s="66">
        <f>VLOOKUP('AggrStep1-energy'!$C6,'Energia PJ'!$B$2:$V$61,Q$1,FALSE)</f>
        <v>0</v>
      </c>
      <c r="R6" s="66">
        <f>VLOOKUP('AggrStep1-energy'!$C6,'Energia PJ'!$B$2:$V$61,R$1,FALSE)</f>
        <v>0</v>
      </c>
      <c r="S6" s="66">
        <f>VLOOKUP('AggrStep1-energy'!$C6,'Energia PJ'!$B$2:$V$61,S$1,FALSE)</f>
        <v>0</v>
      </c>
      <c r="T6" s="66">
        <f>VLOOKUP('AggrStep1-energy'!$C6,'Energia PJ'!$B$2:$V$61,T$1,FALSE)</f>
        <v>0</v>
      </c>
      <c r="U6" s="66">
        <f>VLOOKUP('AggrStep1-energy'!$C6,'Energia PJ'!$B$2:$V$61,U$1,FALSE)</f>
        <v>0</v>
      </c>
      <c r="V6" s="66">
        <f>VLOOKUP('AggrStep1-energy'!$C6,'Energia PJ'!$B$2:$V$61,V$1,FALSE)</f>
        <v>0</v>
      </c>
      <c r="W6" s="56">
        <f t="shared" si="0"/>
        <v>208.07769500000001</v>
      </c>
      <c r="X6" s="66"/>
      <c r="Y6" s="66"/>
      <c r="Z6" s="66"/>
      <c r="AA6" s="66"/>
      <c r="AB6" s="66"/>
      <c r="AC6" s="70" t="s">
        <v>198</v>
      </c>
      <c r="AD6" s="66">
        <v>23273.422000000002</v>
      </c>
      <c r="AE6" s="71">
        <f>AD6/$AD$7</f>
        <v>2.870742894874263E-2</v>
      </c>
      <c r="AF6" s="66"/>
      <c r="AG6" s="66"/>
    </row>
    <row r="7" spans="1:33" ht="15.75">
      <c r="A7" s="693"/>
      <c r="B7" s="187"/>
      <c r="C7" s="67" t="s">
        <v>337</v>
      </c>
      <c r="D7" s="66">
        <f>VLOOKUP('AggrStep1-energy'!$C7,'Energia PJ'!$B$2:$V$61,D$1,FALSE)</f>
        <v>0</v>
      </c>
      <c r="E7" s="66">
        <f>VLOOKUP('AggrStep1-energy'!$C7,'Energia PJ'!$B$2:$V$61,E$1,FALSE)</f>
        <v>0</v>
      </c>
      <c r="F7" s="66">
        <f>VLOOKUP('AggrStep1-energy'!$C7,'Energia PJ'!$B$2:$V$61,F$1,FALSE)</f>
        <v>5.8601640000000002</v>
      </c>
      <c r="G7" s="66">
        <f>VLOOKUP('AggrStep1-energy'!$C7,'Energia PJ'!$B$2:$V$61,G$1,FALSE)</f>
        <v>1.4900869999999999</v>
      </c>
      <c r="H7" s="66">
        <f>VLOOKUP('AggrStep1-energy'!$C7,'Energia PJ'!$B$2:$V$61,H$1,FALSE)</f>
        <v>0</v>
      </c>
      <c r="I7" s="66">
        <f>VLOOKUP('AggrStep1-energy'!$C7,'Energia PJ'!$B$2:$V$61,I$1,FALSE)</f>
        <v>100.994443</v>
      </c>
      <c r="J7" s="66">
        <f>VLOOKUP('AggrStep1-energy'!$C7,'Energia PJ'!$B$2:$V$61,J$1,FALSE)</f>
        <v>0.26655099999999998</v>
      </c>
      <c r="K7" s="66">
        <f>VLOOKUP('AggrStep1-energy'!$C7,'Energia PJ'!$B$2:$V$61,K$1,FALSE)</f>
        <v>36.133000000000003</v>
      </c>
      <c r="L7" s="66">
        <f>VLOOKUP('AggrStep1-energy'!$C7,'Energia PJ'!$B$2:$V$61,L$1,FALSE)</f>
        <v>0</v>
      </c>
      <c r="M7" s="66">
        <f>VLOOKUP('AggrStep1-energy'!$C7,'Energia PJ'!$B$2:$V$61,M$1,FALSE)</f>
        <v>0</v>
      </c>
      <c r="N7" s="66">
        <f>VLOOKUP('AggrStep1-energy'!$C7,'Energia PJ'!$B$2:$V$61,N$1,FALSE)</f>
        <v>4.0000000000000003E-5</v>
      </c>
      <c r="O7" s="66">
        <f>VLOOKUP('AggrStep1-energy'!$C7,'Energia PJ'!$B$2:$V$61,O$1,FALSE)</f>
        <v>0</v>
      </c>
      <c r="P7" s="66">
        <f>VLOOKUP('AggrStep1-energy'!$C7,'Energia PJ'!$B$2:$V$61,P$1,FALSE)</f>
        <v>4.4249999999999998</v>
      </c>
      <c r="Q7" s="66">
        <f>VLOOKUP('AggrStep1-energy'!$C7,'Energia PJ'!$B$2:$V$61,Q$1,FALSE)</f>
        <v>0</v>
      </c>
      <c r="R7" s="66">
        <f>VLOOKUP('AggrStep1-energy'!$C7,'Energia PJ'!$B$2:$V$61,R$1,FALSE)</f>
        <v>0</v>
      </c>
      <c r="S7" s="66">
        <f>VLOOKUP('AggrStep1-energy'!$C7,'Energia PJ'!$B$2:$V$61,S$1,FALSE)</f>
        <v>0</v>
      </c>
      <c r="T7" s="66">
        <f>VLOOKUP('AggrStep1-energy'!$C7,'Energia PJ'!$B$2:$V$61,T$1,FALSE)</f>
        <v>0</v>
      </c>
      <c r="U7" s="66">
        <f>VLOOKUP('AggrStep1-energy'!$C7,'Energia PJ'!$B$2:$V$61,U$1,FALSE)</f>
        <v>0</v>
      </c>
      <c r="V7" s="66">
        <f>VLOOKUP('AggrStep1-energy'!$C7,'Energia PJ'!$B$2:$V$61,V$1,FALSE)</f>
        <v>0</v>
      </c>
      <c r="W7" s="56">
        <f t="shared" si="0"/>
        <v>149.16928500000003</v>
      </c>
      <c r="X7" s="66"/>
      <c r="Y7" s="66"/>
      <c r="Z7" s="66"/>
      <c r="AA7" s="66"/>
      <c r="AB7" s="66"/>
      <c r="AC7" s="61" t="s">
        <v>7</v>
      </c>
      <c r="AD7" s="56">
        <f>AD5+AD6</f>
        <v>810710.77600000007</v>
      </c>
      <c r="AE7" s="62">
        <f>AD7/$AD$7</f>
        <v>1</v>
      </c>
      <c r="AF7" s="66"/>
      <c r="AG7" s="66"/>
    </row>
    <row r="8" spans="1:33" ht="15.75">
      <c r="A8" s="693"/>
      <c r="B8" s="187"/>
      <c r="C8" s="67" t="s">
        <v>336</v>
      </c>
      <c r="D8" s="66">
        <f>VLOOKUP('AggrStep1-energy'!$C8,'Energia PJ'!$B$2:$V$61,D$1,FALSE)</f>
        <v>0</v>
      </c>
      <c r="E8" s="66">
        <f>VLOOKUP('AggrStep1-energy'!$C8,'Energia PJ'!$B$2:$V$61,E$1,FALSE)</f>
        <v>59.526828000000002</v>
      </c>
      <c r="F8" s="66">
        <f>VLOOKUP('AggrStep1-energy'!$C8,'Energia PJ'!$B$2:$V$61,F$1,FALSE)</f>
        <v>0</v>
      </c>
      <c r="G8" s="66">
        <f>VLOOKUP('AggrStep1-energy'!$C8,'Energia PJ'!$B$2:$V$61,G$1,FALSE)</f>
        <v>3.4816769999999999</v>
      </c>
      <c r="H8" s="66">
        <f>VLOOKUP('AggrStep1-energy'!$C8,'Energia PJ'!$B$2:$V$61,H$1,FALSE)</f>
        <v>0</v>
      </c>
      <c r="I8" s="66">
        <f>VLOOKUP('AggrStep1-energy'!$C8,'Energia PJ'!$B$2:$V$61,I$1,FALSE)</f>
        <v>0</v>
      </c>
      <c r="J8" s="66">
        <f>VLOOKUP('AggrStep1-energy'!$C8,'Energia PJ'!$B$2:$V$61,J$1,FALSE)</f>
        <v>0</v>
      </c>
      <c r="K8" s="66">
        <f>VLOOKUP('AggrStep1-energy'!$C8,'Energia PJ'!$B$2:$V$61,K$1,FALSE)</f>
        <v>4.1449999999999996</v>
      </c>
      <c r="L8" s="66">
        <f>VLOOKUP('AggrStep1-energy'!$C8,'Energia PJ'!$B$2:$V$61,L$1,FALSE)</f>
        <v>0</v>
      </c>
      <c r="M8" s="66">
        <f>VLOOKUP('AggrStep1-energy'!$C8,'Energia PJ'!$B$2:$V$61,M$1,FALSE)</f>
        <v>0</v>
      </c>
      <c r="N8" s="66">
        <f>VLOOKUP('AggrStep1-energy'!$C8,'Energia PJ'!$B$2:$V$61,N$1,FALSE)</f>
        <v>2.5599999999999999E-4</v>
      </c>
      <c r="O8" s="66">
        <f>VLOOKUP('AggrStep1-energy'!$C8,'Energia PJ'!$B$2:$V$61,O$1,FALSE)</f>
        <v>0</v>
      </c>
      <c r="P8" s="66">
        <f>VLOOKUP('AggrStep1-energy'!$C8,'Energia PJ'!$B$2:$V$61,P$1,FALSE)</f>
        <v>0</v>
      </c>
      <c r="Q8" s="66">
        <f>VLOOKUP('AggrStep1-energy'!$C8,'Energia PJ'!$B$2:$V$61,Q$1,FALSE)</f>
        <v>0</v>
      </c>
      <c r="R8" s="66">
        <f>VLOOKUP('AggrStep1-energy'!$C8,'Energia PJ'!$B$2:$V$61,R$1,FALSE)</f>
        <v>0</v>
      </c>
      <c r="S8" s="66">
        <f>VLOOKUP('AggrStep1-energy'!$C8,'Energia PJ'!$B$2:$V$61,S$1,FALSE)</f>
        <v>0</v>
      </c>
      <c r="T8" s="66">
        <f>VLOOKUP('AggrStep1-energy'!$C8,'Energia PJ'!$B$2:$V$61,T$1,FALSE)</f>
        <v>0</v>
      </c>
      <c r="U8" s="66">
        <f>VLOOKUP('AggrStep1-energy'!$C8,'Energia PJ'!$B$2:$V$61,U$1,FALSE)</f>
        <v>0</v>
      </c>
      <c r="V8" s="66">
        <f>VLOOKUP('AggrStep1-energy'!$C8,'Energia PJ'!$B$2:$V$61,V$1,FALSE)</f>
        <v>0</v>
      </c>
      <c r="W8" s="56">
        <f t="shared" si="0"/>
        <v>67.153760999999989</v>
      </c>
      <c r="X8" s="66"/>
      <c r="Y8" s="66"/>
      <c r="Z8" s="66"/>
      <c r="AA8" s="66"/>
      <c r="AB8" s="66"/>
      <c r="AC8" s="66"/>
      <c r="AD8" s="66"/>
      <c r="AE8" s="66"/>
      <c r="AF8" s="66"/>
      <c r="AG8" s="66"/>
    </row>
    <row r="9" spans="1:33" ht="15.75">
      <c r="A9" s="693"/>
      <c r="B9" s="187"/>
      <c r="C9" s="613" t="s">
        <v>286</v>
      </c>
      <c r="D9" s="66">
        <f>VLOOKUP('AggrStep1-energy'!$C9,'Energia PJ'!$B$2:$V$61,D$1,FALSE)</f>
        <v>0</v>
      </c>
      <c r="E9" s="66">
        <f>VLOOKUP('AggrStep1-energy'!$C9,'Energia PJ'!$B$2:$V$61,E$1,FALSE)</f>
        <v>0</v>
      </c>
      <c r="F9" s="66">
        <f>VLOOKUP('AggrStep1-energy'!$C9,'Energia PJ'!$B$2:$V$61,F$1,FALSE)</f>
        <v>0</v>
      </c>
      <c r="G9" s="66">
        <f>VLOOKUP('AggrStep1-energy'!$C9,'Energia PJ'!$B$2:$V$61,G$1,FALSE)</f>
        <v>9.5646999999999996E-2</v>
      </c>
      <c r="H9" s="66">
        <f>VLOOKUP('AggrStep1-energy'!$C9,'Energia PJ'!$B$2:$V$61,H$1,FALSE)</f>
        <v>0</v>
      </c>
      <c r="I9" s="66">
        <f>VLOOKUP('AggrStep1-energy'!$C9,'Energia PJ'!$B$2:$V$61,I$1,FALSE)</f>
        <v>0</v>
      </c>
      <c r="J9" s="66">
        <f>VLOOKUP('AggrStep1-energy'!$C9,'Energia PJ'!$B$2:$V$61,J$1,FALSE)</f>
        <v>0.43508999999999998</v>
      </c>
      <c r="K9" s="66">
        <f>VLOOKUP('AggrStep1-energy'!$C9,'Energia PJ'!$B$2:$V$61,K$1,FALSE)</f>
        <v>5.117</v>
      </c>
      <c r="L9" s="66">
        <f>VLOOKUP('AggrStep1-energy'!$C9,'Energia PJ'!$B$2:$V$61,L$1,FALSE)</f>
        <v>0</v>
      </c>
      <c r="M9" s="66">
        <f>VLOOKUP('AggrStep1-energy'!$C9,'Energia PJ'!$B$2:$V$61,M$1,FALSE)</f>
        <v>0</v>
      </c>
      <c r="N9" s="66">
        <f>VLOOKUP('AggrStep1-energy'!$C9,'Energia PJ'!$B$2:$V$61,N$1,FALSE)</f>
        <v>0</v>
      </c>
      <c r="O9" s="66">
        <f>VLOOKUP('AggrStep1-energy'!$C9,'Energia PJ'!$B$2:$V$61,O$1,FALSE)</f>
        <v>0</v>
      </c>
      <c r="P9" s="66">
        <f>VLOOKUP('AggrStep1-energy'!$C9,'Energia PJ'!$B$2:$V$61,P$1,FALSE)</f>
        <v>110.779</v>
      </c>
      <c r="Q9" s="66">
        <f>VLOOKUP('AggrStep1-energy'!$C9,'Energia PJ'!$B$2:$V$61,Q$1,FALSE)</f>
        <v>0</v>
      </c>
      <c r="R9" s="66">
        <f>VLOOKUP('AggrStep1-energy'!$C9,'Energia PJ'!$B$2:$V$61,R$1,FALSE)</f>
        <v>0</v>
      </c>
      <c r="S9" s="66">
        <f>VLOOKUP('AggrStep1-energy'!$C9,'Energia PJ'!$B$2:$V$61,S$1,FALSE)</f>
        <v>0</v>
      </c>
      <c r="T9" s="66">
        <f>VLOOKUP('AggrStep1-energy'!$C9,'Energia PJ'!$B$2:$V$61,T$1,FALSE)</f>
        <v>0</v>
      </c>
      <c r="U9" s="66">
        <f>VLOOKUP('AggrStep1-energy'!$C9,'Energia PJ'!$B$2:$V$61,U$1,FALSE)</f>
        <v>0</v>
      </c>
      <c r="V9" s="66">
        <f>VLOOKUP('AggrStep1-energy'!$C9,'Energia PJ'!$B$2:$V$61,V$1,FALSE)</f>
        <v>0</v>
      </c>
      <c r="W9" s="56">
        <f t="shared" si="0"/>
        <v>116.426737</v>
      </c>
      <c r="X9" s="66"/>
      <c r="Y9" s="66"/>
      <c r="Z9" s="66"/>
      <c r="AA9" s="66"/>
      <c r="AB9" s="66"/>
      <c r="AC9" s="66" t="s">
        <v>243</v>
      </c>
      <c r="AD9" s="66"/>
      <c r="AE9" s="66"/>
      <c r="AF9" s="66"/>
      <c r="AG9" s="66"/>
    </row>
    <row r="10" spans="1:33" ht="15.75">
      <c r="A10" s="693"/>
      <c r="B10" s="187"/>
      <c r="C10" s="67" t="s">
        <v>334</v>
      </c>
      <c r="D10" s="66">
        <f>VLOOKUP('AggrStep1-energy'!$C10,'Energia PJ'!$B$2:$V$61,D$1,FALSE)</f>
        <v>0</v>
      </c>
      <c r="E10" s="66">
        <f>VLOOKUP('AggrStep1-energy'!$C10,'Energia PJ'!$B$2:$V$61,E$1,FALSE)</f>
        <v>0</v>
      </c>
      <c r="F10" s="66">
        <f>VLOOKUP('AggrStep1-energy'!$C10,'Energia PJ'!$B$2:$V$61,F$1,FALSE)</f>
        <v>0</v>
      </c>
      <c r="G10" s="66">
        <f>VLOOKUP('AggrStep1-energy'!$C10,'Energia PJ'!$B$2:$V$61,G$1,FALSE)</f>
        <v>3.3719830000000002</v>
      </c>
      <c r="H10" s="66">
        <f>VLOOKUP('AggrStep1-energy'!$C10,'Energia PJ'!$B$2:$V$61,H$1,FALSE)</f>
        <v>0</v>
      </c>
      <c r="I10" s="66">
        <f>VLOOKUP('AggrStep1-energy'!$C10,'Energia PJ'!$B$2:$V$61,I$1,FALSE)</f>
        <v>1.9029609999999999</v>
      </c>
      <c r="J10" s="66">
        <f>VLOOKUP('AggrStep1-energy'!$C10,'Energia PJ'!$B$2:$V$61,J$1,FALSE)</f>
        <v>4.1992229999999999</v>
      </c>
      <c r="K10" s="66">
        <f>VLOOKUP('AggrStep1-energy'!$C10,'Energia PJ'!$B$2:$V$61,K$1,FALSE)</f>
        <v>17.125</v>
      </c>
      <c r="L10" s="66">
        <f>VLOOKUP('AggrStep1-energy'!$C10,'Energia PJ'!$B$2:$V$61,L$1,FALSE)</f>
        <v>0</v>
      </c>
      <c r="M10" s="66">
        <f>VLOOKUP('AggrStep1-energy'!$C10,'Energia PJ'!$B$2:$V$61,M$1,FALSE)</f>
        <v>0</v>
      </c>
      <c r="N10" s="66">
        <f>VLOOKUP('AggrStep1-energy'!$C10,'Energia PJ'!$B$2:$V$61,N$1,FALSE)</f>
        <v>0.83927700000000005</v>
      </c>
      <c r="O10" s="66">
        <f>VLOOKUP('AggrStep1-energy'!$C10,'Energia PJ'!$B$2:$V$61,O$1,FALSE)</f>
        <v>0</v>
      </c>
      <c r="P10" s="66">
        <f>VLOOKUP('AggrStep1-energy'!$C10,'Energia PJ'!$B$2:$V$61,P$1,FALSE)</f>
        <v>66.287999999999997</v>
      </c>
      <c r="Q10" s="66">
        <f>VLOOKUP('AggrStep1-energy'!$C10,'Energia PJ'!$B$2:$V$61,Q$1,FALSE)</f>
        <v>0</v>
      </c>
      <c r="R10" s="66">
        <f>VLOOKUP('AggrStep1-energy'!$C10,'Energia PJ'!$B$2:$V$61,R$1,FALSE)</f>
        <v>0</v>
      </c>
      <c r="S10" s="66">
        <f>VLOOKUP('AggrStep1-energy'!$C10,'Energia PJ'!$B$2:$V$61,S$1,FALSE)</f>
        <v>0</v>
      </c>
      <c r="T10" s="66">
        <f>VLOOKUP('AggrStep1-energy'!$C10,'Energia PJ'!$B$2:$V$61,T$1,FALSE)</f>
        <v>0</v>
      </c>
      <c r="U10" s="66">
        <f>VLOOKUP('AggrStep1-energy'!$C10,'Energia PJ'!$B$2:$V$61,U$1,FALSE)</f>
        <v>0</v>
      </c>
      <c r="V10" s="66">
        <f>VLOOKUP('AggrStep1-energy'!$C10,'Energia PJ'!$B$2:$V$61,V$1,FALSE)</f>
        <v>0</v>
      </c>
      <c r="W10" s="56">
        <f t="shared" si="0"/>
        <v>93.726444000000001</v>
      </c>
      <c r="X10" s="66"/>
      <c r="Y10" s="66"/>
      <c r="Z10" s="66"/>
      <c r="AA10" s="66"/>
      <c r="AB10" s="66"/>
      <c r="AC10" s="66"/>
      <c r="AD10" s="66"/>
      <c r="AE10" s="66"/>
      <c r="AF10" s="66"/>
      <c r="AG10" s="66"/>
    </row>
    <row r="11" spans="1:33" ht="15.75">
      <c r="A11" s="693"/>
      <c r="B11" s="187"/>
      <c r="C11" s="67" t="s">
        <v>333</v>
      </c>
      <c r="D11" s="66">
        <f>VLOOKUP('AggrStep1-energy'!$C11,'Energia PJ'!$B$2:$V$61,D$1,FALSE)</f>
        <v>0</v>
      </c>
      <c r="E11" s="66">
        <f>VLOOKUP('AggrStep1-energy'!$C11,'Energia PJ'!$B$2:$V$61,E$1,FALSE)</f>
        <v>0</v>
      </c>
      <c r="F11" s="66">
        <f>VLOOKUP('AggrStep1-energy'!$C11,'Energia PJ'!$B$2:$V$61,F$1,FALSE)</f>
        <v>0</v>
      </c>
      <c r="G11" s="66">
        <f>VLOOKUP('AggrStep1-energy'!$C11,'Energia PJ'!$B$2:$V$61,G$1,FALSE)</f>
        <v>2.2258830000000001</v>
      </c>
      <c r="H11" s="66">
        <f>VLOOKUP('AggrStep1-energy'!$C11,'Energia PJ'!$B$2:$V$61,H$1,FALSE)</f>
        <v>0</v>
      </c>
      <c r="I11" s="66">
        <f>VLOOKUP('AggrStep1-energy'!$C11,'Energia PJ'!$B$2:$V$61,I$1,FALSE)</f>
        <v>0</v>
      </c>
      <c r="J11" s="66">
        <f>VLOOKUP('AggrStep1-energy'!$C11,'Energia PJ'!$B$2:$V$61,J$1,FALSE)</f>
        <v>4.3686129999999999</v>
      </c>
      <c r="K11" s="66">
        <f>VLOOKUP('AggrStep1-energy'!$C11,'Energia PJ'!$B$2:$V$61,K$1,FALSE)</f>
        <v>36.293999999999997</v>
      </c>
      <c r="L11" s="66">
        <f>VLOOKUP('AggrStep1-energy'!$C11,'Energia PJ'!$B$2:$V$61,L$1,FALSE)</f>
        <v>0</v>
      </c>
      <c r="M11" s="66">
        <f>VLOOKUP('AggrStep1-energy'!$C11,'Energia PJ'!$B$2:$V$61,M$1,FALSE)</f>
        <v>0</v>
      </c>
      <c r="N11" s="66">
        <f>VLOOKUP('AggrStep1-energy'!$C11,'Energia PJ'!$B$2:$V$61,N$1,FALSE)</f>
        <v>9.3198019999999993</v>
      </c>
      <c r="O11" s="66">
        <f>VLOOKUP('AggrStep1-energy'!$C11,'Energia PJ'!$B$2:$V$61,O$1,FALSE)</f>
        <v>0</v>
      </c>
      <c r="P11" s="66">
        <f>VLOOKUP('AggrStep1-energy'!$C11,'Energia PJ'!$B$2:$V$61,P$1,FALSE)</f>
        <v>9.2739999999999991</v>
      </c>
      <c r="Q11" s="66">
        <f>VLOOKUP('AggrStep1-energy'!$C11,'Energia PJ'!$B$2:$V$61,Q$1,FALSE)</f>
        <v>0</v>
      </c>
      <c r="R11" s="66">
        <f>VLOOKUP('AggrStep1-energy'!$C11,'Energia PJ'!$B$2:$V$61,R$1,FALSE)</f>
        <v>0</v>
      </c>
      <c r="S11" s="66">
        <f>VLOOKUP('AggrStep1-energy'!$C11,'Energia PJ'!$B$2:$V$61,S$1,FALSE)</f>
        <v>0</v>
      </c>
      <c r="T11" s="66">
        <f>VLOOKUP('AggrStep1-energy'!$C11,'Energia PJ'!$B$2:$V$61,T$1,FALSE)</f>
        <v>0</v>
      </c>
      <c r="U11" s="66">
        <f>VLOOKUP('AggrStep1-energy'!$C11,'Energia PJ'!$B$2:$V$61,U$1,FALSE)</f>
        <v>0</v>
      </c>
      <c r="V11" s="66">
        <f>VLOOKUP('AggrStep1-energy'!$C11,'Energia PJ'!$B$2:$V$61,V$1,FALSE)</f>
        <v>0</v>
      </c>
      <c r="W11" s="56">
        <f t="shared" si="0"/>
        <v>61.482298</v>
      </c>
      <c r="X11" s="66"/>
      <c r="Y11" s="66"/>
      <c r="Z11" s="66"/>
      <c r="AA11" s="66"/>
      <c r="AB11" s="66"/>
      <c r="AC11" s="66"/>
      <c r="AD11" s="66"/>
      <c r="AE11" s="66"/>
      <c r="AF11" s="66"/>
      <c r="AG11" s="66"/>
    </row>
    <row r="12" spans="1:33" ht="15.75">
      <c r="A12" s="693"/>
      <c r="B12" s="187"/>
      <c r="C12" s="67" t="s">
        <v>332</v>
      </c>
      <c r="D12" s="66">
        <f>VLOOKUP('AggrStep1-energy'!$C12,'Energia PJ'!$B$2:$V$61,D$1,FALSE)</f>
        <v>0</v>
      </c>
      <c r="E12" s="66">
        <f>VLOOKUP('AggrStep1-energy'!$C12,'Energia PJ'!$B$2:$V$61,E$1,FALSE)</f>
        <v>0</v>
      </c>
      <c r="F12" s="66">
        <f>VLOOKUP('AggrStep1-energy'!$C12,'Energia PJ'!$B$2:$V$61,F$1,FALSE)</f>
        <v>0</v>
      </c>
      <c r="G12" s="66">
        <f>VLOOKUP('AggrStep1-energy'!$C12,'Energia PJ'!$B$2:$V$61,G$1,FALSE)</f>
        <v>5.1573520000000004</v>
      </c>
      <c r="H12" s="66">
        <f>VLOOKUP('AggrStep1-energy'!$C12,'Energia PJ'!$B$2:$V$61,H$1,FALSE)</f>
        <v>0</v>
      </c>
      <c r="I12" s="66">
        <f>VLOOKUP('AggrStep1-energy'!$C12,'Energia PJ'!$B$2:$V$61,I$1,FALSE)</f>
        <v>0</v>
      </c>
      <c r="J12" s="66">
        <f>VLOOKUP('AggrStep1-energy'!$C12,'Energia PJ'!$B$2:$V$61,J$1,FALSE)</f>
        <v>1.29373</v>
      </c>
      <c r="K12" s="66">
        <f>VLOOKUP('AggrStep1-energy'!$C12,'Energia PJ'!$B$2:$V$61,K$1,FALSE)</f>
        <v>10.295999999999999</v>
      </c>
      <c r="L12" s="66">
        <f>VLOOKUP('AggrStep1-energy'!$C12,'Energia PJ'!$B$2:$V$61,L$1,FALSE)</f>
        <v>0</v>
      </c>
      <c r="M12" s="66">
        <f>VLOOKUP('AggrStep1-energy'!$C12,'Energia PJ'!$B$2:$V$61,M$1,FALSE)</f>
        <v>0</v>
      </c>
      <c r="N12" s="66">
        <f>VLOOKUP('AggrStep1-energy'!$C12,'Energia PJ'!$B$2:$V$61,N$1,FALSE)</f>
        <v>0.40593800000000002</v>
      </c>
      <c r="O12" s="66">
        <f>VLOOKUP('AggrStep1-energy'!$C12,'Energia PJ'!$B$2:$V$61,O$1,FALSE)</f>
        <v>0</v>
      </c>
      <c r="P12" s="66">
        <f>VLOOKUP('AggrStep1-energy'!$C12,'Energia PJ'!$B$2:$V$61,P$1,FALSE)</f>
        <v>32.664000000000001</v>
      </c>
      <c r="Q12" s="66">
        <f>VLOOKUP('AggrStep1-energy'!$C12,'Energia PJ'!$B$2:$V$61,Q$1,FALSE)</f>
        <v>0</v>
      </c>
      <c r="R12" s="66">
        <f>VLOOKUP('AggrStep1-energy'!$C12,'Energia PJ'!$B$2:$V$61,R$1,FALSE)</f>
        <v>0</v>
      </c>
      <c r="S12" s="66">
        <f>VLOOKUP('AggrStep1-energy'!$C12,'Energia PJ'!$B$2:$V$61,S$1,FALSE)</f>
        <v>0</v>
      </c>
      <c r="T12" s="66">
        <f>VLOOKUP('AggrStep1-energy'!$C12,'Energia PJ'!$B$2:$V$61,T$1,FALSE)</f>
        <v>0</v>
      </c>
      <c r="U12" s="66">
        <f>VLOOKUP('AggrStep1-energy'!$C12,'Energia PJ'!$B$2:$V$61,U$1,FALSE)</f>
        <v>0</v>
      </c>
      <c r="V12" s="66">
        <f>VLOOKUP('AggrStep1-energy'!$C12,'Energia PJ'!$B$2:$V$61,V$1,FALSE)</f>
        <v>0</v>
      </c>
      <c r="W12" s="56">
        <f t="shared" si="0"/>
        <v>49.817019999999999</v>
      </c>
      <c r="X12" s="66"/>
      <c r="Y12" s="66"/>
      <c r="Z12" s="66"/>
      <c r="AA12" s="66"/>
      <c r="AB12" s="66"/>
      <c r="AC12" s="66"/>
      <c r="AD12" s="66"/>
      <c r="AE12" s="66"/>
      <c r="AF12" s="66"/>
      <c r="AG12" s="66"/>
    </row>
    <row r="13" spans="1:33" ht="15.75">
      <c r="A13" s="693"/>
      <c r="B13" s="187"/>
      <c r="C13" s="67" t="s">
        <v>331</v>
      </c>
      <c r="D13" s="66">
        <f>VLOOKUP('AggrStep1-energy'!$C13,'Energia PJ'!$B$2:$V$61,D$1,FALSE)</f>
        <v>0</v>
      </c>
      <c r="E13" s="66">
        <f>VLOOKUP('AggrStep1-energy'!$C13,'Energia PJ'!$B$2:$V$61,E$1,FALSE)</f>
        <v>0</v>
      </c>
      <c r="F13" s="66">
        <f>VLOOKUP('AggrStep1-energy'!$C13,'Energia PJ'!$B$2:$V$61,F$1,FALSE)</f>
        <v>0</v>
      </c>
      <c r="G13" s="66">
        <f>VLOOKUP('AggrStep1-energy'!$C13,'Energia PJ'!$B$2:$V$61,G$1,FALSE)</f>
        <v>2.3273769999999998</v>
      </c>
      <c r="H13" s="66">
        <f>VLOOKUP('AggrStep1-energy'!$C13,'Energia PJ'!$B$2:$V$61,H$1,FALSE)</f>
        <v>0</v>
      </c>
      <c r="I13" s="66">
        <f>VLOOKUP('AggrStep1-energy'!$C13,'Energia PJ'!$B$2:$V$61,I$1,FALSE)</f>
        <v>6.2199999999999998E-3</v>
      </c>
      <c r="J13" s="66">
        <f>VLOOKUP('AggrStep1-energy'!$C13,'Energia PJ'!$B$2:$V$61,J$1,FALSE)</f>
        <v>0.152535</v>
      </c>
      <c r="K13" s="66">
        <f>VLOOKUP('AggrStep1-energy'!$C13,'Energia PJ'!$B$2:$V$61,K$1,FALSE)</f>
        <v>4.1779999999999999</v>
      </c>
      <c r="L13" s="66">
        <f>VLOOKUP('AggrStep1-energy'!$C13,'Energia PJ'!$B$2:$V$61,L$1,FALSE)</f>
        <v>0</v>
      </c>
      <c r="M13" s="66">
        <f>VLOOKUP('AggrStep1-energy'!$C13,'Energia PJ'!$B$2:$V$61,M$1,FALSE)</f>
        <v>0</v>
      </c>
      <c r="N13" s="66">
        <f>VLOOKUP('AggrStep1-energy'!$C13,'Energia PJ'!$B$2:$V$61,N$1,FALSE)</f>
        <v>0.14721300000000001</v>
      </c>
      <c r="O13" s="66">
        <f>VLOOKUP('AggrStep1-energy'!$C13,'Energia PJ'!$B$2:$V$61,O$1,FALSE)</f>
        <v>0</v>
      </c>
      <c r="P13" s="66">
        <f>VLOOKUP('AggrStep1-energy'!$C13,'Energia PJ'!$B$2:$V$61,P$1,FALSE)</f>
        <v>48.554000000000002</v>
      </c>
      <c r="Q13" s="66">
        <f>VLOOKUP('AggrStep1-energy'!$C13,'Energia PJ'!$B$2:$V$61,Q$1,FALSE)</f>
        <v>0</v>
      </c>
      <c r="R13" s="66">
        <f>VLOOKUP('AggrStep1-energy'!$C13,'Energia PJ'!$B$2:$V$61,R$1,FALSE)</f>
        <v>0</v>
      </c>
      <c r="S13" s="66">
        <f>VLOOKUP('AggrStep1-energy'!$C13,'Energia PJ'!$B$2:$V$61,S$1,FALSE)</f>
        <v>0</v>
      </c>
      <c r="T13" s="66">
        <f>VLOOKUP('AggrStep1-energy'!$C13,'Energia PJ'!$B$2:$V$61,T$1,FALSE)</f>
        <v>0</v>
      </c>
      <c r="U13" s="66">
        <f>VLOOKUP('AggrStep1-energy'!$C13,'Energia PJ'!$B$2:$V$61,U$1,FALSE)</f>
        <v>0</v>
      </c>
      <c r="V13" s="66">
        <f>VLOOKUP('AggrStep1-energy'!$C13,'Energia PJ'!$B$2:$V$61,V$1,FALSE)</f>
        <v>0</v>
      </c>
      <c r="W13" s="56">
        <f t="shared" si="0"/>
        <v>55.365345000000005</v>
      </c>
      <c r="X13" s="66"/>
      <c r="Y13" s="66"/>
      <c r="Z13" s="66"/>
      <c r="AA13" s="66"/>
      <c r="AB13" s="66"/>
      <c r="AC13" s="66"/>
      <c r="AD13" s="66"/>
      <c r="AE13" s="66"/>
      <c r="AF13" s="66"/>
      <c r="AG13" s="66"/>
    </row>
    <row r="14" spans="1:33" ht="18.75">
      <c r="A14" s="693"/>
      <c r="B14" s="187"/>
      <c r="C14" s="67" t="s">
        <v>328</v>
      </c>
      <c r="D14" s="66">
        <f>VLOOKUP('AggrStep1-energy'!$C14,'Energia PJ'!$B$2:$V$61,D$1,FALSE)</f>
        <v>0</v>
      </c>
      <c r="E14" s="66">
        <f>VLOOKUP('AggrStep1-energy'!$C14,'Energia PJ'!$B$2:$V$61,E$1,FALSE)</f>
        <v>0</v>
      </c>
      <c r="F14" s="66">
        <f>VLOOKUP('AggrStep1-energy'!$C14,'Energia PJ'!$B$2:$V$61,F$1,FALSE)</f>
        <v>0</v>
      </c>
      <c r="G14" s="66">
        <f>VLOOKUP('AggrStep1-energy'!$C14,'Energia PJ'!$B$2:$V$61,G$1,FALSE)</f>
        <v>2.080508</v>
      </c>
      <c r="H14" s="66">
        <f>VLOOKUP('AggrStep1-energy'!$C14,'Energia PJ'!$B$2:$V$61,H$1,FALSE)</f>
        <v>0</v>
      </c>
      <c r="I14" s="66">
        <f>VLOOKUP('AggrStep1-energy'!$C14,'Energia PJ'!$B$2:$V$61,I$1,FALSE)</f>
        <v>0</v>
      </c>
      <c r="J14" s="66">
        <f>VLOOKUP('AggrStep1-energy'!$C14,'Energia PJ'!$B$2:$V$61,J$1,FALSE)</f>
        <v>0.140374</v>
      </c>
      <c r="K14" s="66">
        <f>VLOOKUP('AggrStep1-energy'!$C14,'Energia PJ'!$B$2:$V$61,K$1,FALSE)</f>
        <v>3.6819999999999999</v>
      </c>
      <c r="L14" s="66">
        <f>VLOOKUP('AggrStep1-energy'!$C14,'Energia PJ'!$B$2:$V$61,L$1,FALSE)</f>
        <v>0</v>
      </c>
      <c r="M14" s="66">
        <f>VLOOKUP('AggrStep1-energy'!$C14,'Energia PJ'!$B$2:$V$61,M$1,FALSE)</f>
        <v>0</v>
      </c>
      <c r="N14" s="66">
        <f>VLOOKUP('AggrStep1-energy'!$C14,'Energia PJ'!$B$2:$V$61,N$1,FALSE)</f>
        <v>0.814222</v>
      </c>
      <c r="O14" s="66">
        <f>VLOOKUP('AggrStep1-energy'!$C14,'Energia PJ'!$B$2:$V$61,O$1,FALSE)</f>
        <v>0</v>
      </c>
      <c r="P14" s="66">
        <f>VLOOKUP('AggrStep1-energy'!$C14,'Energia PJ'!$B$2:$V$61,P$1,FALSE)</f>
        <v>15.255000000000001</v>
      </c>
      <c r="Q14" s="66">
        <f>VLOOKUP('AggrStep1-energy'!$C14,'Energia PJ'!$B$2:$V$61,Q$1,FALSE)</f>
        <v>0</v>
      </c>
      <c r="R14" s="66">
        <f>VLOOKUP('AggrStep1-energy'!$C14,'Energia PJ'!$B$2:$V$61,R$1,FALSE)</f>
        <v>0</v>
      </c>
      <c r="S14" s="66">
        <f>VLOOKUP('AggrStep1-energy'!$C14,'Energia PJ'!$B$2:$V$61,S$1,FALSE)</f>
        <v>0</v>
      </c>
      <c r="T14" s="66">
        <f>VLOOKUP('AggrStep1-energy'!$C14,'Energia PJ'!$B$2:$V$61,T$1,FALSE)</f>
        <v>0</v>
      </c>
      <c r="U14" s="66">
        <f>VLOOKUP('AggrStep1-energy'!$C14,'Energia PJ'!$B$2:$V$61,U$1,FALSE)</f>
        <v>0</v>
      </c>
      <c r="V14" s="66">
        <f>VLOOKUP('AggrStep1-energy'!$C14,'Energia PJ'!$B$2:$V$61,V$1,FALSE)</f>
        <v>0</v>
      </c>
      <c r="W14" s="56">
        <f t="shared" si="0"/>
        <v>21.972104000000002</v>
      </c>
      <c r="X14" s="52"/>
      <c r="Y14" s="52"/>
      <c r="Z14" s="52"/>
      <c r="AA14" s="52"/>
      <c r="AB14" s="52"/>
      <c r="AC14" s="4" t="s">
        <v>381</v>
      </c>
      <c r="AD14" s="52"/>
      <c r="AE14" s="52"/>
      <c r="AF14" s="52"/>
      <c r="AG14" s="52"/>
    </row>
    <row r="15" spans="1:33" ht="19.5" customHeight="1">
      <c r="A15" s="693"/>
      <c r="B15" s="187"/>
      <c r="C15" s="67" t="s">
        <v>326</v>
      </c>
      <c r="D15" s="66">
        <f>VLOOKUP('AggrStep1-energy'!$C15,'Energia PJ'!$B$2:$V$61,D$1,FALSE)</f>
        <v>0</v>
      </c>
      <c r="E15" s="66">
        <f>VLOOKUP('AggrStep1-energy'!$C15,'Energia PJ'!$B$2:$V$61,E$1,FALSE)</f>
        <v>0</v>
      </c>
      <c r="F15" s="66">
        <f>VLOOKUP('AggrStep1-energy'!$C15,'Energia PJ'!$B$2:$V$61,F$1,FALSE)</f>
        <v>0</v>
      </c>
      <c r="G15" s="66">
        <f>VLOOKUP('AggrStep1-energy'!$C15,'Energia PJ'!$B$2:$V$61,G$1,FALSE)</f>
        <v>0.67199600000000004</v>
      </c>
      <c r="H15" s="66">
        <f>VLOOKUP('AggrStep1-energy'!$C15,'Energia PJ'!$B$2:$V$61,H$1,FALSE)</f>
        <v>0</v>
      </c>
      <c r="I15" s="66">
        <f>VLOOKUP('AggrStep1-energy'!$C15,'Energia PJ'!$B$2:$V$61,I$1,FALSE)</f>
        <v>0</v>
      </c>
      <c r="J15" s="66">
        <f>VLOOKUP('AggrStep1-energy'!$C15,'Energia PJ'!$B$2:$V$61,J$1,FALSE)</f>
        <v>3.5512489999999999</v>
      </c>
      <c r="K15" s="66">
        <f>VLOOKUP('AggrStep1-energy'!$C15,'Energia PJ'!$B$2:$V$61,K$1,FALSE)</f>
        <v>3.0630000000000002</v>
      </c>
      <c r="L15" s="66">
        <f>VLOOKUP('AggrStep1-energy'!$C15,'Energia PJ'!$B$2:$V$61,L$1,FALSE)</f>
        <v>0</v>
      </c>
      <c r="M15" s="66">
        <f>VLOOKUP('AggrStep1-energy'!$C15,'Energia PJ'!$B$2:$V$61,M$1,FALSE)</f>
        <v>0</v>
      </c>
      <c r="N15" s="66">
        <f>VLOOKUP('AggrStep1-energy'!$C15,'Energia PJ'!$B$2:$V$61,N$1,FALSE)</f>
        <v>1.283507</v>
      </c>
      <c r="O15" s="66">
        <f>VLOOKUP('AggrStep1-energy'!$C15,'Energia PJ'!$B$2:$V$61,O$1,FALSE)</f>
        <v>0</v>
      </c>
      <c r="P15" s="66">
        <f>VLOOKUP('AggrStep1-energy'!$C15,'Energia PJ'!$B$2:$V$61,P$1,FALSE)</f>
        <v>0.96099999999999997</v>
      </c>
      <c r="Q15" s="66">
        <f>VLOOKUP('AggrStep1-energy'!$C15,'Energia PJ'!$B$2:$V$61,Q$1,FALSE)</f>
        <v>0</v>
      </c>
      <c r="R15" s="66">
        <f>VLOOKUP('AggrStep1-energy'!$C15,'Energia PJ'!$B$2:$V$61,R$1,FALSE)</f>
        <v>0</v>
      </c>
      <c r="S15" s="66">
        <f>VLOOKUP('AggrStep1-energy'!$C15,'Energia PJ'!$B$2:$V$61,S$1,FALSE)</f>
        <v>0</v>
      </c>
      <c r="T15" s="66">
        <f>VLOOKUP('AggrStep1-energy'!$C15,'Energia PJ'!$B$2:$V$61,T$1,FALSE)</f>
        <v>0</v>
      </c>
      <c r="U15" s="66">
        <f>VLOOKUP('AggrStep1-energy'!$C15,'Energia PJ'!$B$2:$V$61,U$1,FALSE)</f>
        <v>0</v>
      </c>
      <c r="V15" s="66">
        <f>VLOOKUP('AggrStep1-energy'!$C15,'Energia PJ'!$B$2:$V$61,V$1,FALSE)</f>
        <v>0</v>
      </c>
      <c r="W15" s="56">
        <f t="shared" si="0"/>
        <v>9.5307520000000014</v>
      </c>
      <c r="AC15" s="59" t="s">
        <v>380</v>
      </c>
    </row>
    <row r="16" spans="1:33" ht="15.75">
      <c r="A16" s="693"/>
      <c r="B16" s="187"/>
      <c r="C16" s="67" t="s">
        <v>321</v>
      </c>
      <c r="D16" s="66">
        <f>VLOOKUP('AggrStep1-energy'!$C16,'Energia PJ'!$B$2:$V$61,D$1,FALSE)</f>
        <v>0</v>
      </c>
      <c r="E16" s="66">
        <f>VLOOKUP('AggrStep1-energy'!$C16,'Energia PJ'!$B$2:$V$61,E$1,FALSE)</f>
        <v>0</v>
      </c>
      <c r="F16" s="66">
        <f>VLOOKUP('AggrStep1-energy'!$C16,'Energia PJ'!$B$2:$V$61,F$1,FALSE)</f>
        <v>0</v>
      </c>
      <c r="G16" s="66">
        <f>VLOOKUP('AggrStep1-energy'!$C16,'Energia PJ'!$B$2:$V$61,G$1,FALSE)</f>
        <v>0</v>
      </c>
      <c r="H16" s="66">
        <f>VLOOKUP('AggrStep1-energy'!$C16,'Energia PJ'!$B$2:$V$61,H$1,FALSE)</f>
        <v>0</v>
      </c>
      <c r="I16" s="66">
        <f>VLOOKUP('AggrStep1-energy'!$C16,'Energia PJ'!$B$2:$V$61,I$1,FALSE)</f>
        <v>0</v>
      </c>
      <c r="J16" s="66">
        <f>VLOOKUP('AggrStep1-energy'!$C16,'Energia PJ'!$B$2:$V$61,J$1,FALSE)</f>
        <v>0.82255599999999995</v>
      </c>
      <c r="K16" s="66">
        <f>VLOOKUP('AggrStep1-energy'!$C16,'Energia PJ'!$B$2:$V$61,K$1,FALSE)</f>
        <v>7.875</v>
      </c>
      <c r="L16" s="66">
        <f>VLOOKUP('AggrStep1-energy'!$C16,'Energia PJ'!$B$2:$V$61,L$1,FALSE)</f>
        <v>0</v>
      </c>
      <c r="M16" s="66">
        <f>VLOOKUP('AggrStep1-energy'!$C16,'Energia PJ'!$B$2:$V$61,M$1,FALSE)</f>
        <v>0</v>
      </c>
      <c r="N16" s="66">
        <f>VLOOKUP('AggrStep1-energy'!$C16,'Energia PJ'!$B$2:$V$61,N$1,FALSE)</f>
        <v>0.54942100000000005</v>
      </c>
      <c r="O16" s="66">
        <f>VLOOKUP('AggrStep1-energy'!$C16,'Energia PJ'!$B$2:$V$61,O$1,FALSE)</f>
        <v>0</v>
      </c>
      <c r="P16" s="66">
        <f>VLOOKUP('AggrStep1-energy'!$C16,'Energia PJ'!$B$2:$V$61,P$1,FALSE)</f>
        <v>4.7320000000000002</v>
      </c>
      <c r="Q16" s="66">
        <f>VLOOKUP('AggrStep1-energy'!$C16,'Energia PJ'!$B$2:$V$61,Q$1,FALSE)</f>
        <v>0</v>
      </c>
      <c r="R16" s="66">
        <f>VLOOKUP('AggrStep1-energy'!$C16,'Energia PJ'!$B$2:$V$61,R$1,FALSE)</f>
        <v>0</v>
      </c>
      <c r="S16" s="66">
        <f>VLOOKUP('AggrStep1-energy'!$C16,'Energia PJ'!$B$2:$V$61,S$1,FALSE)</f>
        <v>0</v>
      </c>
      <c r="T16" s="66">
        <f>VLOOKUP('AggrStep1-energy'!$C16,'Energia PJ'!$B$2:$V$61,T$1,FALSE)</f>
        <v>0</v>
      </c>
      <c r="U16" s="66">
        <f>VLOOKUP('AggrStep1-energy'!$C16,'Energia PJ'!$B$2:$V$61,U$1,FALSE)</f>
        <v>0</v>
      </c>
      <c r="V16" s="66">
        <f>VLOOKUP('AggrStep1-energy'!$C16,'Energia PJ'!$B$2:$V$61,V$1,FALSE)</f>
        <v>0</v>
      </c>
      <c r="W16" s="56">
        <f t="shared" si="0"/>
        <v>13.978977</v>
      </c>
      <c r="X16" s="53"/>
      <c r="Y16" s="53"/>
      <c r="Z16" s="53"/>
      <c r="AA16" s="53"/>
      <c r="AB16" s="53"/>
    </row>
    <row r="17" spans="1:31" ht="15.75">
      <c r="A17" s="693"/>
      <c r="B17" s="187"/>
      <c r="C17" s="67" t="s">
        <v>314</v>
      </c>
      <c r="D17" s="66">
        <f>VLOOKUP('AggrStep1-energy'!$C17,'Energia PJ'!$B$2:$V$61,D$1,FALSE)</f>
        <v>0</v>
      </c>
      <c r="E17" s="66">
        <f>VLOOKUP('AggrStep1-energy'!$C17,'Energia PJ'!$B$2:$V$61,E$1,FALSE)</f>
        <v>0</v>
      </c>
      <c r="F17" s="66">
        <f>VLOOKUP('AggrStep1-energy'!$C17,'Energia PJ'!$B$2:$V$61,F$1,FALSE)</f>
        <v>0</v>
      </c>
      <c r="G17" s="66">
        <f>VLOOKUP('AggrStep1-energy'!$C17,'Energia PJ'!$B$2:$V$61,G$1,FALSE)</f>
        <v>0.50555899999999998</v>
      </c>
      <c r="H17" s="66">
        <f>VLOOKUP('AggrStep1-energy'!$C17,'Energia PJ'!$B$2:$V$61,H$1,FALSE)</f>
        <v>0</v>
      </c>
      <c r="I17" s="66">
        <f>VLOOKUP('AggrStep1-energy'!$C17,'Energia PJ'!$B$2:$V$61,I$1,FALSE)</f>
        <v>0</v>
      </c>
      <c r="J17" s="66">
        <f>VLOOKUP('AggrStep1-energy'!$C17,'Energia PJ'!$B$2:$V$61,J$1,FALSE)</f>
        <v>1.942977</v>
      </c>
      <c r="K17" s="66">
        <f>VLOOKUP('AggrStep1-energy'!$C17,'Energia PJ'!$B$2:$V$61,K$1,FALSE)</f>
        <v>1.6479999999999999</v>
      </c>
      <c r="L17" s="66">
        <f>VLOOKUP('AggrStep1-energy'!$C17,'Energia PJ'!$B$2:$V$61,L$1,FALSE)</f>
        <v>0</v>
      </c>
      <c r="M17" s="66">
        <f>VLOOKUP('AggrStep1-energy'!$C17,'Energia PJ'!$B$2:$V$61,M$1,FALSE)</f>
        <v>0</v>
      </c>
      <c r="N17" s="66">
        <f>VLOOKUP('AggrStep1-energy'!$C17,'Energia PJ'!$B$2:$V$61,N$1,FALSE)</f>
        <v>1.8652999999999999E-2</v>
      </c>
      <c r="O17" s="66">
        <f>VLOOKUP('AggrStep1-energy'!$C17,'Energia PJ'!$B$2:$V$61,O$1,FALSE)</f>
        <v>0</v>
      </c>
      <c r="P17" s="66">
        <f>VLOOKUP('AggrStep1-energy'!$C17,'Energia PJ'!$B$2:$V$61,P$1,FALSE)</f>
        <v>5.4610000000000003</v>
      </c>
      <c r="Q17" s="66">
        <f>VLOOKUP('AggrStep1-energy'!$C17,'Energia PJ'!$B$2:$V$61,Q$1,FALSE)</f>
        <v>0</v>
      </c>
      <c r="R17" s="66">
        <f>VLOOKUP('AggrStep1-energy'!$C17,'Energia PJ'!$B$2:$V$61,R$1,FALSE)</f>
        <v>0</v>
      </c>
      <c r="S17" s="66">
        <f>VLOOKUP('AggrStep1-energy'!$C17,'Energia PJ'!$B$2:$V$61,S$1,FALSE)</f>
        <v>0</v>
      </c>
      <c r="T17" s="66">
        <f>VLOOKUP('AggrStep1-energy'!$C17,'Energia PJ'!$B$2:$V$61,T$1,FALSE)</f>
        <v>0</v>
      </c>
      <c r="U17" s="66">
        <f>VLOOKUP('AggrStep1-energy'!$C17,'Energia PJ'!$B$2:$V$61,U$1,FALSE)</f>
        <v>0</v>
      </c>
      <c r="V17" s="66">
        <f>VLOOKUP('AggrStep1-energy'!$C17,'Energia PJ'!$B$2:$V$61,V$1,FALSE)</f>
        <v>0</v>
      </c>
      <c r="W17" s="56">
        <f t="shared" si="0"/>
        <v>9.5761889999999994</v>
      </c>
      <c r="X17" s="58"/>
      <c r="Y17" s="58"/>
      <c r="Z17" s="58"/>
      <c r="AA17" s="58"/>
      <c r="AB17" s="54"/>
      <c r="AC17" s="63" t="s">
        <v>375</v>
      </c>
      <c r="AD17" s="63" t="s">
        <v>376</v>
      </c>
      <c r="AE17" s="63" t="s">
        <v>242</v>
      </c>
    </row>
    <row r="18" spans="1:31" ht="15.75">
      <c r="A18" s="693"/>
      <c r="B18" s="187"/>
      <c r="C18" s="67" t="s">
        <v>308</v>
      </c>
      <c r="D18" s="66">
        <f>VLOOKUP('AggrStep1-energy'!$C18,'Energia PJ'!$B$2:$V$61,D$1,FALSE)</f>
        <v>0</v>
      </c>
      <c r="E18" s="66">
        <f>VLOOKUP('AggrStep1-energy'!$C18,'Energia PJ'!$B$2:$V$61,E$1,FALSE)</f>
        <v>0</v>
      </c>
      <c r="F18" s="66">
        <f>VLOOKUP('AggrStep1-energy'!$C18,'Energia PJ'!$B$2:$V$61,F$1,FALSE)</f>
        <v>0</v>
      </c>
      <c r="G18" s="66">
        <f>VLOOKUP('AggrStep1-energy'!$C18,'Energia PJ'!$B$2:$V$61,G$1,FALSE)</f>
        <v>0</v>
      </c>
      <c r="H18" s="66">
        <f>VLOOKUP('AggrStep1-energy'!$C18,'Energia PJ'!$B$2:$V$61,H$1,FALSE)</f>
        <v>0</v>
      </c>
      <c r="I18" s="66">
        <f>VLOOKUP('AggrStep1-energy'!$C18,'Energia PJ'!$B$2:$V$61,I$1,FALSE)</f>
        <v>0</v>
      </c>
      <c r="J18" s="66">
        <f>VLOOKUP('AggrStep1-energy'!$C18,'Energia PJ'!$B$2:$V$61,J$1,FALSE)</f>
        <v>0.162296</v>
      </c>
      <c r="K18" s="66">
        <f>VLOOKUP('AggrStep1-energy'!$C18,'Energia PJ'!$B$2:$V$61,K$1,FALSE)</f>
        <v>0.47499999999999998</v>
      </c>
      <c r="L18" s="66">
        <f>VLOOKUP('AggrStep1-energy'!$C18,'Energia PJ'!$B$2:$V$61,L$1,FALSE)</f>
        <v>0</v>
      </c>
      <c r="M18" s="66">
        <f>VLOOKUP('AggrStep1-energy'!$C18,'Energia PJ'!$B$2:$V$61,M$1,FALSE)</f>
        <v>0</v>
      </c>
      <c r="N18" s="66">
        <f>VLOOKUP('AggrStep1-energy'!$C18,'Energia PJ'!$B$2:$V$61,N$1,FALSE)</f>
        <v>0</v>
      </c>
      <c r="O18" s="66">
        <f>VLOOKUP('AggrStep1-energy'!$C18,'Energia PJ'!$B$2:$V$61,O$1,FALSE)</f>
        <v>0</v>
      </c>
      <c r="P18" s="66">
        <f>VLOOKUP('AggrStep1-energy'!$C18,'Energia PJ'!$B$2:$V$61,P$1,FALSE)</f>
        <v>0.51700000000000002</v>
      </c>
      <c r="Q18" s="66">
        <f>VLOOKUP('AggrStep1-energy'!$C18,'Energia PJ'!$B$2:$V$61,Q$1,FALSE)</f>
        <v>0</v>
      </c>
      <c r="R18" s="66">
        <f>VLOOKUP('AggrStep1-energy'!$C18,'Energia PJ'!$B$2:$V$61,R$1,FALSE)</f>
        <v>0</v>
      </c>
      <c r="S18" s="66">
        <f>VLOOKUP('AggrStep1-energy'!$C18,'Energia PJ'!$B$2:$V$61,S$1,FALSE)</f>
        <v>0</v>
      </c>
      <c r="T18" s="66">
        <f>VLOOKUP('AggrStep1-energy'!$C18,'Energia PJ'!$B$2:$V$61,T$1,FALSE)</f>
        <v>0</v>
      </c>
      <c r="U18" s="66">
        <f>VLOOKUP('AggrStep1-energy'!$C18,'Energia PJ'!$B$2:$V$61,U$1,FALSE)</f>
        <v>0</v>
      </c>
      <c r="V18" s="66">
        <f>VLOOKUP('AggrStep1-energy'!$C18,'Energia PJ'!$B$2:$V$61,V$1,FALSE)</f>
        <v>0</v>
      </c>
      <c r="W18" s="56">
        <f t="shared" si="0"/>
        <v>1.154296</v>
      </c>
      <c r="X18" s="58"/>
      <c r="Y18" s="58"/>
      <c r="Z18" s="58"/>
      <c r="AA18" s="58"/>
      <c r="AB18" s="54"/>
      <c r="AC18" s="70" t="s">
        <v>211</v>
      </c>
      <c r="AD18" s="66">
        <v>33.242925729969272</v>
      </c>
      <c r="AE18" s="71">
        <v>0.68431626466710116</v>
      </c>
    </row>
    <row r="19" spans="1:31" ht="15.75">
      <c r="A19" s="693"/>
      <c r="B19" s="187"/>
      <c r="C19" s="67" t="s">
        <v>300</v>
      </c>
      <c r="D19" s="66">
        <f>VLOOKUP('AggrStep1-energy'!$C19,'Energia PJ'!$B$2:$V$61,D$1,FALSE)</f>
        <v>0</v>
      </c>
      <c r="E19" s="66">
        <f>VLOOKUP('AggrStep1-energy'!$C19,'Energia PJ'!$B$2:$V$61,E$1,FALSE)</f>
        <v>0</v>
      </c>
      <c r="F19" s="66">
        <f>VLOOKUP('AggrStep1-energy'!$C19,'Energia PJ'!$B$2:$V$61,F$1,FALSE)</f>
        <v>0</v>
      </c>
      <c r="G19" s="66">
        <f>VLOOKUP('AggrStep1-energy'!$C19,'Energia PJ'!$B$2:$V$61,G$1,FALSE)</f>
        <v>8.7880000000000007E-3</v>
      </c>
      <c r="H19" s="66">
        <f>VLOOKUP('AggrStep1-energy'!$C19,'Energia PJ'!$B$2:$V$61,H$1,FALSE)</f>
        <v>0</v>
      </c>
      <c r="I19" s="66">
        <f>VLOOKUP('AggrStep1-energy'!$C19,'Energia PJ'!$B$2:$V$61,I$1,FALSE)</f>
        <v>0</v>
      </c>
      <c r="J19" s="66">
        <f>VLOOKUP('AggrStep1-energy'!$C19,'Energia PJ'!$B$2:$V$61,J$1,FALSE)</f>
        <v>0</v>
      </c>
      <c r="K19" s="66">
        <f>VLOOKUP('AggrStep1-energy'!$C19,'Energia PJ'!$B$2:$V$61,K$1,FALSE)</f>
        <v>0.24199999999999999</v>
      </c>
      <c r="L19" s="66">
        <f>VLOOKUP('AggrStep1-energy'!$C19,'Energia PJ'!$B$2:$V$61,L$1,FALSE)</f>
        <v>0</v>
      </c>
      <c r="M19" s="66">
        <f>VLOOKUP('AggrStep1-energy'!$C19,'Energia PJ'!$B$2:$V$61,M$1,FALSE)</f>
        <v>0</v>
      </c>
      <c r="N19" s="66">
        <f>VLOOKUP('AggrStep1-energy'!$C19,'Energia PJ'!$B$2:$V$61,N$1,FALSE)</f>
        <v>0</v>
      </c>
      <c r="O19" s="66">
        <f>VLOOKUP('AggrStep1-energy'!$C19,'Energia PJ'!$B$2:$V$61,O$1,FALSE)</f>
        <v>0</v>
      </c>
      <c r="P19" s="66">
        <f>VLOOKUP('AggrStep1-energy'!$C19,'Energia PJ'!$B$2:$V$61,P$1,FALSE)</f>
        <v>0.27300000000000002</v>
      </c>
      <c r="Q19" s="66">
        <f>VLOOKUP('AggrStep1-energy'!$C19,'Energia PJ'!$B$2:$V$61,Q$1,FALSE)</f>
        <v>0</v>
      </c>
      <c r="R19" s="66">
        <f>VLOOKUP('AggrStep1-energy'!$C19,'Energia PJ'!$B$2:$V$61,R$1,FALSE)</f>
        <v>0</v>
      </c>
      <c r="S19" s="66">
        <f>VLOOKUP('AggrStep1-energy'!$C19,'Energia PJ'!$B$2:$V$61,S$1,FALSE)</f>
        <v>0</v>
      </c>
      <c r="T19" s="66">
        <f>VLOOKUP('AggrStep1-energy'!$C19,'Energia PJ'!$B$2:$V$61,T$1,FALSE)</f>
        <v>0</v>
      </c>
      <c r="U19" s="66">
        <f>VLOOKUP('AggrStep1-energy'!$C19,'Energia PJ'!$B$2:$V$61,U$1,FALSE)</f>
        <v>0</v>
      </c>
      <c r="V19" s="66">
        <f>VLOOKUP('AggrStep1-energy'!$C19,'Energia PJ'!$B$2:$V$61,V$1,FALSE)</f>
        <v>0</v>
      </c>
      <c r="W19" s="56">
        <f t="shared" si="0"/>
        <v>0.52378800000000003</v>
      </c>
      <c r="X19" s="58"/>
      <c r="Y19" s="58"/>
      <c r="Z19" s="58"/>
      <c r="AA19" s="58"/>
      <c r="AB19" s="54"/>
      <c r="AC19" s="70" t="s">
        <v>377</v>
      </c>
      <c r="AD19" s="66">
        <v>2.6309999999999998</v>
      </c>
      <c r="AE19" s="71">
        <v>5.4159976981689312E-2</v>
      </c>
    </row>
    <row r="20" spans="1:31" ht="15.75">
      <c r="A20" s="693"/>
      <c r="B20" s="187"/>
      <c r="C20" s="67" t="s">
        <v>298</v>
      </c>
      <c r="D20" s="66">
        <f>VLOOKUP('AggrStep1-energy'!$C20,'Energia PJ'!$B$2:$V$61,D$1,FALSE)</f>
        <v>0</v>
      </c>
      <c r="E20" s="66">
        <f>VLOOKUP('AggrStep1-energy'!$C20,'Energia PJ'!$B$2:$V$61,E$1,FALSE)</f>
        <v>0</v>
      </c>
      <c r="F20" s="66">
        <f>VLOOKUP('AggrStep1-energy'!$C20,'Energia PJ'!$B$2:$V$61,F$1,FALSE)</f>
        <v>0</v>
      </c>
      <c r="G20" s="66">
        <f>VLOOKUP('AggrStep1-energy'!$C20,'Energia PJ'!$B$2:$V$61,G$1,FALSE)</f>
        <v>0</v>
      </c>
      <c r="H20" s="66">
        <f>VLOOKUP('AggrStep1-energy'!$C20,'Energia PJ'!$B$2:$V$61,H$1,FALSE)</f>
        <v>0</v>
      </c>
      <c r="I20" s="66">
        <f>VLOOKUP('AggrStep1-energy'!$C20,'Energia PJ'!$B$2:$V$61,I$1,FALSE)</f>
        <v>0</v>
      </c>
      <c r="J20" s="66">
        <f>VLOOKUP('AggrStep1-energy'!$C20,'Energia PJ'!$B$2:$V$61,J$1,FALSE)</f>
        <v>4.3962430000000001</v>
      </c>
      <c r="K20" s="66">
        <f>VLOOKUP('AggrStep1-energy'!$C20,'Energia PJ'!$B$2:$V$61,K$1,FALSE)</f>
        <v>50.081000000000003</v>
      </c>
      <c r="L20" s="66">
        <f>VLOOKUP('AggrStep1-energy'!$C20,'Energia PJ'!$B$2:$V$61,L$1,FALSE)</f>
        <v>0</v>
      </c>
      <c r="M20" s="66">
        <f>VLOOKUP('AggrStep1-energy'!$C20,'Energia PJ'!$B$2:$V$61,M$1,FALSE)</f>
        <v>2.819</v>
      </c>
      <c r="N20" s="66">
        <f>VLOOKUP('AggrStep1-energy'!$C20,'Energia PJ'!$B$2:$V$61,N$1,FALSE)</f>
        <v>65.030894000000004</v>
      </c>
      <c r="O20" s="66">
        <f>VLOOKUP('AggrStep1-energy'!$C20,'Energia PJ'!$B$2:$V$61,O$1,FALSE)</f>
        <v>0</v>
      </c>
      <c r="P20" s="66">
        <f>VLOOKUP('AggrStep1-energy'!$C20,'Energia PJ'!$B$2:$V$61,P$1,FALSE)</f>
        <v>11.097</v>
      </c>
      <c r="Q20" s="66">
        <f>VLOOKUP('AggrStep1-energy'!$C20,'Energia PJ'!$B$2:$V$61,Q$1,FALSE)</f>
        <v>0</v>
      </c>
      <c r="R20" s="66">
        <f>VLOOKUP('AggrStep1-energy'!$C20,'Energia PJ'!$B$2:$V$61,R$1,FALSE)</f>
        <v>0</v>
      </c>
      <c r="S20" s="66">
        <f>VLOOKUP('AggrStep1-energy'!$C20,'Energia PJ'!$B$2:$V$61,S$1,FALSE)</f>
        <v>0</v>
      </c>
      <c r="T20" s="66">
        <f>VLOOKUP('AggrStep1-energy'!$C20,'Energia PJ'!$B$2:$V$61,T$1,FALSE)</f>
        <v>0</v>
      </c>
      <c r="U20" s="66">
        <f>VLOOKUP('AggrStep1-energy'!$C20,'Energia PJ'!$B$2:$V$61,U$1,FALSE)</f>
        <v>0</v>
      </c>
      <c r="V20" s="66">
        <f>VLOOKUP('AggrStep1-energy'!$C20,'Energia PJ'!$B$2:$V$61,V$1,FALSE)</f>
        <v>0</v>
      </c>
      <c r="W20" s="56">
        <f t="shared" si="0"/>
        <v>133.424137</v>
      </c>
      <c r="X20" s="58"/>
      <c r="Y20" s="58"/>
      <c r="Z20" s="58"/>
      <c r="AA20" s="58"/>
      <c r="AB20" s="54"/>
      <c r="AC20" s="70" t="s">
        <v>378</v>
      </c>
      <c r="AD20" s="66">
        <v>12.7043814744356</v>
      </c>
      <c r="AE20" s="71">
        <v>0.2615237583512095</v>
      </c>
    </row>
    <row r="21" spans="1:31" ht="15.75">
      <c r="A21" s="693"/>
      <c r="B21" s="187"/>
      <c r="C21" s="67" t="s">
        <v>281</v>
      </c>
      <c r="D21" s="66">
        <f>VLOOKUP('AggrStep1-energy'!$C21,'Energia PJ'!$B$2:$V$61,D$1,FALSE)</f>
        <v>0</v>
      </c>
      <c r="E21" s="66">
        <f>VLOOKUP('AggrStep1-energy'!$C21,'Energia PJ'!$B$2:$V$61,E$1,FALSE)</f>
        <v>0</v>
      </c>
      <c r="F21" s="66">
        <f>VLOOKUP('AggrStep1-energy'!$C21,'Energia PJ'!$B$2:$V$61,F$1,FALSE)</f>
        <v>0</v>
      </c>
      <c r="G21" s="66">
        <f>VLOOKUP('AggrStep1-energy'!$C21,'Energia PJ'!$B$2:$V$61,G$1,FALSE)</f>
        <v>0</v>
      </c>
      <c r="H21" s="66">
        <f>VLOOKUP('AggrStep1-energy'!$C21,'Energia PJ'!$B$2:$V$61,H$1,FALSE)</f>
        <v>0</v>
      </c>
      <c r="I21" s="66">
        <f>VLOOKUP('AggrStep1-energy'!$C21,'Energia PJ'!$B$2:$V$61,I$1,FALSE)</f>
        <v>0</v>
      </c>
      <c r="J21" s="66">
        <f>VLOOKUP('AggrStep1-energy'!$C21,'Energia PJ'!$B$2:$V$61,J$1,FALSE)</f>
        <v>0</v>
      </c>
      <c r="K21" s="66">
        <f>VLOOKUP('AggrStep1-energy'!$C21,'Energia PJ'!$B$2:$V$61,K$1,FALSE)</f>
        <v>191.13900000000001</v>
      </c>
      <c r="L21" s="66">
        <f>VLOOKUP('AggrStep1-energy'!$C21,'Energia PJ'!$B$2:$V$61,L$1,FALSE)</f>
        <v>0</v>
      </c>
      <c r="M21" s="66">
        <f>VLOOKUP('AggrStep1-energy'!$C21,'Energia PJ'!$B$2:$V$61,M$1,FALSE)</f>
        <v>4.0359999999999996</v>
      </c>
      <c r="N21" s="66">
        <f>VLOOKUP('AggrStep1-energy'!$C21,'Energia PJ'!$B$2:$V$61,N$1,FALSE)</f>
        <v>256.95786800000002</v>
      </c>
      <c r="O21" s="66">
        <f>VLOOKUP('AggrStep1-energy'!$C21,'Energia PJ'!$B$2:$V$61,O$1,FALSE)</f>
        <v>0</v>
      </c>
      <c r="P21" s="66">
        <f>VLOOKUP('AggrStep1-energy'!$C21,'Energia PJ'!$B$2:$V$61,P$1,FALSE)</f>
        <v>33.802999999999997</v>
      </c>
      <c r="Q21" s="66">
        <f>VLOOKUP('AggrStep1-energy'!$C21,'Energia PJ'!$B$2:$V$61,Q$1,FALSE)</f>
        <v>0</v>
      </c>
      <c r="R21" s="66">
        <f>VLOOKUP('AggrStep1-energy'!$C21,'Energia PJ'!$B$2:$V$61,R$1,FALSE)</f>
        <v>0</v>
      </c>
      <c r="S21" s="66">
        <f>VLOOKUP('AggrStep1-energy'!$C21,'Energia PJ'!$B$2:$V$61,S$1,FALSE)</f>
        <v>0</v>
      </c>
      <c r="T21" s="66">
        <f>VLOOKUP('AggrStep1-energy'!$C21,'Energia PJ'!$B$2:$V$61,T$1,FALSE)</f>
        <v>255.42239699999999</v>
      </c>
      <c r="U21" s="66">
        <f>VLOOKUP('AggrStep1-energy'!$C21,'Energia PJ'!$B$2:$V$61,U$1,FALSE)</f>
        <v>0</v>
      </c>
      <c r="V21" s="66">
        <f>VLOOKUP('AggrStep1-energy'!$C21,'Energia PJ'!$B$2:$V$61,V$1,FALSE)</f>
        <v>1.351008</v>
      </c>
      <c r="W21" s="56">
        <f t="shared" si="0"/>
        <v>742.70927300000005</v>
      </c>
      <c r="X21" s="58"/>
      <c r="Y21" s="58"/>
      <c r="Z21" s="58"/>
      <c r="AA21" s="58"/>
      <c r="AB21" s="54"/>
      <c r="AC21" s="70" t="s">
        <v>7</v>
      </c>
      <c r="AD21" s="66">
        <v>48.578307204404872</v>
      </c>
      <c r="AE21" s="71">
        <v>1</v>
      </c>
    </row>
    <row r="22" spans="1:31" ht="15.75">
      <c r="A22" s="693"/>
      <c r="B22" s="187"/>
      <c r="C22" s="67" t="s">
        <v>297</v>
      </c>
      <c r="D22" s="66">
        <f>VLOOKUP('AggrStep1-energy'!$C22,'Energia PJ'!$B$2:$V$61,D$1,FALSE)</f>
        <v>0</v>
      </c>
      <c r="E22" s="66">
        <f>VLOOKUP('AggrStep1-energy'!$C22,'Energia PJ'!$B$2:$V$61,E$1,FALSE)</f>
        <v>0</v>
      </c>
      <c r="F22" s="66">
        <f>VLOOKUP('AggrStep1-energy'!$C22,'Energia PJ'!$B$2:$V$61,F$1,FALSE)</f>
        <v>0</v>
      </c>
      <c r="G22" s="66">
        <f>VLOOKUP('AggrStep1-energy'!$C22,'Energia PJ'!$B$2:$V$61,G$1,FALSE)</f>
        <v>0</v>
      </c>
      <c r="H22" s="66">
        <f>VLOOKUP('AggrStep1-energy'!$C22,'Energia PJ'!$B$2:$V$61,H$1,FALSE)</f>
        <v>0</v>
      </c>
      <c r="I22" s="66">
        <f>VLOOKUP('AggrStep1-energy'!$C22,'Energia PJ'!$B$2:$V$61,I$1,FALSE)</f>
        <v>0</v>
      </c>
      <c r="J22" s="66">
        <f>VLOOKUP('AggrStep1-energy'!$C22,'Energia PJ'!$B$2:$V$61,J$1,FALSE)</f>
        <v>0</v>
      </c>
      <c r="K22" s="66">
        <f>VLOOKUP('AggrStep1-energy'!$C22,'Energia PJ'!$B$2:$V$61,K$1,FALSE)</f>
        <v>33.427</v>
      </c>
      <c r="L22" s="66">
        <f>VLOOKUP('AggrStep1-energy'!$C22,'Energia PJ'!$B$2:$V$61,L$1,FALSE)</f>
        <v>0</v>
      </c>
      <c r="M22" s="66">
        <f>VLOOKUP('AggrStep1-energy'!$C22,'Energia PJ'!$B$2:$V$61,M$1,FALSE)</f>
        <v>0</v>
      </c>
      <c r="N22" s="66">
        <f>VLOOKUP('AggrStep1-energy'!$C22,'Energia PJ'!$B$2:$V$61,N$1,FALSE)</f>
        <v>0</v>
      </c>
      <c r="O22" s="66">
        <f>VLOOKUP('AggrStep1-energy'!$C22,'Energia PJ'!$B$2:$V$61,O$1,FALSE)</f>
        <v>0</v>
      </c>
      <c r="P22" s="66">
        <f>VLOOKUP('AggrStep1-energy'!$C22,'Energia PJ'!$B$2:$V$61,P$1,FALSE)</f>
        <v>0</v>
      </c>
      <c r="Q22" s="66">
        <f>VLOOKUP('AggrStep1-energy'!$C22,'Energia PJ'!$B$2:$V$61,Q$1,FALSE)</f>
        <v>0</v>
      </c>
      <c r="R22" s="66">
        <f>VLOOKUP('AggrStep1-energy'!$C22,'Energia PJ'!$B$2:$V$61,R$1,FALSE)</f>
        <v>0</v>
      </c>
      <c r="S22" s="66">
        <f>VLOOKUP('AggrStep1-energy'!$C22,'Energia PJ'!$B$2:$V$61,S$1,FALSE)</f>
        <v>0</v>
      </c>
      <c r="T22" s="66">
        <f>VLOOKUP('AggrStep1-energy'!$C22,'Energia PJ'!$B$2:$V$61,T$1,FALSE)</f>
        <v>0</v>
      </c>
      <c r="U22" s="66">
        <f>VLOOKUP('AggrStep1-energy'!$C22,'Energia PJ'!$B$2:$V$61,U$1,FALSE)</f>
        <v>0</v>
      </c>
      <c r="V22" s="66">
        <f>VLOOKUP('AggrStep1-energy'!$C22,'Energia PJ'!$B$2:$V$61,V$1,FALSE)</f>
        <v>0</v>
      </c>
      <c r="W22" s="56">
        <f t="shared" si="0"/>
        <v>33.427</v>
      </c>
      <c r="X22" s="58"/>
      <c r="Y22" s="58"/>
      <c r="Z22" s="58"/>
      <c r="AA22" s="58"/>
      <c r="AB22" s="54"/>
      <c r="AC22" s="70"/>
      <c r="AD22" s="66"/>
      <c r="AE22" s="71"/>
    </row>
    <row r="23" spans="1:31" ht="15.75">
      <c r="A23" s="693"/>
      <c r="B23" s="187"/>
      <c r="C23" s="67" t="s">
        <v>296</v>
      </c>
      <c r="D23" s="66">
        <f>VLOOKUP('AggrStep1-energy'!$C23,'Energia PJ'!$B$2:$V$61,D$1,FALSE)</f>
        <v>0</v>
      </c>
      <c r="E23" s="66">
        <f>VLOOKUP('AggrStep1-energy'!$C23,'Energia PJ'!$B$2:$V$61,E$1,FALSE)</f>
        <v>0</v>
      </c>
      <c r="F23" s="66">
        <f>VLOOKUP('AggrStep1-energy'!$C23,'Energia PJ'!$B$2:$V$61,F$1,FALSE)</f>
        <v>0</v>
      </c>
      <c r="G23" s="66">
        <f>VLOOKUP('AggrStep1-energy'!$C23,'Energia PJ'!$B$2:$V$61,G$1,FALSE)</f>
        <v>0</v>
      </c>
      <c r="H23" s="66">
        <f>VLOOKUP('AggrStep1-energy'!$C23,'Energia PJ'!$B$2:$V$61,H$1,FALSE)</f>
        <v>0</v>
      </c>
      <c r="I23" s="66">
        <f>VLOOKUP('AggrStep1-energy'!$C23,'Energia PJ'!$B$2:$V$61,I$1,FALSE)</f>
        <v>0</v>
      </c>
      <c r="J23" s="66">
        <f>VLOOKUP('AggrStep1-energy'!$C23,'Energia PJ'!$B$2:$V$61,J$1,FALSE)</f>
        <v>0</v>
      </c>
      <c r="K23" s="66">
        <f>VLOOKUP('AggrStep1-energy'!$C23,'Energia PJ'!$B$2:$V$61,K$1,FALSE)</f>
        <v>0</v>
      </c>
      <c r="L23" s="66">
        <f>VLOOKUP('AggrStep1-energy'!$C23,'Energia PJ'!$B$2:$V$61,L$1,FALSE)</f>
        <v>0</v>
      </c>
      <c r="M23" s="66">
        <f>VLOOKUP('AggrStep1-energy'!$C23,'Energia PJ'!$B$2:$V$61,M$1,FALSE)</f>
        <v>0</v>
      </c>
      <c r="N23" s="66">
        <f>VLOOKUP('AggrStep1-energy'!$C23,'Energia PJ'!$B$2:$V$61,N$1,FALSE)</f>
        <v>0</v>
      </c>
      <c r="O23" s="66">
        <f>VLOOKUP('AggrStep1-energy'!$C23,'Energia PJ'!$B$2:$V$61,O$1,FALSE)</f>
        <v>0</v>
      </c>
      <c r="P23" s="66">
        <f>VLOOKUP('AggrStep1-energy'!$C23,'Energia PJ'!$B$2:$V$61,P$1,FALSE)</f>
        <v>0</v>
      </c>
      <c r="Q23" s="66">
        <f>VLOOKUP('AggrStep1-energy'!$C23,'Energia PJ'!$B$2:$V$61,Q$1,FALSE)</f>
        <v>0.85647499999999999</v>
      </c>
      <c r="R23" s="66">
        <f>VLOOKUP('AggrStep1-energy'!$C23,'Energia PJ'!$B$2:$V$61,R$1,FALSE)</f>
        <v>0</v>
      </c>
      <c r="S23" s="66">
        <f>VLOOKUP('AggrStep1-energy'!$C23,'Energia PJ'!$B$2:$V$61,S$1,FALSE)</f>
        <v>0</v>
      </c>
      <c r="T23" s="66">
        <f>VLOOKUP('AggrStep1-energy'!$C23,'Energia PJ'!$B$2:$V$61,T$1,FALSE)</f>
        <v>0</v>
      </c>
      <c r="U23" s="66">
        <f>VLOOKUP('AggrStep1-energy'!$C23,'Energia PJ'!$B$2:$V$61,U$1,FALSE)</f>
        <v>0</v>
      </c>
      <c r="V23" s="66">
        <f>VLOOKUP('AggrStep1-energy'!$C23,'Energia PJ'!$B$2:$V$61,V$1,FALSE)</f>
        <v>126.329669</v>
      </c>
      <c r="W23" s="56">
        <f t="shared" si="0"/>
        <v>127.186144</v>
      </c>
      <c r="X23" s="58"/>
      <c r="Y23" s="58"/>
      <c r="Z23" s="58"/>
      <c r="AA23" s="58"/>
      <c r="AB23" s="54"/>
      <c r="AC23" s="70" t="s">
        <v>375</v>
      </c>
      <c r="AD23" s="56" t="s">
        <v>379</v>
      </c>
      <c r="AE23" s="62" t="s">
        <v>242</v>
      </c>
    </row>
    <row r="24" spans="1:31" ht="15.75">
      <c r="A24" s="693"/>
      <c r="B24" s="187"/>
      <c r="C24" s="77" t="s">
        <v>227</v>
      </c>
      <c r="D24" s="66">
        <f>VLOOKUP('AggrStep1-energy'!$C24,'Energia PJ'!$B$2:$V$61,D$1,FALSE)</f>
        <v>0</v>
      </c>
      <c r="E24" s="66">
        <f>VLOOKUP('AggrStep1-energy'!$C24,'Energia PJ'!$B$2:$V$61,E$1,FALSE)</f>
        <v>0</v>
      </c>
      <c r="F24" s="66">
        <f>VLOOKUP('AggrStep1-energy'!$C24,'Energia PJ'!$B$2:$V$61,F$1,FALSE)</f>
        <v>0</v>
      </c>
      <c r="G24" s="66">
        <f>VLOOKUP('AggrStep1-energy'!$C24,'Energia PJ'!$B$2:$V$61,G$1,FALSE)</f>
        <v>0</v>
      </c>
      <c r="H24" s="66">
        <f>VLOOKUP('AggrStep1-energy'!$C24,'Energia PJ'!$B$2:$V$61,H$1,FALSE)</f>
        <v>0</v>
      </c>
      <c r="I24" s="66">
        <f>VLOOKUP('AggrStep1-energy'!$C24,'Energia PJ'!$B$2:$V$61,I$1,FALSE)</f>
        <v>0</v>
      </c>
      <c r="J24" s="66">
        <f>VLOOKUP('AggrStep1-energy'!$C24,'Energia PJ'!$B$2:$V$61,J$1,FALSE)</f>
        <v>115.550152</v>
      </c>
      <c r="K24" s="66">
        <f>VLOOKUP('AggrStep1-energy'!$C24,'Energia PJ'!$B$2:$V$61,K$1,FALSE)</f>
        <v>37.027999999999999</v>
      </c>
      <c r="L24" s="66">
        <f>VLOOKUP('AggrStep1-energy'!$C24,'Energia PJ'!$B$2:$V$61,L$1,FALSE)</f>
        <v>0</v>
      </c>
      <c r="M24" s="66">
        <f>VLOOKUP('AggrStep1-energy'!$C24,'Energia PJ'!$B$2:$V$61,M$1,FALSE)</f>
        <v>0</v>
      </c>
      <c r="N24" s="66">
        <f>VLOOKUP('AggrStep1-energy'!$C24,'Energia PJ'!$B$2:$V$61,N$1,FALSE)</f>
        <v>6.0288570000000004</v>
      </c>
      <c r="O24" s="66">
        <f>VLOOKUP('AggrStep1-energy'!$C24,'Energia PJ'!$B$2:$V$61,O$1,FALSE)</f>
        <v>0</v>
      </c>
      <c r="P24" s="66">
        <f>VLOOKUP('AggrStep1-energy'!$C24,'Energia PJ'!$B$2:$V$61,P$1,FALSE)</f>
        <v>0</v>
      </c>
      <c r="Q24" s="66">
        <f>VLOOKUP('AggrStep1-energy'!$C24,'Energia PJ'!$B$2:$V$61,Q$1,FALSE)</f>
        <v>0</v>
      </c>
      <c r="R24" s="66">
        <f>VLOOKUP('AggrStep1-energy'!$C24,'Energia PJ'!$B$2:$V$61,R$1,FALSE)</f>
        <v>0</v>
      </c>
      <c r="S24" s="66">
        <f>VLOOKUP('AggrStep1-energy'!$C24,'Energia PJ'!$B$2:$V$61,S$1,FALSE)</f>
        <v>0</v>
      </c>
      <c r="T24" s="66">
        <f>VLOOKUP('AggrStep1-energy'!$C24,'Energia PJ'!$B$2:$V$61,T$1,FALSE)</f>
        <v>0</v>
      </c>
      <c r="U24" s="66">
        <f>VLOOKUP('AggrStep1-energy'!$C24,'Energia PJ'!$B$2:$V$61,U$1,FALSE)</f>
        <v>0</v>
      </c>
      <c r="V24" s="66">
        <f>VLOOKUP('AggrStep1-energy'!$C24,'Energia PJ'!$B$2:$V$61,V$1,FALSE)</f>
        <v>8.1239999999999993E-3</v>
      </c>
      <c r="W24" s="56">
        <f t="shared" si="0"/>
        <v>158.61513299999999</v>
      </c>
      <c r="X24" s="58"/>
      <c r="Y24" s="58"/>
      <c r="Z24" s="58"/>
      <c r="AA24" s="58"/>
      <c r="AB24" s="54"/>
      <c r="AC24" s="70" t="s">
        <v>378</v>
      </c>
      <c r="AD24" s="66">
        <v>5.5869501134362121E-3</v>
      </c>
      <c r="AE24" s="71">
        <v>5.4996730457973105E-2</v>
      </c>
    </row>
    <row r="25" spans="1:31" ht="15.75">
      <c r="A25" s="693"/>
      <c r="B25" s="187"/>
      <c r="C25" s="77" t="s">
        <v>280</v>
      </c>
      <c r="D25" s="66">
        <f>VLOOKUP('AggrStep1-energy'!$C25,'Energia PJ'!$B$2:$V$61,D$1,FALSE)</f>
        <v>0</v>
      </c>
      <c r="E25" s="66">
        <f>VLOOKUP('AggrStep1-energy'!$C25,'Energia PJ'!$B$2:$V$61,E$1,FALSE)</f>
        <v>0</v>
      </c>
      <c r="F25" s="66">
        <f>VLOOKUP('AggrStep1-energy'!$C25,'Energia PJ'!$B$2:$V$61,F$1,FALSE)</f>
        <v>0</v>
      </c>
      <c r="G25" s="66">
        <f>VLOOKUP('AggrStep1-energy'!$C25,'Energia PJ'!$B$2:$V$61,G$1,FALSE)</f>
        <v>0</v>
      </c>
      <c r="H25" s="66">
        <f>VLOOKUP('AggrStep1-energy'!$C25,'Energia PJ'!$B$2:$V$61,H$1,FALSE)</f>
        <v>0</v>
      </c>
      <c r="I25" s="66">
        <f>VLOOKUP('AggrStep1-energy'!$C25,'Energia PJ'!$B$2:$V$61,I$1,FALSE)</f>
        <v>0</v>
      </c>
      <c r="J25" s="66">
        <f>VLOOKUP('AggrStep1-energy'!$C25,'Energia PJ'!$B$2:$V$61,J$1,FALSE)</f>
        <v>548.57963900000004</v>
      </c>
      <c r="K25" s="66">
        <f>VLOOKUP('AggrStep1-energy'!$C25,'Energia PJ'!$B$2:$V$61,K$1,FALSE)</f>
        <v>0</v>
      </c>
      <c r="L25" s="66">
        <f>VLOOKUP('AggrStep1-energy'!$C25,'Energia PJ'!$B$2:$V$61,L$1,FALSE)</f>
        <v>0</v>
      </c>
      <c r="M25" s="66">
        <f>VLOOKUP('AggrStep1-energy'!$C25,'Energia PJ'!$B$2:$V$61,M$1,FALSE)</f>
        <v>0</v>
      </c>
      <c r="N25" s="66">
        <f>VLOOKUP('AggrStep1-energy'!$C25,'Energia PJ'!$B$2:$V$61,N$1,FALSE)</f>
        <v>54.098236</v>
      </c>
      <c r="O25" s="66">
        <f>VLOOKUP('AggrStep1-energy'!$C25,'Energia PJ'!$B$2:$V$61,O$1,FALSE)</f>
        <v>0</v>
      </c>
      <c r="P25" s="66">
        <f>VLOOKUP('AggrStep1-energy'!$C25,'Energia PJ'!$B$2:$V$61,P$1,FALSE)</f>
        <v>0.86699999999999999</v>
      </c>
      <c r="Q25" s="66">
        <f>VLOOKUP('AggrStep1-energy'!$C25,'Energia PJ'!$B$2:$V$61,Q$1,FALSE)</f>
        <v>1471.103975</v>
      </c>
      <c r="R25" s="66">
        <f>VLOOKUP('AggrStep1-energy'!$C25,'Energia PJ'!$B$2:$V$61,R$1,FALSE)</f>
        <v>0</v>
      </c>
      <c r="S25" s="66">
        <f>VLOOKUP('AggrStep1-energy'!$C25,'Energia PJ'!$B$2:$V$61,S$1,FALSE)</f>
        <v>0</v>
      </c>
      <c r="T25" s="66">
        <f>VLOOKUP('AggrStep1-energy'!$C25,'Energia PJ'!$B$2:$V$61,T$1,FALSE)</f>
        <v>0</v>
      </c>
      <c r="U25" s="66">
        <f>VLOOKUP('AggrStep1-energy'!$C25,'Energia PJ'!$B$2:$V$61,U$1,FALSE)</f>
        <v>0</v>
      </c>
      <c r="V25" s="66">
        <f>VLOOKUP('AggrStep1-energy'!$C25,'Energia PJ'!$B$2:$V$61,V$1,FALSE)</f>
        <v>0</v>
      </c>
      <c r="W25" s="56">
        <f t="shared" si="0"/>
        <v>2074.64885</v>
      </c>
      <c r="X25" s="58"/>
      <c r="Y25" s="58"/>
      <c r="Z25" s="58"/>
      <c r="AA25" s="58"/>
      <c r="AB25" s="54"/>
      <c r="AC25" s="70" t="s">
        <v>209</v>
      </c>
      <c r="AD25" s="66">
        <v>9.6000000000000002E-2</v>
      </c>
      <c r="AE25" s="71">
        <v>0.94500326954202685</v>
      </c>
    </row>
    <row r="26" spans="1:31" ht="15.75">
      <c r="A26" s="693"/>
      <c r="B26" s="187"/>
      <c r="C26" s="77" t="s">
        <v>291</v>
      </c>
      <c r="D26" s="66">
        <f>VLOOKUP('AggrStep1-energy'!$C26,'Energia PJ'!$B$2:$V$61,D$1,FALSE)</f>
        <v>0</v>
      </c>
      <c r="E26" s="66">
        <f>VLOOKUP('AggrStep1-energy'!$C26,'Energia PJ'!$B$2:$V$61,E$1,FALSE)</f>
        <v>0</v>
      </c>
      <c r="F26" s="66">
        <f>VLOOKUP('AggrStep1-energy'!$C26,'Energia PJ'!$B$2:$V$61,F$1,FALSE)</f>
        <v>0</v>
      </c>
      <c r="G26" s="66">
        <f>VLOOKUP('AggrStep1-energy'!$C26,'Energia PJ'!$B$2:$V$61,G$1,FALSE)</f>
        <v>0</v>
      </c>
      <c r="H26" s="66">
        <f>VLOOKUP('AggrStep1-energy'!$C26,'Energia PJ'!$B$2:$V$61,H$1,FALSE)</f>
        <v>0</v>
      </c>
      <c r="I26" s="66">
        <f>VLOOKUP('AggrStep1-energy'!$C26,'Energia PJ'!$B$2:$V$61,I$1,FALSE)</f>
        <v>0</v>
      </c>
      <c r="J26" s="66">
        <f>VLOOKUP('AggrStep1-energy'!$C26,'Energia PJ'!$B$2:$V$61,J$1,FALSE)</f>
        <v>0</v>
      </c>
      <c r="K26" s="66">
        <f>VLOOKUP('AggrStep1-energy'!$C26,'Energia PJ'!$B$2:$V$61,K$1,FALSE)</f>
        <v>4.0659999999999998</v>
      </c>
      <c r="L26" s="66">
        <f>VLOOKUP('AggrStep1-energy'!$C26,'Energia PJ'!$B$2:$V$61,L$1,FALSE)</f>
        <v>0</v>
      </c>
      <c r="M26" s="66">
        <f>VLOOKUP('AggrStep1-energy'!$C26,'Energia PJ'!$B$2:$V$61,M$1,FALSE)</f>
        <v>0</v>
      </c>
      <c r="N26" s="66">
        <f>VLOOKUP('AggrStep1-energy'!$C26,'Energia PJ'!$B$2:$V$61,N$1,FALSE)</f>
        <v>0</v>
      </c>
      <c r="O26" s="66">
        <f>VLOOKUP('AggrStep1-energy'!$C26,'Energia PJ'!$B$2:$V$61,O$1,FALSE)</f>
        <v>0</v>
      </c>
      <c r="P26" s="66">
        <f>VLOOKUP('AggrStep1-energy'!$C26,'Energia PJ'!$B$2:$V$61,P$1,FALSE)</f>
        <v>0</v>
      </c>
      <c r="Q26" s="66">
        <f>VLOOKUP('AggrStep1-energy'!$C26,'Energia PJ'!$B$2:$V$61,Q$1,FALSE)</f>
        <v>0</v>
      </c>
      <c r="R26" s="66">
        <f>VLOOKUP('AggrStep1-energy'!$C26,'Energia PJ'!$B$2:$V$61,R$1,FALSE)</f>
        <v>0</v>
      </c>
      <c r="S26" s="66">
        <f>VLOOKUP('AggrStep1-energy'!$C26,'Energia PJ'!$B$2:$V$61,S$1,FALSE)</f>
        <v>0</v>
      </c>
      <c r="T26" s="66">
        <f>VLOOKUP('AggrStep1-energy'!$C26,'Energia PJ'!$B$2:$V$61,T$1,FALSE)</f>
        <v>0</v>
      </c>
      <c r="U26" s="66">
        <f>VLOOKUP('AggrStep1-energy'!$C26,'Energia PJ'!$B$2:$V$61,U$1,FALSE)</f>
        <v>0</v>
      </c>
      <c r="V26" s="66">
        <f>VLOOKUP('AggrStep1-energy'!$C26,'Energia PJ'!$B$2:$V$61,V$1,FALSE)</f>
        <v>0</v>
      </c>
      <c r="W26" s="56">
        <f t="shared" si="0"/>
        <v>4.0659999999999998</v>
      </c>
      <c r="X26" s="58"/>
      <c r="Y26" s="58"/>
      <c r="Z26" s="58"/>
      <c r="AA26" s="58"/>
      <c r="AB26" s="54"/>
      <c r="AC26" s="70" t="s">
        <v>28</v>
      </c>
      <c r="AD26" s="66">
        <v>0.10158695011343621</v>
      </c>
      <c r="AE26" s="71">
        <v>1</v>
      </c>
    </row>
    <row r="27" spans="1:31" ht="15.75">
      <c r="A27" s="693"/>
      <c r="B27" s="187"/>
      <c r="C27" s="77" t="s">
        <v>295</v>
      </c>
      <c r="D27" s="66">
        <f>VLOOKUP('AggrStep1-energy'!$C27,'Energia PJ'!$B$2:$V$61,D$1,FALSE)</f>
        <v>0</v>
      </c>
      <c r="E27" s="66">
        <f>VLOOKUP('AggrStep1-energy'!$C27,'Energia PJ'!$B$2:$V$61,E$1,FALSE)</f>
        <v>0</v>
      </c>
      <c r="F27" s="66">
        <f>VLOOKUP('AggrStep1-energy'!$C27,'Energia PJ'!$B$2:$V$61,F$1,FALSE)</f>
        <v>0</v>
      </c>
      <c r="G27" s="66">
        <f>VLOOKUP('AggrStep1-energy'!$C27,'Energia PJ'!$B$2:$V$61,G$1,FALSE)</f>
        <v>0</v>
      </c>
      <c r="H27" s="66">
        <f>VLOOKUP('AggrStep1-energy'!$C27,'Energia PJ'!$B$2:$V$61,H$1,FALSE)</f>
        <v>0</v>
      </c>
      <c r="I27" s="66">
        <f>VLOOKUP('AggrStep1-energy'!$C27,'Energia PJ'!$B$2:$V$61,I$1,FALSE)</f>
        <v>0</v>
      </c>
      <c r="J27" s="66">
        <f>VLOOKUP('AggrStep1-energy'!$C27,'Energia PJ'!$B$2:$V$61,J$1,FALSE)</f>
        <v>26.448539</v>
      </c>
      <c r="K27" s="66">
        <f>VLOOKUP('AggrStep1-energy'!$C27,'Energia PJ'!$B$2:$V$61,K$1,FALSE)</f>
        <v>0.161</v>
      </c>
      <c r="L27" s="66">
        <f>VLOOKUP('AggrStep1-energy'!$C27,'Energia PJ'!$B$2:$V$61,L$1,FALSE)</f>
        <v>0</v>
      </c>
      <c r="M27" s="66">
        <f>VLOOKUP('AggrStep1-energy'!$C27,'Energia PJ'!$B$2:$V$61,M$1,FALSE)</f>
        <v>0</v>
      </c>
      <c r="N27" s="66">
        <f>VLOOKUP('AggrStep1-energy'!$C27,'Energia PJ'!$B$2:$V$61,N$1,FALSE)</f>
        <v>0</v>
      </c>
      <c r="O27" s="66">
        <f>VLOOKUP('AggrStep1-energy'!$C27,'Energia PJ'!$B$2:$V$61,O$1,FALSE)</f>
        <v>0</v>
      </c>
      <c r="P27" s="66">
        <f>VLOOKUP('AggrStep1-energy'!$C27,'Energia PJ'!$B$2:$V$61,P$1,FALSE)</f>
        <v>0</v>
      </c>
      <c r="Q27" s="66">
        <f>VLOOKUP('AggrStep1-energy'!$C27,'Energia PJ'!$B$2:$V$61,Q$1,FALSE)</f>
        <v>0</v>
      </c>
      <c r="R27" s="66">
        <f>VLOOKUP('AggrStep1-energy'!$C27,'Energia PJ'!$B$2:$V$61,R$1,FALSE)</f>
        <v>0</v>
      </c>
      <c r="S27" s="66">
        <f>VLOOKUP('AggrStep1-energy'!$C27,'Energia PJ'!$B$2:$V$61,S$1,FALSE)</f>
        <v>0</v>
      </c>
      <c r="T27" s="66">
        <f>VLOOKUP('AggrStep1-energy'!$C27,'Energia PJ'!$B$2:$V$61,T$1,FALSE)</f>
        <v>0</v>
      </c>
      <c r="U27" s="66">
        <f>VLOOKUP('AggrStep1-energy'!$C27,'Energia PJ'!$B$2:$V$61,U$1,FALSE)</f>
        <v>0</v>
      </c>
      <c r="V27" s="66">
        <f>VLOOKUP('AggrStep1-energy'!$C27,'Energia PJ'!$B$2:$V$61,V$1,FALSE)</f>
        <v>0</v>
      </c>
      <c r="W27" s="56">
        <f t="shared" si="0"/>
        <v>26.609539000000002</v>
      </c>
      <c r="X27" s="58"/>
      <c r="Y27" s="58"/>
      <c r="Z27" s="58"/>
      <c r="AA27" s="58"/>
      <c r="AB27" s="54"/>
    </row>
    <row r="28" spans="1:31" ht="15.75">
      <c r="A28" s="693"/>
      <c r="B28" s="187"/>
      <c r="C28" s="77" t="s">
        <v>292</v>
      </c>
      <c r="D28" s="66">
        <f>VLOOKUP('AggrStep1-energy'!$C28,'Energia PJ'!$B$2:$V$61,D$1,FALSE)</f>
        <v>0</v>
      </c>
      <c r="E28" s="66">
        <f>VLOOKUP('AggrStep1-energy'!$C28,'Energia PJ'!$B$2:$V$61,E$1,FALSE)</f>
        <v>0</v>
      </c>
      <c r="F28" s="66">
        <f>VLOOKUP('AggrStep1-energy'!$C28,'Energia PJ'!$B$2:$V$61,F$1,FALSE)</f>
        <v>0</v>
      </c>
      <c r="G28" s="66">
        <f>VLOOKUP('AggrStep1-energy'!$C28,'Energia PJ'!$B$2:$V$61,G$1,FALSE)</f>
        <v>8.1303E-2</v>
      </c>
      <c r="H28" s="66">
        <f>VLOOKUP('AggrStep1-energy'!$C28,'Energia PJ'!$B$2:$V$61,H$1,FALSE)</f>
        <v>0</v>
      </c>
      <c r="I28" s="66">
        <f>VLOOKUP('AggrStep1-energy'!$C28,'Energia PJ'!$B$2:$V$61,I$1,FALSE)</f>
        <v>0</v>
      </c>
      <c r="J28" s="66">
        <f>VLOOKUP('AggrStep1-energy'!$C28,'Energia PJ'!$B$2:$V$61,J$1,FALSE)</f>
        <v>28.674313999999999</v>
      </c>
      <c r="K28" s="66">
        <f>VLOOKUP('AggrStep1-energy'!$C28,'Energia PJ'!$B$2:$V$61,K$1,FALSE)</f>
        <v>0</v>
      </c>
      <c r="L28" s="66">
        <f>VLOOKUP('AggrStep1-energy'!$C28,'Energia PJ'!$B$2:$V$61,L$1,FALSE)</f>
        <v>0</v>
      </c>
      <c r="M28" s="66">
        <f>VLOOKUP('AggrStep1-energy'!$C28,'Energia PJ'!$B$2:$V$61,M$1,FALSE)</f>
        <v>0</v>
      </c>
      <c r="N28" s="66">
        <f>VLOOKUP('AggrStep1-energy'!$C28,'Energia PJ'!$B$2:$V$61,N$1,FALSE)</f>
        <v>0</v>
      </c>
      <c r="O28" s="66">
        <f>VLOOKUP('AggrStep1-energy'!$C28,'Energia PJ'!$B$2:$V$61,O$1,FALSE)</f>
        <v>0</v>
      </c>
      <c r="P28" s="66">
        <f>VLOOKUP('AggrStep1-energy'!$C28,'Energia PJ'!$B$2:$V$61,P$1,FALSE)</f>
        <v>0</v>
      </c>
      <c r="Q28" s="66">
        <f>VLOOKUP('AggrStep1-energy'!$C28,'Energia PJ'!$B$2:$V$61,Q$1,FALSE)</f>
        <v>0</v>
      </c>
      <c r="R28" s="66">
        <f>VLOOKUP('AggrStep1-energy'!$C28,'Energia PJ'!$B$2:$V$61,R$1,FALSE)</f>
        <v>0</v>
      </c>
      <c r="S28" s="66">
        <f>VLOOKUP('AggrStep1-energy'!$C28,'Energia PJ'!$B$2:$V$61,S$1,FALSE)</f>
        <v>0</v>
      </c>
      <c r="T28" s="66">
        <f>VLOOKUP('AggrStep1-energy'!$C28,'Energia PJ'!$B$2:$V$61,T$1,FALSE)</f>
        <v>0</v>
      </c>
      <c r="U28" s="66">
        <f>VLOOKUP('AggrStep1-energy'!$C28,'Energia PJ'!$B$2:$V$61,U$1,FALSE)</f>
        <v>0</v>
      </c>
      <c r="V28" s="66">
        <f>VLOOKUP('AggrStep1-energy'!$C28,'Energia PJ'!$B$2:$V$61,V$1,FALSE)</f>
        <v>0</v>
      </c>
      <c r="W28" s="64">
        <f t="shared" si="0"/>
        <v>28.755616999999997</v>
      </c>
      <c r="X28" s="58"/>
      <c r="Y28" s="58"/>
      <c r="Z28" s="58"/>
      <c r="AA28" s="58"/>
      <c r="AB28" s="54"/>
    </row>
    <row r="29" spans="1:31" ht="15.75">
      <c r="A29" s="693"/>
      <c r="B29" s="187"/>
      <c r="C29" s="613" t="s">
        <v>935</v>
      </c>
      <c r="D29" s="66">
        <f>VLOOKUP('AggrStep1-energy'!$C29,'Energia PJ'!$B$2:$V$61,D$1,FALSE)</f>
        <v>0</v>
      </c>
      <c r="E29" s="66">
        <f>VLOOKUP('AggrStep1-energy'!$C29,'Energia PJ'!$B$2:$V$61,E$1,FALSE)</f>
        <v>0</v>
      </c>
      <c r="F29" s="66">
        <f>VLOOKUP('AggrStep1-energy'!$C29,'Energia PJ'!$B$2:$V$61,F$1,FALSE)</f>
        <v>0</v>
      </c>
      <c r="G29" s="66">
        <f>VLOOKUP('AggrStep1-energy'!$C29,'Energia PJ'!$B$2:$V$61,G$1,FALSE)</f>
        <v>0</v>
      </c>
      <c r="H29" s="66">
        <f>VLOOKUP('AggrStep1-energy'!$C29,'Energia PJ'!$B$2:$V$61,H$1,FALSE)</f>
        <v>0</v>
      </c>
      <c r="I29" s="66">
        <f>VLOOKUP('AggrStep1-energy'!$C29,'Energia PJ'!$B$2:$V$61,I$1,FALSE)</f>
        <v>0</v>
      </c>
      <c r="J29" s="66">
        <f>VLOOKUP('AggrStep1-energy'!$C29,'Energia PJ'!$B$2:$V$61,J$1,FALSE)</f>
        <v>10.947546000000001</v>
      </c>
      <c r="K29" s="66">
        <f>VLOOKUP('AggrStep1-energy'!$C29,'Energia PJ'!$B$2:$V$61,K$1,FALSE)</f>
        <v>0</v>
      </c>
      <c r="L29" s="66">
        <f>VLOOKUP('AggrStep1-energy'!$C29,'Energia PJ'!$B$2:$V$61,L$1,FALSE)</f>
        <v>0</v>
      </c>
      <c r="M29" s="66">
        <f>VLOOKUP('AggrStep1-energy'!$C29,'Energia PJ'!$B$2:$V$61,M$1,FALSE)</f>
        <v>0</v>
      </c>
      <c r="N29" s="66">
        <f>VLOOKUP('AggrStep1-energy'!$C29,'Energia PJ'!$B$2:$V$61,N$1,FALSE)</f>
        <v>0</v>
      </c>
      <c r="O29" s="66">
        <f>VLOOKUP('AggrStep1-energy'!$C29,'Energia PJ'!$B$2:$V$61,O$1,FALSE)</f>
        <v>0</v>
      </c>
      <c r="P29" s="66">
        <f>VLOOKUP('AggrStep1-energy'!$C29,'Energia PJ'!$B$2:$V$61,P$1,FALSE)</f>
        <v>0</v>
      </c>
      <c r="Q29" s="66">
        <f>VLOOKUP('AggrStep1-energy'!$C29,'Energia PJ'!$B$2:$V$61,Q$1,FALSE)</f>
        <v>0</v>
      </c>
      <c r="R29" s="66">
        <f>VLOOKUP('AggrStep1-energy'!$C29,'Energia PJ'!$B$2:$V$61,R$1,FALSE)</f>
        <v>0</v>
      </c>
      <c r="S29" s="66">
        <f>VLOOKUP('AggrStep1-energy'!$C29,'Energia PJ'!$B$2:$V$61,S$1,FALSE)</f>
        <v>0</v>
      </c>
      <c r="T29" s="66">
        <f>VLOOKUP('AggrStep1-energy'!$C29,'Energia PJ'!$B$2:$V$61,T$1,FALSE)</f>
        <v>0</v>
      </c>
      <c r="U29" s="66">
        <f>VLOOKUP('AggrStep1-energy'!$C29,'Energia PJ'!$B$2:$V$61,U$1,FALSE)</f>
        <v>0</v>
      </c>
      <c r="V29" s="66">
        <f>VLOOKUP('AggrStep1-energy'!$C29,'Energia PJ'!$B$2:$V$61,V$1,FALSE)</f>
        <v>0</v>
      </c>
      <c r="W29" s="56">
        <f t="shared" si="0"/>
        <v>10.947546000000001</v>
      </c>
      <c r="X29" s="58"/>
      <c r="Y29" s="58"/>
      <c r="Z29" s="58"/>
      <c r="AA29" s="58"/>
      <c r="AB29" s="54"/>
    </row>
    <row r="30" spans="1:31" s="51" customFormat="1" ht="15.75">
      <c r="C30" s="51" t="s">
        <v>368</v>
      </c>
      <c r="D30" s="56">
        <f t="shared" ref="D30:W30" si="1">SUM(D4:D29)</f>
        <v>0</v>
      </c>
      <c r="E30" s="56">
        <f t="shared" si="1"/>
        <v>63.782443000000001</v>
      </c>
      <c r="F30" s="56">
        <f t="shared" si="1"/>
        <v>100.068597</v>
      </c>
      <c r="G30" s="56">
        <f t="shared" si="1"/>
        <v>25.441735999999999</v>
      </c>
      <c r="H30" s="56">
        <f t="shared" si="1"/>
        <v>65.126006000000004</v>
      </c>
      <c r="I30" s="56">
        <f t="shared" si="1"/>
        <v>111.145081</v>
      </c>
      <c r="J30" s="56">
        <f t="shared" si="1"/>
        <v>788.17912899999999</v>
      </c>
      <c r="K30" s="56">
        <f t="shared" si="1"/>
        <v>846.50500000000011</v>
      </c>
      <c r="L30" s="56">
        <f t="shared" si="1"/>
        <v>0</v>
      </c>
      <c r="M30" s="56">
        <f t="shared" si="1"/>
        <v>7.2359999999999998</v>
      </c>
      <c r="N30" s="56">
        <f t="shared" si="1"/>
        <v>426.08409399999999</v>
      </c>
      <c r="O30" s="56">
        <f t="shared" si="1"/>
        <v>0</v>
      </c>
      <c r="P30" s="56">
        <f t="shared" si="1"/>
        <v>638.95000000000005</v>
      </c>
      <c r="Q30" s="56">
        <f t="shared" si="1"/>
        <v>1472.812455</v>
      </c>
      <c r="R30" s="56">
        <f t="shared" si="1"/>
        <v>0</v>
      </c>
      <c r="S30" s="56">
        <f t="shared" si="1"/>
        <v>0</v>
      </c>
      <c r="T30" s="56">
        <f t="shared" si="1"/>
        <v>255.42239699999999</v>
      </c>
      <c r="U30" s="56">
        <f t="shared" si="1"/>
        <v>0</v>
      </c>
      <c r="V30" s="56">
        <f t="shared" si="1"/>
        <v>127.68880099999998</v>
      </c>
      <c r="W30" s="56">
        <f t="shared" si="1"/>
        <v>4928.4417389999999</v>
      </c>
      <c r="X30" s="54"/>
      <c r="Y30" s="54"/>
      <c r="Z30" s="54"/>
      <c r="AA30" s="54"/>
      <c r="AB30" s="54"/>
    </row>
    <row r="31" spans="1:31" s="51" customFormat="1" ht="15.75">
      <c r="D31" s="56"/>
      <c r="E31" s="56"/>
      <c r="F31" s="56"/>
      <c r="G31" s="56"/>
      <c r="H31" s="56"/>
      <c r="I31" s="56"/>
      <c r="J31" s="56"/>
      <c r="K31" s="56"/>
      <c r="L31" s="56"/>
      <c r="M31" s="56"/>
      <c r="N31" s="56"/>
      <c r="O31" s="56"/>
      <c r="P31" s="56"/>
      <c r="Q31" s="56"/>
      <c r="R31" s="56"/>
      <c r="S31" s="56"/>
      <c r="T31" s="56"/>
      <c r="U31" s="56"/>
      <c r="V31" s="56"/>
      <c r="W31" s="56"/>
      <c r="X31" s="54"/>
      <c r="Y31" s="54"/>
      <c r="Z31" s="54"/>
      <c r="AA31" s="54"/>
      <c r="AB31" s="54"/>
    </row>
    <row r="32" spans="1:31" s="51" customFormat="1" ht="15.75">
      <c r="C32" s="67" t="s">
        <v>288</v>
      </c>
      <c r="D32" s="66">
        <f>VLOOKUP('AggrStep1-energy'!$C32,'Energia PJ'!$B$2:$V$61,D$1,FALSE)</f>
        <v>0</v>
      </c>
      <c r="E32" s="66">
        <f>VLOOKUP('AggrStep1-energy'!$C32,'Energia PJ'!$B$2:$V$61,E$1,FALSE)</f>
        <v>0</v>
      </c>
      <c r="F32" s="66">
        <f>VLOOKUP('AggrStep1-energy'!$C32,'Energia PJ'!$B$2:$V$61,F$1,FALSE)</f>
        <v>0</v>
      </c>
      <c r="G32" s="66">
        <f>VLOOKUP('AggrStep1-energy'!$C32,'Energia PJ'!$B$2:$V$61,G$1,FALSE)</f>
        <v>0</v>
      </c>
      <c r="H32" s="66">
        <f>VLOOKUP('AggrStep1-energy'!$C32,'Energia PJ'!$B$2:$V$61,H$1,FALSE)</f>
        <v>3.526732</v>
      </c>
      <c r="I32" s="66">
        <f>VLOOKUP('AggrStep1-energy'!$C32,'Energia PJ'!$B$2:$V$61,I$1,FALSE)</f>
        <v>0</v>
      </c>
      <c r="J32" s="66">
        <f>VLOOKUP('AggrStep1-energy'!$C32,'Energia PJ'!$B$2:$V$61,J$1,FALSE)</f>
        <v>0</v>
      </c>
      <c r="K32" s="66">
        <f>VLOOKUP('AggrStep1-energy'!$C32,'Energia PJ'!$B$2:$V$61,K$1,FALSE)</f>
        <v>0</v>
      </c>
      <c r="L32" s="66">
        <f>VLOOKUP('AggrStep1-energy'!$C32,'Energia PJ'!$B$2:$V$61,L$1,FALSE)</f>
        <v>0</v>
      </c>
      <c r="M32" s="66">
        <f>VLOOKUP('AggrStep1-energy'!$C32,'Energia PJ'!$B$2:$V$61,M$1,FALSE)</f>
        <v>0</v>
      </c>
      <c r="N32" s="66">
        <f>VLOOKUP('AggrStep1-energy'!$C32,'Energia PJ'!$B$2:$V$61,N$1,FALSE)</f>
        <v>0</v>
      </c>
      <c r="O32" s="66">
        <f>VLOOKUP('AggrStep1-energy'!$C32,'Energia PJ'!$B$2:$V$61,O$1,FALSE)</f>
        <v>0</v>
      </c>
      <c r="P32" s="66">
        <f>VLOOKUP('AggrStep1-energy'!$C32,'Energia PJ'!$B$2:$V$61,P$1,FALSE)</f>
        <v>0</v>
      </c>
      <c r="Q32" s="66">
        <f>VLOOKUP('AggrStep1-energy'!$C32,'Energia PJ'!$B$2:$V$61,Q$1,FALSE)</f>
        <v>0</v>
      </c>
      <c r="R32" s="66">
        <f>VLOOKUP('AggrStep1-energy'!$C32,'Energia PJ'!$B$2:$V$61,R$1,FALSE)</f>
        <v>0</v>
      </c>
      <c r="S32" s="66">
        <f>VLOOKUP('AggrStep1-energy'!$C32,'Energia PJ'!$B$2:$V$61,S$1,FALSE)</f>
        <v>0</v>
      </c>
      <c r="T32" s="66">
        <f>VLOOKUP('AggrStep1-energy'!$C32,'Energia PJ'!$B$2:$V$61,T$1,FALSE)</f>
        <v>0</v>
      </c>
      <c r="U32" s="66">
        <f>VLOOKUP('AggrStep1-energy'!$C32,'Energia PJ'!$B$2:$V$61,U$1,FALSE)</f>
        <v>0</v>
      </c>
      <c r="V32" s="66">
        <f>VLOOKUP('AggrStep1-energy'!$C32,'Energia PJ'!$B$2:$V$61,V$1,FALSE)</f>
        <v>0</v>
      </c>
      <c r="W32" s="56">
        <f t="shared" ref="W32:W36" si="2">SUM(D32:V32)</f>
        <v>3.526732</v>
      </c>
      <c r="X32" s="54"/>
      <c r="Y32" s="54"/>
      <c r="Z32" s="54"/>
      <c r="AA32" s="54"/>
      <c r="AB32" s="54"/>
    </row>
    <row r="33" spans="3:28" s="51" customFormat="1" ht="15.75">
      <c r="C33" s="77" t="s">
        <v>939</v>
      </c>
      <c r="D33" s="66">
        <f>VLOOKUP('AggrStep1-energy'!$C33,'Energia PJ'!$B$2:$V$61,D$1,FALSE)</f>
        <v>0</v>
      </c>
      <c r="E33" s="66">
        <f>VLOOKUP('AggrStep1-energy'!$C33,'Energia PJ'!$B$2:$V$61,E$1,FALSE)</f>
        <v>0</v>
      </c>
      <c r="F33" s="66">
        <f>VLOOKUP('AggrStep1-energy'!$C33,'Energia PJ'!$B$2:$V$61,F$1,FALSE)</f>
        <v>0</v>
      </c>
      <c r="G33" s="66">
        <f>VLOOKUP('AggrStep1-energy'!$C33,'Energia PJ'!$B$2:$V$61,G$1,FALSE)</f>
        <v>0</v>
      </c>
      <c r="H33" s="66">
        <f>VLOOKUP('AggrStep1-energy'!$C33,'Energia PJ'!$B$2:$V$61,H$1,FALSE)</f>
        <v>0</v>
      </c>
      <c r="I33" s="66">
        <f>VLOOKUP('AggrStep1-energy'!$C33,'Energia PJ'!$B$2:$V$61,I$1,FALSE)</f>
        <v>0</v>
      </c>
      <c r="J33" s="66">
        <f>VLOOKUP('AggrStep1-energy'!$C33,'Energia PJ'!$B$2:$V$61,J$1,FALSE)</f>
        <v>0</v>
      </c>
      <c r="K33" s="66">
        <f>VLOOKUP('AggrStep1-energy'!$C33,'Energia PJ'!$B$2:$V$61,K$1,FALSE)</f>
        <v>0</v>
      </c>
      <c r="L33" s="66">
        <f>VLOOKUP('AggrStep1-energy'!$C33,'Energia PJ'!$B$2:$V$61,L$1,FALSE)</f>
        <v>0</v>
      </c>
      <c r="M33" s="66">
        <f>VLOOKUP('AggrStep1-energy'!$C33,'Energia PJ'!$B$2:$V$61,M$1,FALSE)</f>
        <v>0</v>
      </c>
      <c r="N33" s="66">
        <f>VLOOKUP('AggrStep1-energy'!$C33,'Energia PJ'!$B$2:$V$61,N$1,FALSE)</f>
        <v>0</v>
      </c>
      <c r="O33" s="66">
        <f>VLOOKUP('AggrStep1-energy'!$C33,'Energia PJ'!$B$2:$V$61,O$1,FALSE)</f>
        <v>0</v>
      </c>
      <c r="P33" s="66">
        <f>VLOOKUP('AggrStep1-energy'!$C33,'Energia PJ'!$B$2:$V$61,P$1,FALSE)</f>
        <v>112.85074853466141</v>
      </c>
      <c r="Q33" s="66">
        <f>VLOOKUP('AggrStep1-energy'!$C33,'Energia PJ'!$B$2:$V$61,Q$1,FALSE)</f>
        <v>0</v>
      </c>
      <c r="R33" s="66">
        <f>VLOOKUP('AggrStep1-energy'!$C33,'Energia PJ'!$B$2:$V$61,R$1,FALSE)</f>
        <v>0</v>
      </c>
      <c r="S33" s="66">
        <f>VLOOKUP('AggrStep1-energy'!$C33,'Energia PJ'!$B$2:$V$61,S$1,FALSE)</f>
        <v>0</v>
      </c>
      <c r="T33" s="66">
        <f>VLOOKUP('AggrStep1-energy'!$C33,'Energia PJ'!$B$2:$V$61,T$1,FALSE)</f>
        <v>0</v>
      </c>
      <c r="U33" s="66">
        <f>VLOOKUP('AggrStep1-energy'!$C33,'Energia PJ'!$B$2:$V$61,U$1,FALSE)</f>
        <v>0</v>
      </c>
      <c r="V33" s="66">
        <f>VLOOKUP('AggrStep1-energy'!$C33,'Energia PJ'!$B$2:$V$61,V$1,FALSE)</f>
        <v>0</v>
      </c>
      <c r="W33" s="56">
        <f t="shared" si="2"/>
        <v>112.85074853466141</v>
      </c>
      <c r="X33" s="54"/>
      <c r="Y33" s="54"/>
      <c r="Z33" s="54"/>
      <c r="AA33" s="54"/>
      <c r="AB33" s="54"/>
    </row>
    <row r="34" spans="3:28" s="51" customFormat="1" ht="15.75">
      <c r="C34" s="67" t="s">
        <v>285</v>
      </c>
      <c r="D34" s="66">
        <f>VLOOKUP('AggrStep1-energy'!$C34,'Energia PJ'!$B$2:$V$61,D$1,FALSE)</f>
        <v>0</v>
      </c>
      <c r="E34" s="66">
        <f>VLOOKUP('AggrStep1-energy'!$C34,'Energia PJ'!$B$2:$V$61,E$1,FALSE)</f>
        <v>0</v>
      </c>
      <c r="F34" s="66">
        <f>VLOOKUP('AggrStep1-energy'!$C34,'Energia PJ'!$B$2:$V$61,F$1,FALSE)</f>
        <v>0</v>
      </c>
      <c r="G34" s="66">
        <f>VLOOKUP('AggrStep1-energy'!$C34,'Energia PJ'!$B$2:$V$61,G$1,FALSE)</f>
        <v>0</v>
      </c>
      <c r="H34" s="66">
        <f>VLOOKUP('AggrStep1-energy'!$C34,'Energia PJ'!$B$2:$V$61,H$1,FALSE)</f>
        <v>0</v>
      </c>
      <c r="I34" s="66">
        <f>VLOOKUP('AggrStep1-energy'!$C34,'Energia PJ'!$B$2:$V$61,I$1,FALSE)</f>
        <v>0</v>
      </c>
      <c r="J34" s="66">
        <f>VLOOKUP('AggrStep1-energy'!$C34,'Energia PJ'!$B$2:$V$61,J$1,FALSE)</f>
        <v>0</v>
      </c>
      <c r="K34" s="66">
        <f>VLOOKUP('AggrStep1-energy'!$C34,'Energia PJ'!$B$2:$V$61,K$1,FALSE)</f>
        <v>0</v>
      </c>
      <c r="L34" s="66">
        <f>VLOOKUP('AggrStep1-energy'!$C34,'Energia PJ'!$B$2:$V$61,L$1,FALSE)</f>
        <v>0</v>
      </c>
      <c r="M34" s="66">
        <f>VLOOKUP('AggrStep1-energy'!$C34,'Energia PJ'!$B$2:$V$61,M$1,FALSE)</f>
        <v>0</v>
      </c>
      <c r="N34" s="66">
        <f>VLOOKUP('AggrStep1-energy'!$C34,'Energia PJ'!$B$2:$V$61,N$1,FALSE)</f>
        <v>0</v>
      </c>
      <c r="O34" s="66">
        <f>VLOOKUP('AggrStep1-energy'!$C34,'Energia PJ'!$B$2:$V$61,O$1,FALSE)</f>
        <v>132.85906083999998</v>
      </c>
      <c r="P34" s="66">
        <f>VLOOKUP('AggrStep1-energy'!$C34,'Energia PJ'!$B$2:$V$61,P$1,FALSE)</f>
        <v>250.59017733356711</v>
      </c>
      <c r="Q34" s="66">
        <f>VLOOKUP('AggrStep1-energy'!$C34,'Energia PJ'!$B$2:$V$61,Q$1,FALSE)</f>
        <v>0</v>
      </c>
      <c r="R34" s="66">
        <f>VLOOKUP('AggrStep1-energy'!$C34,'Energia PJ'!$B$2:$V$61,R$1,FALSE)</f>
        <v>0</v>
      </c>
      <c r="S34" s="66">
        <f>VLOOKUP('AggrStep1-energy'!$C34,'Energia PJ'!$B$2:$V$61,S$1,FALSE)</f>
        <v>0</v>
      </c>
      <c r="T34" s="66">
        <f>VLOOKUP('AggrStep1-energy'!$C34,'Energia PJ'!$B$2:$V$61,T$1,FALSE)</f>
        <v>0</v>
      </c>
      <c r="U34" s="66">
        <f>VLOOKUP('AggrStep1-energy'!$C34,'Energia PJ'!$B$2:$V$61,U$1,FALSE)</f>
        <v>0</v>
      </c>
      <c r="V34" s="66">
        <f>VLOOKUP('AggrStep1-energy'!$C34,'Energia PJ'!$B$2:$V$61,V$1,FALSE)</f>
        <v>0</v>
      </c>
      <c r="W34" s="56">
        <f t="shared" si="2"/>
        <v>383.4492381735671</v>
      </c>
      <c r="X34" s="54"/>
      <c r="Y34" s="54"/>
      <c r="Z34" s="54"/>
      <c r="AA34" s="54"/>
      <c r="AB34" s="54"/>
    </row>
    <row r="35" spans="3:28" s="51" customFormat="1" ht="15.75">
      <c r="C35" s="67" t="s">
        <v>284</v>
      </c>
      <c r="D35" s="66">
        <f>VLOOKUP('AggrStep1-energy'!$C35,'Energia PJ'!$B$2:$V$61,D$1,FALSE)</f>
        <v>0</v>
      </c>
      <c r="E35" s="66">
        <f>VLOOKUP('AggrStep1-energy'!$C35,'Energia PJ'!$B$2:$V$61,E$1,FALSE)</f>
        <v>0</v>
      </c>
      <c r="F35" s="66">
        <f>VLOOKUP('AggrStep1-energy'!$C35,'Energia PJ'!$B$2:$V$61,F$1,FALSE)</f>
        <v>0</v>
      </c>
      <c r="G35" s="66">
        <f>VLOOKUP('AggrStep1-energy'!$C35,'Energia PJ'!$B$2:$V$61,G$1,FALSE)</f>
        <v>0</v>
      </c>
      <c r="H35" s="66">
        <f>VLOOKUP('AggrStep1-energy'!$C35,'Energia PJ'!$B$2:$V$61,H$1,FALSE)</f>
        <v>0</v>
      </c>
      <c r="I35" s="66">
        <f>VLOOKUP('AggrStep1-energy'!$C35,'Energia PJ'!$B$2:$V$61,I$1,FALSE)</f>
        <v>0</v>
      </c>
      <c r="J35" s="66">
        <f>VLOOKUP('AggrStep1-energy'!$C35,'Energia PJ'!$B$2:$V$61,J$1,FALSE)</f>
        <v>0</v>
      </c>
      <c r="K35" s="66">
        <f>VLOOKUP('AggrStep1-energy'!$C35,'Energia PJ'!$B$2:$V$61,K$1,FALSE)</f>
        <v>0</v>
      </c>
      <c r="L35" s="66">
        <f>VLOOKUP('AggrStep1-energy'!$C35,'Energia PJ'!$B$2:$V$61,L$1,FALSE)</f>
        <v>0</v>
      </c>
      <c r="M35" s="66">
        <f>VLOOKUP('AggrStep1-energy'!$C35,'Energia PJ'!$B$2:$V$61,M$1,FALSE)</f>
        <v>0</v>
      </c>
      <c r="N35" s="66">
        <f>VLOOKUP('AggrStep1-energy'!$C35,'Energia PJ'!$B$2:$V$61,N$1,FALSE)</f>
        <v>0</v>
      </c>
      <c r="O35" s="66">
        <f>VLOOKUP('AggrStep1-energy'!$C35,'Energia PJ'!$B$2:$V$61,O$1,FALSE)</f>
        <v>0</v>
      </c>
      <c r="P35" s="66">
        <f>VLOOKUP('AggrStep1-energy'!$C35,'Energia PJ'!$B$2:$V$61,P$1,FALSE)</f>
        <v>96.149994922306163</v>
      </c>
      <c r="Q35" s="66">
        <f>VLOOKUP('AggrStep1-energy'!$C35,'Energia PJ'!$B$2:$V$61,Q$1,FALSE)</f>
        <v>0</v>
      </c>
      <c r="R35" s="66">
        <f>VLOOKUP('AggrStep1-energy'!$C35,'Energia PJ'!$B$2:$V$61,R$1,FALSE)</f>
        <v>0</v>
      </c>
      <c r="S35" s="66">
        <f>VLOOKUP('AggrStep1-energy'!$C35,'Energia PJ'!$B$2:$V$61,S$1,FALSE)</f>
        <v>0</v>
      </c>
      <c r="T35" s="66">
        <f>VLOOKUP('AggrStep1-energy'!$C35,'Energia PJ'!$B$2:$V$61,T$1,FALSE)</f>
        <v>0</v>
      </c>
      <c r="U35" s="66">
        <f>VLOOKUP('AggrStep1-energy'!$C35,'Energia PJ'!$B$2:$V$61,U$1,FALSE)</f>
        <v>0</v>
      </c>
      <c r="V35" s="66">
        <f>VLOOKUP('AggrStep1-energy'!$C35,'Energia PJ'!$B$2:$V$61,V$1,FALSE)</f>
        <v>0</v>
      </c>
      <c r="W35" s="56">
        <f t="shared" si="2"/>
        <v>96.149994922306163</v>
      </c>
      <c r="X35" s="54"/>
      <c r="Y35" s="54"/>
      <c r="Z35" s="54"/>
      <c r="AA35" s="54"/>
      <c r="AB35" s="54"/>
    </row>
    <row r="36" spans="3:28" s="51" customFormat="1" ht="15.75">
      <c r="C36" s="67" t="s">
        <v>283</v>
      </c>
      <c r="D36" s="66">
        <f>VLOOKUP('AggrStep1-energy'!$C36,'Energia PJ'!$B$2:$V$61,D$1,FALSE)</f>
        <v>0</v>
      </c>
      <c r="E36" s="66">
        <f>VLOOKUP('AggrStep1-energy'!$C36,'Energia PJ'!$B$2:$V$61,E$1,FALSE)</f>
        <v>0</v>
      </c>
      <c r="F36" s="66">
        <f>VLOOKUP('AggrStep1-energy'!$C36,'Energia PJ'!$B$2:$V$61,F$1,FALSE)</f>
        <v>0</v>
      </c>
      <c r="G36" s="66">
        <f>VLOOKUP('AggrStep1-energy'!$C36,'Energia PJ'!$B$2:$V$61,G$1,FALSE)</f>
        <v>0</v>
      </c>
      <c r="H36" s="66">
        <f>VLOOKUP('AggrStep1-energy'!$C36,'Energia PJ'!$B$2:$V$61,H$1,FALSE)</f>
        <v>0</v>
      </c>
      <c r="I36" s="66">
        <f>VLOOKUP('AggrStep1-energy'!$C36,'Energia PJ'!$B$2:$V$61,I$1,FALSE)</f>
        <v>0</v>
      </c>
      <c r="J36" s="66">
        <f>VLOOKUP('AggrStep1-energy'!$C36,'Energia PJ'!$B$2:$V$61,J$1,FALSE)</f>
        <v>0</v>
      </c>
      <c r="K36" s="66">
        <f>VLOOKUP('AggrStep1-energy'!$C36,'Energia PJ'!$B$2:$V$61,K$1,FALSE)</f>
        <v>0</v>
      </c>
      <c r="L36" s="66">
        <f>VLOOKUP('AggrStep1-energy'!$C36,'Energia PJ'!$B$2:$V$61,L$1,FALSE)</f>
        <v>0</v>
      </c>
      <c r="M36" s="66">
        <f>VLOOKUP('AggrStep1-energy'!$C36,'Energia PJ'!$B$2:$V$61,M$1,FALSE)</f>
        <v>0</v>
      </c>
      <c r="N36" s="66">
        <f>VLOOKUP('AggrStep1-energy'!$C36,'Energia PJ'!$B$2:$V$61,N$1,FALSE)</f>
        <v>0</v>
      </c>
      <c r="O36" s="66">
        <f>VLOOKUP('AggrStep1-energy'!$C36,'Energia PJ'!$B$2:$V$61,O$1,FALSE)</f>
        <v>169.09335016</v>
      </c>
      <c r="P36" s="66">
        <f>VLOOKUP('AggrStep1-energy'!$C36,'Energia PJ'!$B$2:$V$61,P$1,FALSE)</f>
        <v>96.888034597104721</v>
      </c>
      <c r="Q36" s="66">
        <f>VLOOKUP('AggrStep1-energy'!$C36,'Energia PJ'!$B$2:$V$61,Q$1,FALSE)</f>
        <v>0</v>
      </c>
      <c r="R36" s="66">
        <f>VLOOKUP('AggrStep1-energy'!$C36,'Energia PJ'!$B$2:$V$61,R$1,FALSE)</f>
        <v>0</v>
      </c>
      <c r="S36" s="66">
        <f>VLOOKUP('AggrStep1-energy'!$C36,'Energia PJ'!$B$2:$V$61,S$1,FALSE)</f>
        <v>0</v>
      </c>
      <c r="T36" s="66">
        <f>VLOOKUP('AggrStep1-energy'!$C36,'Energia PJ'!$B$2:$V$61,T$1,FALSE)</f>
        <v>0</v>
      </c>
      <c r="U36" s="66">
        <f>VLOOKUP('AggrStep1-energy'!$C36,'Energia PJ'!$B$2:$V$61,U$1,FALSE)</f>
        <v>0</v>
      </c>
      <c r="V36" s="66">
        <f>VLOOKUP('AggrStep1-energy'!$C36,'Energia PJ'!$B$2:$V$61,V$1,FALSE)</f>
        <v>0</v>
      </c>
      <c r="W36" s="56">
        <f t="shared" si="2"/>
        <v>265.98138475710471</v>
      </c>
      <c r="X36" s="54"/>
      <c r="Y36" s="54"/>
      <c r="Z36" s="54"/>
      <c r="AA36" s="54"/>
      <c r="AB36" s="54"/>
    </row>
    <row r="37" spans="3:28" s="51" customFormat="1" ht="15.75">
      <c r="C37" s="3" t="s">
        <v>368</v>
      </c>
      <c r="D37" s="56">
        <f t="shared" ref="D37:W37" si="3">SUM(D32:D36)</f>
        <v>0</v>
      </c>
      <c r="E37" s="56">
        <f t="shared" si="3"/>
        <v>0</v>
      </c>
      <c r="F37" s="56">
        <f t="shared" si="3"/>
        <v>0</v>
      </c>
      <c r="G37" s="56">
        <f t="shared" si="3"/>
        <v>0</v>
      </c>
      <c r="H37" s="56">
        <f t="shared" si="3"/>
        <v>3.526732</v>
      </c>
      <c r="I37" s="56">
        <f t="shared" si="3"/>
        <v>0</v>
      </c>
      <c r="J37" s="56">
        <f t="shared" si="3"/>
        <v>0</v>
      </c>
      <c r="K37" s="56">
        <f t="shared" si="3"/>
        <v>0</v>
      </c>
      <c r="L37" s="56">
        <f t="shared" si="3"/>
        <v>0</v>
      </c>
      <c r="M37" s="56">
        <f t="shared" si="3"/>
        <v>0</v>
      </c>
      <c r="N37" s="56">
        <f t="shared" si="3"/>
        <v>0</v>
      </c>
      <c r="O37" s="56">
        <f t="shared" si="3"/>
        <v>301.95241099999998</v>
      </c>
      <c r="P37" s="56">
        <f t="shared" si="3"/>
        <v>556.47895538763942</v>
      </c>
      <c r="Q37" s="56">
        <f t="shared" si="3"/>
        <v>0</v>
      </c>
      <c r="R37" s="56">
        <f t="shared" si="3"/>
        <v>0</v>
      </c>
      <c r="S37" s="56">
        <f t="shared" si="3"/>
        <v>0</v>
      </c>
      <c r="T37" s="56">
        <f t="shared" si="3"/>
        <v>0</v>
      </c>
      <c r="U37" s="56">
        <f t="shared" si="3"/>
        <v>0</v>
      </c>
      <c r="V37" s="56">
        <f t="shared" si="3"/>
        <v>0</v>
      </c>
      <c r="W37" s="56">
        <f t="shared" si="3"/>
        <v>861.95809838763932</v>
      </c>
      <c r="X37" s="54"/>
      <c r="Y37" s="54"/>
      <c r="Z37" s="54"/>
      <c r="AA37" s="54"/>
      <c r="AB37" s="54"/>
    </row>
    <row r="38" spans="3:28" s="51" customFormat="1" ht="15.75">
      <c r="C38" s="67"/>
      <c r="D38" s="66"/>
      <c r="E38" s="66"/>
      <c r="F38" s="66"/>
      <c r="G38" s="66"/>
      <c r="H38" s="66"/>
      <c r="I38" s="66"/>
      <c r="J38" s="66"/>
      <c r="K38" s="66"/>
      <c r="L38" s="66"/>
      <c r="M38" s="66"/>
      <c r="N38" s="66"/>
      <c r="O38" s="66"/>
      <c r="P38" s="66"/>
      <c r="Q38" s="66"/>
      <c r="R38" s="66"/>
      <c r="S38" s="66"/>
      <c r="T38" s="66"/>
      <c r="U38" s="66"/>
      <c r="V38" s="66"/>
      <c r="W38" s="56"/>
      <c r="X38" s="54"/>
      <c r="Y38" s="54"/>
      <c r="Z38" s="54"/>
      <c r="AA38" s="54"/>
      <c r="AB38" s="54"/>
    </row>
    <row r="39" spans="3:28" s="51" customFormat="1" ht="15.75">
      <c r="D39" s="56"/>
      <c r="E39" s="56"/>
      <c r="F39" s="56"/>
      <c r="G39" s="56"/>
      <c r="H39" s="56"/>
      <c r="I39" s="56"/>
      <c r="J39" s="56"/>
      <c r="K39" s="56"/>
      <c r="L39" s="56"/>
      <c r="M39" s="56"/>
      <c r="N39" s="56"/>
      <c r="O39" s="56"/>
      <c r="P39" s="56"/>
      <c r="Q39" s="56"/>
      <c r="R39" s="56"/>
      <c r="S39" s="56"/>
      <c r="T39" s="56"/>
      <c r="U39" s="56"/>
      <c r="V39" s="56"/>
      <c r="W39" s="56"/>
      <c r="X39" s="54"/>
      <c r="Y39" s="54"/>
      <c r="Z39" s="54"/>
      <c r="AA39" s="54"/>
      <c r="AB39" s="54"/>
    </row>
    <row r="40" spans="3:28" s="51" customFormat="1" ht="15.75">
      <c r="C40" s="51" t="s">
        <v>567</v>
      </c>
      <c r="D40" s="56"/>
      <c r="E40" s="56"/>
      <c r="F40" s="56"/>
      <c r="G40" s="56"/>
      <c r="H40" s="56"/>
      <c r="I40" s="56"/>
      <c r="J40" s="56"/>
      <c r="K40" s="56"/>
      <c r="L40" s="56"/>
      <c r="M40" s="56"/>
      <c r="N40" s="56"/>
      <c r="O40" s="56"/>
      <c r="P40" s="56"/>
      <c r="Q40" s="56"/>
      <c r="R40" s="56"/>
      <c r="S40" s="56"/>
      <c r="T40" s="56"/>
      <c r="U40" s="56"/>
      <c r="V40" s="56"/>
      <c r="W40" s="56"/>
      <c r="X40" s="54"/>
      <c r="Y40" s="54"/>
      <c r="Z40" s="54"/>
      <c r="AA40" s="54"/>
      <c r="AB40" s="54"/>
    </row>
    <row r="41" spans="3:28">
      <c r="C41" s="57" t="s">
        <v>227</v>
      </c>
      <c r="D41" s="58">
        <f>D24</f>
        <v>0</v>
      </c>
      <c r="E41" s="58">
        <f t="shared" ref="E41:W41" si="4">E24</f>
        <v>0</v>
      </c>
      <c r="F41" s="58">
        <f t="shared" si="4"/>
        <v>0</v>
      </c>
      <c r="G41" s="58">
        <f t="shared" si="4"/>
        <v>0</v>
      </c>
      <c r="H41" s="58">
        <f t="shared" si="4"/>
        <v>0</v>
      </c>
      <c r="I41" s="58">
        <f t="shared" si="4"/>
        <v>0</v>
      </c>
      <c r="J41" s="58">
        <f t="shared" si="4"/>
        <v>115.550152</v>
      </c>
      <c r="K41" s="58">
        <f t="shared" si="4"/>
        <v>37.027999999999999</v>
      </c>
      <c r="L41" s="58">
        <f t="shared" si="4"/>
        <v>0</v>
      </c>
      <c r="M41" s="58">
        <f t="shared" si="4"/>
        <v>0</v>
      </c>
      <c r="N41" s="58">
        <f t="shared" si="4"/>
        <v>6.0288570000000004</v>
      </c>
      <c r="O41" s="58">
        <f t="shared" si="4"/>
        <v>0</v>
      </c>
      <c r="P41" s="58">
        <f t="shared" si="4"/>
        <v>0</v>
      </c>
      <c r="Q41" s="58">
        <f t="shared" si="4"/>
        <v>0</v>
      </c>
      <c r="R41" s="58">
        <f t="shared" si="4"/>
        <v>0</v>
      </c>
      <c r="S41" s="58">
        <f t="shared" si="4"/>
        <v>0</v>
      </c>
      <c r="T41" s="58">
        <f t="shared" si="4"/>
        <v>0</v>
      </c>
      <c r="U41" s="58">
        <f t="shared" si="4"/>
        <v>0</v>
      </c>
      <c r="V41" s="58">
        <f t="shared" si="4"/>
        <v>8.1239999999999993E-3</v>
      </c>
      <c r="W41" s="58">
        <f t="shared" si="4"/>
        <v>158.61513299999999</v>
      </c>
      <c r="X41" s="58"/>
      <c r="Y41" s="58"/>
      <c r="Z41" s="58"/>
      <c r="AA41" s="58"/>
      <c r="AB41" s="54"/>
    </row>
    <row r="42" spans="3:28">
      <c r="C42" s="188" t="s">
        <v>274</v>
      </c>
      <c r="D42" s="58">
        <f>SUM(D4:D19,D29)</f>
        <v>0</v>
      </c>
      <c r="E42" s="58">
        <f t="shared" ref="E42:W42" si="5">SUM(E4:E19,E29)</f>
        <v>63.782443000000001</v>
      </c>
      <c r="F42" s="58">
        <f t="shared" si="5"/>
        <v>100.068597</v>
      </c>
      <c r="G42" s="58">
        <f t="shared" si="5"/>
        <v>25.360433</v>
      </c>
      <c r="H42" s="58">
        <f t="shared" si="5"/>
        <v>65.126006000000004</v>
      </c>
      <c r="I42" s="58">
        <f t="shared" si="5"/>
        <v>111.145081</v>
      </c>
      <c r="J42" s="58">
        <f t="shared" si="5"/>
        <v>64.530241999999987</v>
      </c>
      <c r="K42" s="58">
        <f t="shared" si="5"/>
        <v>530.60300000000007</v>
      </c>
      <c r="L42" s="58">
        <f t="shared" si="5"/>
        <v>0</v>
      </c>
      <c r="M42" s="58">
        <f t="shared" si="5"/>
        <v>0.38100000000000001</v>
      </c>
      <c r="N42" s="58">
        <f t="shared" si="5"/>
        <v>43.968239000000004</v>
      </c>
      <c r="O42" s="58">
        <f t="shared" si="5"/>
        <v>0</v>
      </c>
      <c r="P42" s="58">
        <f t="shared" si="5"/>
        <v>593.18300000000011</v>
      </c>
      <c r="Q42" s="58">
        <f t="shared" si="5"/>
        <v>0.85200500000000001</v>
      </c>
      <c r="R42" s="58">
        <f t="shared" si="5"/>
        <v>0</v>
      </c>
      <c r="S42" s="58">
        <f t="shared" si="5"/>
        <v>0</v>
      </c>
      <c r="T42" s="58">
        <f t="shared" si="5"/>
        <v>0</v>
      </c>
      <c r="U42" s="58">
        <f t="shared" si="5"/>
        <v>0</v>
      </c>
      <c r="V42" s="58">
        <f t="shared" si="5"/>
        <v>0</v>
      </c>
      <c r="W42" s="58">
        <f t="shared" si="5"/>
        <v>1599.0000459999997</v>
      </c>
      <c r="X42" s="58"/>
      <c r="Y42" s="58"/>
      <c r="Z42" s="58"/>
      <c r="AA42" s="58"/>
      <c r="AB42" s="54"/>
    </row>
    <row r="43" spans="3:28">
      <c r="C43" s="57" t="s">
        <v>48</v>
      </c>
      <c r="D43" s="72">
        <f>SUM(D25:D28,D23)</f>
        <v>0</v>
      </c>
      <c r="E43" s="72">
        <f t="shared" ref="E43:W43" si="6">SUM(E25:E28,E23)</f>
        <v>0</v>
      </c>
      <c r="F43" s="72">
        <f t="shared" si="6"/>
        <v>0</v>
      </c>
      <c r="G43" s="72">
        <f t="shared" si="6"/>
        <v>8.1303E-2</v>
      </c>
      <c r="H43" s="72">
        <f t="shared" si="6"/>
        <v>0</v>
      </c>
      <c r="I43" s="72">
        <f t="shared" si="6"/>
        <v>0</v>
      </c>
      <c r="J43" s="72">
        <f t="shared" si="6"/>
        <v>603.70249200000001</v>
      </c>
      <c r="K43" s="72">
        <f t="shared" si="6"/>
        <v>4.2269999999999994</v>
      </c>
      <c r="L43" s="72">
        <f t="shared" si="6"/>
        <v>0</v>
      </c>
      <c r="M43" s="72">
        <f t="shared" si="6"/>
        <v>0</v>
      </c>
      <c r="N43" s="72">
        <f t="shared" si="6"/>
        <v>54.098236</v>
      </c>
      <c r="O43" s="72">
        <f t="shared" si="6"/>
        <v>0</v>
      </c>
      <c r="P43" s="72">
        <f t="shared" si="6"/>
        <v>0.86699999999999999</v>
      </c>
      <c r="Q43" s="72">
        <f t="shared" si="6"/>
        <v>1471.96045</v>
      </c>
      <c r="R43" s="72">
        <f t="shared" si="6"/>
        <v>0</v>
      </c>
      <c r="S43" s="72">
        <f t="shared" si="6"/>
        <v>0</v>
      </c>
      <c r="T43" s="72">
        <f t="shared" si="6"/>
        <v>0</v>
      </c>
      <c r="U43" s="72">
        <f t="shared" si="6"/>
        <v>0</v>
      </c>
      <c r="V43" s="72">
        <f t="shared" si="6"/>
        <v>126.329669</v>
      </c>
      <c r="W43" s="72">
        <f t="shared" si="6"/>
        <v>2261.2661499999995</v>
      </c>
      <c r="X43" s="58"/>
      <c r="Y43" s="58"/>
      <c r="Z43" s="58"/>
      <c r="AA43" s="58"/>
      <c r="AB43" s="54"/>
    </row>
    <row r="44" spans="3:28" ht="15.75">
      <c r="C44" s="57" t="s">
        <v>369</v>
      </c>
      <c r="D44" s="58">
        <f t="shared" ref="D44:V44" si="7">SUM(D20:D22)</f>
        <v>0</v>
      </c>
      <c r="E44" s="58">
        <f t="shared" si="7"/>
        <v>0</v>
      </c>
      <c r="F44" s="58">
        <f t="shared" si="7"/>
        <v>0</v>
      </c>
      <c r="G44" s="58">
        <f t="shared" si="7"/>
        <v>0</v>
      </c>
      <c r="H44" s="58">
        <f t="shared" si="7"/>
        <v>0</v>
      </c>
      <c r="I44" s="58">
        <f t="shared" si="7"/>
        <v>0</v>
      </c>
      <c r="J44" s="58">
        <f t="shared" si="7"/>
        <v>4.3962430000000001</v>
      </c>
      <c r="K44" s="58">
        <f t="shared" si="7"/>
        <v>274.64700000000005</v>
      </c>
      <c r="L44" s="58">
        <f t="shared" si="7"/>
        <v>0</v>
      </c>
      <c r="M44" s="58">
        <f t="shared" si="7"/>
        <v>6.8549999999999995</v>
      </c>
      <c r="N44" s="58">
        <f t="shared" si="7"/>
        <v>321.98876200000001</v>
      </c>
      <c r="O44" s="58">
        <f t="shared" si="7"/>
        <v>0</v>
      </c>
      <c r="P44" s="58">
        <f t="shared" si="7"/>
        <v>44.9</v>
      </c>
      <c r="Q44" s="58">
        <f t="shared" si="7"/>
        <v>0</v>
      </c>
      <c r="R44" s="58">
        <f t="shared" si="7"/>
        <v>0</v>
      </c>
      <c r="S44" s="58">
        <f t="shared" si="7"/>
        <v>0</v>
      </c>
      <c r="T44" s="58">
        <f t="shared" si="7"/>
        <v>255.42239699999999</v>
      </c>
      <c r="U44" s="58">
        <f t="shared" si="7"/>
        <v>0</v>
      </c>
      <c r="V44" s="58">
        <f t="shared" si="7"/>
        <v>1.351008</v>
      </c>
      <c r="W44" s="66">
        <f>SUM(D44:V44)</f>
        <v>909.56040999999993</v>
      </c>
      <c r="X44" s="58"/>
      <c r="Y44" s="58"/>
      <c r="Z44" s="58"/>
      <c r="AA44" s="58"/>
      <c r="AB44" s="54"/>
    </row>
    <row r="45" spans="3:28" ht="15.75">
      <c r="D45" s="58"/>
      <c r="E45" s="58"/>
      <c r="F45" s="58"/>
      <c r="G45" s="58"/>
      <c r="H45" s="58"/>
      <c r="I45" s="58"/>
      <c r="J45" s="58"/>
      <c r="K45" s="58"/>
      <c r="L45" s="58"/>
      <c r="M45" s="58"/>
      <c r="N45" s="58"/>
      <c r="O45" s="58"/>
      <c r="P45" s="58"/>
      <c r="Q45" s="58"/>
      <c r="R45" s="58"/>
      <c r="S45" s="58"/>
      <c r="T45" s="58"/>
      <c r="U45" s="58"/>
      <c r="V45" s="58"/>
      <c r="W45" s="66"/>
      <c r="X45" s="58"/>
      <c r="Y45" s="58"/>
      <c r="Z45" s="58"/>
      <c r="AA45" s="58"/>
      <c r="AB45" s="54"/>
    </row>
    <row r="46" spans="3:28" ht="15.75">
      <c r="D46" s="58"/>
      <c r="E46" s="58"/>
      <c r="F46" s="58"/>
      <c r="G46" s="58"/>
      <c r="H46" s="58"/>
      <c r="I46" s="58"/>
      <c r="J46" s="58"/>
      <c r="K46" s="58"/>
      <c r="L46" s="58"/>
      <c r="M46" s="58"/>
      <c r="N46" s="58"/>
      <c r="O46" s="58"/>
      <c r="P46" s="58"/>
      <c r="Q46" s="58"/>
      <c r="R46" s="58"/>
      <c r="S46" s="58"/>
      <c r="T46" s="58"/>
      <c r="U46" s="58"/>
      <c r="V46" s="58"/>
      <c r="W46" s="66"/>
      <c r="X46" s="58"/>
      <c r="Y46" s="58"/>
      <c r="Z46" s="58"/>
      <c r="AA46" s="58"/>
      <c r="AB46" s="54"/>
    </row>
    <row r="47" spans="3:28" ht="15.75">
      <c r="C47" s="51" t="s">
        <v>566</v>
      </c>
      <c r="D47" s="56">
        <f t="shared" ref="D47:W47" si="8">SUM(D41:D44)</f>
        <v>0</v>
      </c>
      <c r="E47" s="56">
        <f t="shared" si="8"/>
        <v>63.782443000000001</v>
      </c>
      <c r="F47" s="56">
        <f t="shared" si="8"/>
        <v>100.068597</v>
      </c>
      <c r="G47" s="56">
        <f t="shared" si="8"/>
        <v>25.441735999999999</v>
      </c>
      <c r="H47" s="56">
        <f t="shared" si="8"/>
        <v>65.126006000000004</v>
      </c>
      <c r="I47" s="56">
        <f t="shared" si="8"/>
        <v>111.145081</v>
      </c>
      <c r="J47" s="56">
        <f t="shared" si="8"/>
        <v>788.17912899999999</v>
      </c>
      <c r="K47" s="56">
        <f t="shared" si="8"/>
        <v>846.50500000000011</v>
      </c>
      <c r="L47" s="56">
        <f t="shared" si="8"/>
        <v>0</v>
      </c>
      <c r="M47" s="56">
        <f t="shared" si="8"/>
        <v>7.2359999999999998</v>
      </c>
      <c r="N47" s="56">
        <f t="shared" si="8"/>
        <v>426.08409400000005</v>
      </c>
      <c r="O47" s="56">
        <f t="shared" si="8"/>
        <v>0</v>
      </c>
      <c r="P47" s="56">
        <f t="shared" si="8"/>
        <v>638.95000000000005</v>
      </c>
      <c r="Q47" s="56">
        <f t="shared" si="8"/>
        <v>1472.812455</v>
      </c>
      <c r="R47" s="56">
        <f t="shared" si="8"/>
        <v>0</v>
      </c>
      <c r="S47" s="56">
        <f t="shared" si="8"/>
        <v>0</v>
      </c>
      <c r="T47" s="56">
        <f t="shared" si="8"/>
        <v>255.42239699999999</v>
      </c>
      <c r="U47" s="56">
        <f t="shared" si="8"/>
        <v>0</v>
      </c>
      <c r="V47" s="56">
        <f t="shared" si="8"/>
        <v>127.68880099999998</v>
      </c>
      <c r="W47" s="56">
        <f t="shared" si="8"/>
        <v>4928.441738999999</v>
      </c>
      <c r="X47" s="58"/>
      <c r="Y47" s="58"/>
      <c r="Z47" s="58"/>
      <c r="AA47" s="58"/>
      <c r="AB47" s="54"/>
    </row>
    <row r="48" spans="3:28" ht="15.75">
      <c r="C48" s="51"/>
      <c r="D48" s="56"/>
      <c r="E48" s="56"/>
      <c r="F48" s="56"/>
      <c r="G48" s="56"/>
      <c r="H48" s="56"/>
      <c r="I48" s="56"/>
      <c r="J48" s="56"/>
      <c r="K48" s="56"/>
      <c r="L48" s="56"/>
      <c r="M48" s="56"/>
      <c r="N48" s="56"/>
      <c r="O48" s="56"/>
      <c r="P48" s="56"/>
      <c r="Q48" s="56"/>
      <c r="R48" s="56"/>
      <c r="S48" s="56"/>
      <c r="T48" s="56"/>
      <c r="U48" s="56"/>
      <c r="V48" s="56"/>
      <c r="W48" s="56"/>
      <c r="X48" s="58"/>
      <c r="Y48" s="58"/>
      <c r="Z48" s="58"/>
      <c r="AA48" s="58"/>
      <c r="AB48" s="54"/>
    </row>
    <row r="49" spans="1:28" ht="15.75">
      <c r="C49" s="258" t="s">
        <v>565</v>
      </c>
      <c r="D49" s="56">
        <f t="shared" ref="D49:V49" si="9">D37</f>
        <v>0</v>
      </c>
      <c r="E49" s="56">
        <f t="shared" si="9"/>
        <v>0</v>
      </c>
      <c r="F49" s="56">
        <f t="shared" si="9"/>
        <v>0</v>
      </c>
      <c r="G49" s="56">
        <f t="shared" si="9"/>
        <v>0</v>
      </c>
      <c r="H49" s="56">
        <f t="shared" si="9"/>
        <v>3.526732</v>
      </c>
      <c r="I49" s="56">
        <f t="shared" si="9"/>
        <v>0</v>
      </c>
      <c r="J49" s="56">
        <f t="shared" si="9"/>
        <v>0</v>
      </c>
      <c r="K49" s="56">
        <f t="shared" si="9"/>
        <v>0</v>
      </c>
      <c r="L49" s="56">
        <f t="shared" si="9"/>
        <v>0</v>
      </c>
      <c r="M49" s="56">
        <f t="shared" si="9"/>
        <v>0</v>
      </c>
      <c r="N49" s="56">
        <f t="shared" si="9"/>
        <v>0</v>
      </c>
      <c r="O49" s="56">
        <f t="shared" si="9"/>
        <v>301.95241099999998</v>
      </c>
      <c r="P49" s="56">
        <f t="shared" si="9"/>
        <v>556.47895538763942</v>
      </c>
      <c r="Q49" s="56">
        <f t="shared" si="9"/>
        <v>0</v>
      </c>
      <c r="R49" s="56">
        <f t="shared" si="9"/>
        <v>0</v>
      </c>
      <c r="S49" s="56">
        <f t="shared" si="9"/>
        <v>0</v>
      </c>
      <c r="T49" s="56">
        <f t="shared" si="9"/>
        <v>0</v>
      </c>
      <c r="U49" s="56">
        <f t="shared" si="9"/>
        <v>0</v>
      </c>
      <c r="V49" s="56">
        <f t="shared" si="9"/>
        <v>0</v>
      </c>
      <c r="W49" s="56">
        <f>SUM(D49:V49)</f>
        <v>861.95809838763944</v>
      </c>
      <c r="X49" s="58"/>
      <c r="Y49" s="58"/>
      <c r="Z49" s="58"/>
      <c r="AA49" s="58"/>
      <c r="AB49" s="54"/>
    </row>
    <row r="50" spans="1:28" ht="15.75">
      <c r="C50" s="258"/>
      <c r="D50" s="56"/>
      <c r="E50" s="56"/>
      <c r="F50" s="56"/>
      <c r="G50" s="56"/>
      <c r="H50" s="56"/>
      <c r="I50" s="56"/>
      <c r="J50" s="56"/>
      <c r="K50" s="56"/>
      <c r="L50" s="56"/>
      <c r="M50" s="56"/>
      <c r="N50" s="56"/>
      <c r="O50" s="56"/>
      <c r="P50" s="56"/>
      <c r="Q50" s="56"/>
      <c r="R50" s="56"/>
      <c r="S50" s="56"/>
      <c r="T50" s="56"/>
      <c r="U50" s="56"/>
      <c r="V50" s="56"/>
      <c r="W50" s="66"/>
      <c r="X50" s="58"/>
      <c r="Y50" s="58"/>
      <c r="Z50" s="58"/>
      <c r="AA50" s="58"/>
      <c r="AB50" s="54"/>
    </row>
    <row r="51" spans="1:28" ht="15.75">
      <c r="C51" s="51" t="s">
        <v>546</v>
      </c>
      <c r="D51" s="56">
        <f>D47+D49</f>
        <v>0</v>
      </c>
      <c r="E51" s="56">
        <f t="shared" ref="E51:W51" si="10">E47+E49</f>
        <v>63.782443000000001</v>
      </c>
      <c r="F51" s="56">
        <f t="shared" si="10"/>
        <v>100.068597</v>
      </c>
      <c r="G51" s="56">
        <f t="shared" si="10"/>
        <v>25.441735999999999</v>
      </c>
      <c r="H51" s="56">
        <f t="shared" si="10"/>
        <v>68.652737999999999</v>
      </c>
      <c r="I51" s="56">
        <f t="shared" si="10"/>
        <v>111.145081</v>
      </c>
      <c r="J51" s="56">
        <f t="shared" si="10"/>
        <v>788.17912899999999</v>
      </c>
      <c r="K51" s="56">
        <f t="shared" si="10"/>
        <v>846.50500000000011</v>
      </c>
      <c r="L51" s="56">
        <f t="shared" si="10"/>
        <v>0</v>
      </c>
      <c r="M51" s="56">
        <f t="shared" si="10"/>
        <v>7.2359999999999998</v>
      </c>
      <c r="N51" s="56">
        <f t="shared" si="10"/>
        <v>426.08409400000005</v>
      </c>
      <c r="O51" s="56">
        <f t="shared" si="10"/>
        <v>301.95241099999998</v>
      </c>
      <c r="P51" s="56">
        <f t="shared" si="10"/>
        <v>1195.4289553876395</v>
      </c>
      <c r="Q51" s="56">
        <f t="shared" si="10"/>
        <v>1472.812455</v>
      </c>
      <c r="R51" s="56">
        <f t="shared" si="10"/>
        <v>0</v>
      </c>
      <c r="S51" s="56">
        <f t="shared" si="10"/>
        <v>0</v>
      </c>
      <c r="T51" s="56">
        <f t="shared" si="10"/>
        <v>255.42239699999999</v>
      </c>
      <c r="U51" s="56">
        <f t="shared" si="10"/>
        <v>0</v>
      </c>
      <c r="V51" s="56">
        <f t="shared" si="10"/>
        <v>127.68880099999998</v>
      </c>
      <c r="W51" s="56">
        <f t="shared" si="10"/>
        <v>5790.3998373876384</v>
      </c>
      <c r="X51" s="58"/>
      <c r="Y51" s="58"/>
      <c r="Z51" s="58"/>
      <c r="AA51" s="58"/>
      <c r="AB51" s="54"/>
    </row>
    <row r="52" spans="1:28">
      <c r="D52" s="58"/>
      <c r="E52" s="58"/>
      <c r="F52" s="58"/>
      <c r="G52" s="58"/>
      <c r="H52" s="58"/>
      <c r="I52" s="58"/>
      <c r="J52" s="58"/>
      <c r="K52" s="54"/>
      <c r="U52" s="58"/>
      <c r="V52" s="58"/>
      <c r="W52" s="58"/>
      <c r="X52" s="58"/>
      <c r="Y52" s="58"/>
      <c r="Z52" s="58"/>
      <c r="AA52" s="58"/>
      <c r="AB52" s="54"/>
    </row>
    <row r="53" spans="1:28">
      <c r="A53" s="74"/>
      <c r="B53" s="74"/>
      <c r="C53" s="74"/>
      <c r="D53" s="75"/>
      <c r="E53" s="75"/>
      <c r="F53" s="75"/>
      <c r="G53" s="75"/>
      <c r="H53" s="75"/>
      <c r="I53" s="75"/>
      <c r="J53" s="75"/>
      <c r="K53" s="76"/>
      <c r="L53" s="74"/>
      <c r="M53" s="74"/>
      <c r="N53" s="74"/>
      <c r="O53" s="74"/>
      <c r="P53" s="74"/>
      <c r="Q53" s="74"/>
      <c r="R53" s="74"/>
      <c r="S53" s="74"/>
      <c r="T53" s="74"/>
      <c r="U53" s="75"/>
      <c r="V53" s="75"/>
      <c r="W53" s="75"/>
      <c r="X53" s="75"/>
      <c r="Y53" s="75"/>
      <c r="Z53" s="75"/>
      <c r="AA53" s="75"/>
      <c r="AB53" s="54"/>
    </row>
    <row r="54" spans="1:28" ht="30">
      <c r="B54" s="190" t="s">
        <v>539</v>
      </c>
      <c r="D54" s="141" t="s">
        <v>383</v>
      </c>
      <c r="E54" s="141" t="s">
        <v>384</v>
      </c>
      <c r="F54" s="91" t="s">
        <v>172</v>
      </c>
      <c r="G54" s="51" t="s">
        <v>7</v>
      </c>
      <c r="I54" s="91" t="s">
        <v>386</v>
      </c>
      <c r="J54" s="91" t="s">
        <v>385</v>
      </c>
      <c r="K54" s="91" t="s">
        <v>219</v>
      </c>
      <c r="L54" s="91" t="s">
        <v>11</v>
      </c>
      <c r="M54" s="91" t="s">
        <v>218</v>
      </c>
      <c r="N54" s="91" t="s">
        <v>171</v>
      </c>
      <c r="O54" s="91" t="s">
        <v>187</v>
      </c>
      <c r="P54" s="51" t="s">
        <v>7</v>
      </c>
      <c r="Q54" s="141"/>
      <c r="R54" s="91" t="s">
        <v>651</v>
      </c>
      <c r="S54" s="91"/>
      <c r="T54" s="91"/>
      <c r="U54" s="91"/>
      <c r="V54" s="91"/>
      <c r="W54" s="91"/>
      <c r="X54" s="91"/>
      <c r="Y54" s="91"/>
      <c r="Z54" s="51"/>
      <c r="AA54" s="58"/>
      <c r="AB54" s="54"/>
    </row>
    <row r="55" spans="1:28" ht="15.75">
      <c r="A55" s="57" t="s">
        <v>274</v>
      </c>
      <c r="B55" s="189" t="s">
        <v>206</v>
      </c>
      <c r="C55" s="284" t="s">
        <v>335</v>
      </c>
      <c r="D55" s="58">
        <f>SUMIFS($D4:$V4,$D$2:$V$2,D$54)</f>
        <v>0</v>
      </c>
      <c r="E55" s="58">
        <f t="shared" ref="D55:F80" si="11">SUMIFS($D4:$V4,$D$2:$V$2,E$54)</f>
        <v>0</v>
      </c>
      <c r="F55" s="58">
        <f t="shared" si="11"/>
        <v>1.7729999999999999</v>
      </c>
      <c r="G55" s="54">
        <f t="shared" ref="G55:G90" si="12">SUM(D55:F55)</f>
        <v>1.7729999999999999</v>
      </c>
      <c r="I55" s="58">
        <f t="shared" ref="I55:O64" si="13">SUMIFS($D4:$V4,$D$2:$V$2,I$54)</f>
        <v>0</v>
      </c>
      <c r="J55" s="58">
        <f t="shared" si="13"/>
        <v>0</v>
      </c>
      <c r="K55" s="58">
        <f t="shared" si="13"/>
        <v>0</v>
      </c>
      <c r="L55" s="58">
        <f t="shared" si="13"/>
        <v>0</v>
      </c>
      <c r="M55" s="58">
        <f t="shared" si="13"/>
        <v>0</v>
      </c>
      <c r="N55" s="58">
        <f t="shared" si="13"/>
        <v>0</v>
      </c>
      <c r="O55" s="58">
        <f t="shared" si="13"/>
        <v>0</v>
      </c>
      <c r="P55" s="54">
        <f t="shared" ref="P55:P100" si="14">SUM(G55,I55:O55)</f>
        <v>1.7729999999999999</v>
      </c>
      <c r="Q55" s="73"/>
      <c r="R55" s="54">
        <f t="shared" ref="R55:R102" si="15">SUM(K55:O55)</f>
        <v>0</v>
      </c>
      <c r="T55" s="73"/>
      <c r="U55" s="73"/>
      <c r="V55" s="73"/>
      <c r="W55" s="73"/>
      <c r="X55" s="73"/>
      <c r="Y55" s="73"/>
      <c r="Z55" s="54"/>
      <c r="AA55" s="58"/>
      <c r="AB55" s="54"/>
    </row>
    <row r="56" spans="1:28" ht="15.75">
      <c r="A56" s="57" t="s">
        <v>274</v>
      </c>
      <c r="B56" s="631" t="s">
        <v>387</v>
      </c>
      <c r="C56" s="284" t="s">
        <v>545</v>
      </c>
      <c r="D56" s="58">
        <f t="shared" si="11"/>
        <v>167.99819399999998</v>
      </c>
      <c r="E56" s="58">
        <f t="shared" si="11"/>
        <v>178.715</v>
      </c>
      <c r="F56" s="58">
        <f t="shared" si="11"/>
        <v>376.97500000000002</v>
      </c>
      <c r="G56" s="54">
        <f t="shared" si="12"/>
        <v>723.68819400000007</v>
      </c>
      <c r="I56" s="58">
        <f t="shared" si="13"/>
        <v>4.2556149999999988</v>
      </c>
      <c r="J56" s="58">
        <f t="shared" si="13"/>
        <v>0</v>
      </c>
      <c r="K56" s="58">
        <f t="shared" si="13"/>
        <v>0</v>
      </c>
      <c r="L56" s="58">
        <f t="shared" si="13"/>
        <v>0.38100000000000001</v>
      </c>
      <c r="M56" s="58">
        <f t="shared" si="13"/>
        <v>0</v>
      </c>
      <c r="N56" s="58">
        <f t="shared" si="13"/>
        <v>0</v>
      </c>
      <c r="O56" s="58">
        <f t="shared" si="13"/>
        <v>0</v>
      </c>
      <c r="P56" s="54">
        <f t="shared" si="14"/>
        <v>728.32480900000007</v>
      </c>
      <c r="Q56" s="73"/>
      <c r="R56" s="54">
        <f t="shared" si="15"/>
        <v>0.38100000000000001</v>
      </c>
      <c r="S56" s="73"/>
      <c r="T56" s="73"/>
      <c r="U56" s="73"/>
      <c r="V56" s="73"/>
      <c r="W56" s="73"/>
      <c r="X56" s="73"/>
      <c r="Y56" s="73"/>
      <c r="Z56" s="54"/>
      <c r="AA56" s="58"/>
      <c r="AB56" s="54"/>
    </row>
    <row r="57" spans="1:28" ht="15.75">
      <c r="A57" s="57" t="s">
        <v>274</v>
      </c>
      <c r="B57" s="189" t="s">
        <v>203</v>
      </c>
      <c r="C57" s="284" t="s">
        <v>338</v>
      </c>
      <c r="D57" s="58">
        <f t="shared" si="11"/>
        <v>71.210695000000001</v>
      </c>
      <c r="E57" s="58">
        <f t="shared" si="11"/>
        <v>115.285</v>
      </c>
      <c r="F57" s="58">
        <f t="shared" si="11"/>
        <v>21.582000000000001</v>
      </c>
      <c r="G57" s="54">
        <f t="shared" si="12"/>
        <v>208.07769500000001</v>
      </c>
      <c r="I57" s="58">
        <f t="shared" si="13"/>
        <v>0</v>
      </c>
      <c r="J57" s="58">
        <f t="shared" si="13"/>
        <v>0</v>
      </c>
      <c r="K57" s="58">
        <f t="shared" si="13"/>
        <v>0</v>
      </c>
      <c r="L57" s="58">
        <f t="shared" si="13"/>
        <v>0</v>
      </c>
      <c r="M57" s="58">
        <f t="shared" si="13"/>
        <v>0</v>
      </c>
      <c r="N57" s="58">
        <f t="shared" si="13"/>
        <v>0</v>
      </c>
      <c r="O57" s="58">
        <f t="shared" si="13"/>
        <v>0</v>
      </c>
      <c r="P57" s="54">
        <f t="shared" si="14"/>
        <v>208.07769500000001</v>
      </c>
      <c r="Q57" s="73"/>
      <c r="R57" s="54">
        <f t="shared" si="15"/>
        <v>0</v>
      </c>
      <c r="S57" s="73"/>
      <c r="T57" s="73"/>
      <c r="U57" s="73"/>
      <c r="V57" s="73"/>
      <c r="W57" s="73"/>
      <c r="X57" s="73"/>
      <c r="Y57" s="73"/>
      <c r="Z57" s="54"/>
      <c r="AA57" s="58"/>
      <c r="AB57" s="54"/>
    </row>
    <row r="58" spans="1:28" ht="15.75">
      <c r="A58" s="57" t="s">
        <v>274</v>
      </c>
      <c r="B58" s="189" t="s">
        <v>202</v>
      </c>
      <c r="C58" s="284" t="s">
        <v>337</v>
      </c>
      <c r="D58" s="58">
        <f t="shared" si="11"/>
        <v>108.61128500000001</v>
      </c>
      <c r="E58" s="58">
        <f t="shared" si="11"/>
        <v>4.4249999999999998</v>
      </c>
      <c r="F58" s="58">
        <f t="shared" si="11"/>
        <v>36.133000000000003</v>
      </c>
      <c r="G58" s="54">
        <f t="shared" si="12"/>
        <v>149.169285</v>
      </c>
      <c r="I58" s="58">
        <f t="shared" si="13"/>
        <v>0</v>
      </c>
      <c r="J58" s="58">
        <f t="shared" si="13"/>
        <v>0</v>
      </c>
      <c r="K58" s="58">
        <f t="shared" si="13"/>
        <v>0</v>
      </c>
      <c r="L58" s="58">
        <f t="shared" si="13"/>
        <v>0</v>
      </c>
      <c r="M58" s="58">
        <f t="shared" si="13"/>
        <v>0</v>
      </c>
      <c r="N58" s="58">
        <f t="shared" si="13"/>
        <v>0</v>
      </c>
      <c r="O58" s="58">
        <f t="shared" si="13"/>
        <v>0</v>
      </c>
      <c r="P58" s="54">
        <f t="shared" si="14"/>
        <v>149.169285</v>
      </c>
      <c r="Q58" s="73"/>
      <c r="R58" s="54">
        <f t="shared" si="15"/>
        <v>0</v>
      </c>
      <c r="S58" s="73"/>
      <c r="T58" s="73"/>
      <c r="U58" s="73"/>
      <c r="V58" s="73"/>
      <c r="W58" s="73"/>
      <c r="X58" s="73"/>
      <c r="Y58" s="73"/>
      <c r="Z58" s="54"/>
      <c r="AA58" s="58"/>
      <c r="AB58" s="54"/>
    </row>
    <row r="59" spans="1:28" ht="15.75">
      <c r="A59" s="57" t="s">
        <v>274</v>
      </c>
      <c r="B59" s="191" t="s">
        <v>199</v>
      </c>
      <c r="C59" s="284" t="s">
        <v>336</v>
      </c>
      <c r="D59" s="58">
        <f t="shared" si="11"/>
        <v>3.4819329999999997</v>
      </c>
      <c r="E59" s="58">
        <f t="shared" si="11"/>
        <v>0</v>
      </c>
      <c r="F59" s="58">
        <f t="shared" si="11"/>
        <v>4.1449999999999996</v>
      </c>
      <c r="G59" s="54">
        <f t="shared" si="12"/>
        <v>7.6269329999999993</v>
      </c>
      <c r="I59" s="58">
        <f t="shared" si="13"/>
        <v>59.526828000000002</v>
      </c>
      <c r="J59" s="58">
        <f t="shared" si="13"/>
        <v>0</v>
      </c>
      <c r="K59" s="58">
        <f t="shared" si="13"/>
        <v>0</v>
      </c>
      <c r="L59" s="58">
        <f t="shared" si="13"/>
        <v>0</v>
      </c>
      <c r="M59" s="58">
        <f t="shared" si="13"/>
        <v>0</v>
      </c>
      <c r="N59" s="58">
        <f t="shared" si="13"/>
        <v>0</v>
      </c>
      <c r="O59" s="58">
        <f t="shared" si="13"/>
        <v>0</v>
      </c>
      <c r="P59" s="54">
        <f t="shared" si="14"/>
        <v>67.153761000000003</v>
      </c>
      <c r="Q59" s="73"/>
      <c r="R59" s="54">
        <f t="shared" si="15"/>
        <v>0</v>
      </c>
      <c r="S59" s="73"/>
      <c r="T59" s="73"/>
      <c r="U59" s="73"/>
      <c r="V59" s="73"/>
      <c r="W59" s="73"/>
      <c r="X59" s="73"/>
      <c r="Y59" s="73"/>
      <c r="Z59" s="54"/>
      <c r="AA59" s="58"/>
      <c r="AB59" s="54"/>
    </row>
    <row r="60" spans="1:28" ht="15.75">
      <c r="A60" s="57" t="s">
        <v>274</v>
      </c>
      <c r="B60" s="631" t="s">
        <v>941</v>
      </c>
      <c r="C60" s="284" t="s">
        <v>286</v>
      </c>
      <c r="D60" s="58">
        <f t="shared" si="11"/>
        <v>0.53073700000000001</v>
      </c>
      <c r="E60" s="58">
        <f t="shared" si="11"/>
        <v>110.779</v>
      </c>
      <c r="F60" s="58">
        <f t="shared" si="11"/>
        <v>5.117</v>
      </c>
      <c r="G60" s="54">
        <f t="shared" si="12"/>
        <v>116.426737</v>
      </c>
      <c r="I60" s="58">
        <f t="shared" si="13"/>
        <v>0</v>
      </c>
      <c r="J60" s="58">
        <f t="shared" si="13"/>
        <v>0</v>
      </c>
      <c r="K60" s="58">
        <f t="shared" si="13"/>
        <v>0</v>
      </c>
      <c r="L60" s="58">
        <f t="shared" si="13"/>
        <v>0</v>
      </c>
      <c r="M60" s="58">
        <f t="shared" si="13"/>
        <v>0</v>
      </c>
      <c r="N60" s="58">
        <f t="shared" si="13"/>
        <v>0</v>
      </c>
      <c r="O60" s="58">
        <f t="shared" si="13"/>
        <v>0</v>
      </c>
      <c r="P60" s="54">
        <f t="shared" si="14"/>
        <v>116.426737</v>
      </c>
      <c r="Q60" s="73"/>
      <c r="R60" s="54">
        <f t="shared" si="15"/>
        <v>0</v>
      </c>
      <c r="S60" s="73"/>
      <c r="T60" s="73"/>
      <c r="U60" s="73"/>
      <c r="V60" s="73"/>
      <c r="W60" s="73"/>
      <c r="X60" s="73"/>
      <c r="Y60" s="73"/>
      <c r="Z60" s="54"/>
      <c r="AA60" s="58"/>
      <c r="AB60" s="54"/>
    </row>
    <row r="61" spans="1:28" ht="15.75">
      <c r="A61" s="57" t="s">
        <v>274</v>
      </c>
      <c r="B61" s="631" t="s">
        <v>941</v>
      </c>
      <c r="C61" s="284" t="s">
        <v>334</v>
      </c>
      <c r="D61" s="58">
        <f t="shared" si="11"/>
        <v>10.313444</v>
      </c>
      <c r="E61" s="58">
        <f t="shared" si="11"/>
        <v>66.287999999999997</v>
      </c>
      <c r="F61" s="58">
        <f t="shared" si="11"/>
        <v>17.125</v>
      </c>
      <c r="G61" s="54">
        <f t="shared" si="12"/>
        <v>93.726444000000001</v>
      </c>
      <c r="I61" s="58">
        <f t="shared" si="13"/>
        <v>0</v>
      </c>
      <c r="J61" s="58">
        <f t="shared" si="13"/>
        <v>0</v>
      </c>
      <c r="K61" s="58">
        <f t="shared" si="13"/>
        <v>0</v>
      </c>
      <c r="L61" s="58">
        <f t="shared" si="13"/>
        <v>0</v>
      </c>
      <c r="M61" s="58">
        <f t="shared" si="13"/>
        <v>0</v>
      </c>
      <c r="N61" s="58">
        <f t="shared" si="13"/>
        <v>0</v>
      </c>
      <c r="O61" s="58">
        <f t="shared" si="13"/>
        <v>0</v>
      </c>
      <c r="P61" s="54">
        <f t="shared" si="14"/>
        <v>93.726444000000001</v>
      </c>
      <c r="Q61" s="73"/>
      <c r="R61" s="54">
        <f t="shared" si="15"/>
        <v>0</v>
      </c>
      <c r="T61" s="73"/>
      <c r="U61" s="73"/>
      <c r="V61" s="73"/>
      <c r="W61" s="73"/>
      <c r="X61" s="73"/>
      <c r="Y61" s="73"/>
      <c r="Z61" s="54"/>
      <c r="AA61" s="58"/>
      <c r="AB61" s="54"/>
    </row>
    <row r="62" spans="1:28" ht="15.75">
      <c r="A62" s="57" t="s">
        <v>274</v>
      </c>
      <c r="B62" s="631" t="s">
        <v>387</v>
      </c>
      <c r="C62" s="284" t="s">
        <v>333</v>
      </c>
      <c r="D62" s="58">
        <f t="shared" si="11"/>
        <v>15.914297999999999</v>
      </c>
      <c r="E62" s="58">
        <f t="shared" si="11"/>
        <v>9.2739999999999991</v>
      </c>
      <c r="F62" s="58">
        <f t="shared" si="11"/>
        <v>36.293999999999997</v>
      </c>
      <c r="G62" s="54">
        <f t="shared" si="12"/>
        <v>61.482297999999993</v>
      </c>
      <c r="I62" s="58">
        <f t="shared" si="13"/>
        <v>0</v>
      </c>
      <c r="J62" s="58">
        <f t="shared" si="13"/>
        <v>0</v>
      </c>
      <c r="K62" s="58">
        <f t="shared" si="13"/>
        <v>0</v>
      </c>
      <c r="L62" s="58">
        <f t="shared" si="13"/>
        <v>0</v>
      </c>
      <c r="M62" s="58">
        <f t="shared" si="13"/>
        <v>0</v>
      </c>
      <c r="N62" s="58">
        <f t="shared" si="13"/>
        <v>0</v>
      </c>
      <c r="O62" s="58">
        <f t="shared" si="13"/>
        <v>0</v>
      </c>
      <c r="P62" s="54">
        <f t="shared" si="14"/>
        <v>61.482297999999993</v>
      </c>
      <c r="Q62" s="73"/>
      <c r="R62" s="54">
        <f t="shared" si="15"/>
        <v>0</v>
      </c>
      <c r="S62" s="73"/>
      <c r="T62" s="73"/>
      <c r="U62" s="73"/>
      <c r="V62" s="73"/>
      <c r="W62" s="73"/>
      <c r="X62" s="73"/>
      <c r="Y62" s="73"/>
      <c r="Z62" s="54"/>
      <c r="AA62" s="58"/>
      <c r="AB62" s="54"/>
    </row>
    <row r="63" spans="1:28" ht="15.75">
      <c r="A63" s="57" t="s">
        <v>274</v>
      </c>
      <c r="B63" s="189" t="s">
        <v>200</v>
      </c>
      <c r="C63" s="284" t="s">
        <v>332</v>
      </c>
      <c r="D63" s="58">
        <f t="shared" si="11"/>
        <v>6.8570200000000003</v>
      </c>
      <c r="E63" s="58">
        <f t="shared" si="11"/>
        <v>32.664000000000001</v>
      </c>
      <c r="F63" s="58">
        <f t="shared" si="11"/>
        <v>10.295999999999999</v>
      </c>
      <c r="G63" s="54">
        <f t="shared" si="12"/>
        <v>49.817019999999999</v>
      </c>
      <c r="I63" s="58">
        <f t="shared" si="13"/>
        <v>0</v>
      </c>
      <c r="J63" s="58">
        <f t="shared" si="13"/>
        <v>0</v>
      </c>
      <c r="K63" s="58">
        <f t="shared" si="13"/>
        <v>0</v>
      </c>
      <c r="L63" s="58">
        <f t="shared" si="13"/>
        <v>0</v>
      </c>
      <c r="M63" s="58">
        <f t="shared" si="13"/>
        <v>0</v>
      </c>
      <c r="N63" s="58">
        <f t="shared" si="13"/>
        <v>0</v>
      </c>
      <c r="O63" s="58">
        <f t="shared" si="13"/>
        <v>0</v>
      </c>
      <c r="P63" s="54">
        <f t="shared" si="14"/>
        <v>49.817019999999999</v>
      </c>
      <c r="Q63" s="73"/>
      <c r="R63" s="54">
        <f t="shared" si="15"/>
        <v>0</v>
      </c>
      <c r="S63" s="73"/>
      <c r="T63" s="73"/>
      <c r="U63" s="73"/>
      <c r="V63" s="73"/>
      <c r="W63" s="73"/>
      <c r="X63" s="73"/>
      <c r="Y63" s="73"/>
      <c r="Z63" s="54"/>
      <c r="AA63" s="58"/>
      <c r="AB63" s="54"/>
    </row>
    <row r="64" spans="1:28" ht="15.75">
      <c r="A64" s="57" t="s">
        <v>274</v>
      </c>
      <c r="B64" s="631" t="s">
        <v>387</v>
      </c>
      <c r="C64" s="284" t="s">
        <v>331</v>
      </c>
      <c r="D64" s="58">
        <f t="shared" si="11"/>
        <v>2.6333449999999994</v>
      </c>
      <c r="E64" s="58">
        <f t="shared" si="11"/>
        <v>48.554000000000002</v>
      </c>
      <c r="F64" s="58">
        <f t="shared" si="11"/>
        <v>4.1779999999999999</v>
      </c>
      <c r="G64" s="54">
        <f t="shared" si="12"/>
        <v>55.365344999999998</v>
      </c>
      <c r="I64" s="58">
        <f t="shared" si="13"/>
        <v>0</v>
      </c>
      <c r="J64" s="58">
        <f t="shared" si="13"/>
        <v>0</v>
      </c>
      <c r="K64" s="58">
        <f t="shared" si="13"/>
        <v>0</v>
      </c>
      <c r="L64" s="58">
        <f t="shared" si="13"/>
        <v>0</v>
      </c>
      <c r="M64" s="58">
        <f t="shared" si="13"/>
        <v>0</v>
      </c>
      <c r="N64" s="58">
        <f t="shared" si="13"/>
        <v>0</v>
      </c>
      <c r="O64" s="58">
        <f t="shared" si="13"/>
        <v>0</v>
      </c>
      <c r="P64" s="54">
        <f t="shared" si="14"/>
        <v>55.365344999999998</v>
      </c>
      <c r="Q64" s="73"/>
      <c r="R64" s="54">
        <f t="shared" si="15"/>
        <v>0</v>
      </c>
      <c r="S64" s="73"/>
      <c r="T64" s="73"/>
      <c r="U64" s="73"/>
      <c r="V64" s="73"/>
      <c r="W64" s="73"/>
      <c r="X64" s="73"/>
      <c r="Y64" s="73"/>
      <c r="Z64" s="54"/>
      <c r="AA64" s="58"/>
      <c r="AB64" s="54"/>
    </row>
    <row r="65" spans="1:28" ht="15.75">
      <c r="A65" s="57" t="s">
        <v>274</v>
      </c>
      <c r="B65" s="191" t="s">
        <v>199</v>
      </c>
      <c r="C65" s="284" t="s">
        <v>328</v>
      </c>
      <c r="D65" s="58">
        <f t="shared" si="11"/>
        <v>3.035104</v>
      </c>
      <c r="E65" s="58">
        <f t="shared" si="11"/>
        <v>15.255000000000001</v>
      </c>
      <c r="F65" s="58">
        <f t="shared" si="11"/>
        <v>3.6819999999999999</v>
      </c>
      <c r="G65" s="54">
        <f t="shared" si="12"/>
        <v>21.972103999999998</v>
      </c>
      <c r="I65" s="58">
        <f t="shared" ref="I65:O74" si="16">SUMIFS($D14:$V14,$D$2:$V$2,I$54)</f>
        <v>0</v>
      </c>
      <c r="J65" s="58">
        <f t="shared" si="16"/>
        <v>0</v>
      </c>
      <c r="K65" s="58">
        <f t="shared" si="16"/>
        <v>0</v>
      </c>
      <c r="L65" s="58">
        <f t="shared" si="16"/>
        <v>0</v>
      </c>
      <c r="M65" s="58">
        <f t="shared" si="16"/>
        <v>0</v>
      </c>
      <c r="N65" s="58">
        <f t="shared" si="16"/>
        <v>0</v>
      </c>
      <c r="O65" s="58">
        <f t="shared" si="16"/>
        <v>0</v>
      </c>
      <c r="P65" s="54">
        <f t="shared" si="14"/>
        <v>21.972103999999998</v>
      </c>
      <c r="Q65" s="73"/>
      <c r="R65" s="54">
        <f t="shared" si="15"/>
        <v>0</v>
      </c>
      <c r="S65" s="73"/>
      <c r="T65" s="73"/>
      <c r="U65" s="73"/>
      <c r="V65" s="73"/>
      <c r="W65" s="73"/>
      <c r="X65" s="73"/>
      <c r="Y65" s="73"/>
      <c r="Z65" s="54"/>
      <c r="AA65" s="58"/>
      <c r="AB65" s="54"/>
    </row>
    <row r="66" spans="1:28" ht="15.75">
      <c r="A66" s="57" t="s">
        <v>274</v>
      </c>
      <c r="B66" s="191" t="s">
        <v>199</v>
      </c>
      <c r="C66" s="284" t="s">
        <v>326</v>
      </c>
      <c r="D66" s="58">
        <f t="shared" si="11"/>
        <v>5.5067520000000005</v>
      </c>
      <c r="E66" s="58">
        <f t="shared" si="11"/>
        <v>0.96099999999999997</v>
      </c>
      <c r="F66" s="58">
        <f t="shared" si="11"/>
        <v>3.0630000000000002</v>
      </c>
      <c r="G66" s="54">
        <f t="shared" si="12"/>
        <v>9.5307520000000014</v>
      </c>
      <c r="I66" s="58">
        <f t="shared" si="16"/>
        <v>0</v>
      </c>
      <c r="J66" s="58">
        <f t="shared" si="16"/>
        <v>0</v>
      </c>
      <c r="K66" s="58">
        <f t="shared" si="16"/>
        <v>0</v>
      </c>
      <c r="L66" s="58">
        <f t="shared" si="16"/>
        <v>0</v>
      </c>
      <c r="M66" s="58">
        <f t="shared" si="16"/>
        <v>0</v>
      </c>
      <c r="N66" s="58">
        <f t="shared" si="16"/>
        <v>0</v>
      </c>
      <c r="O66" s="58">
        <f t="shared" si="16"/>
        <v>0</v>
      </c>
      <c r="P66" s="54">
        <f t="shared" si="14"/>
        <v>9.5307520000000014</v>
      </c>
      <c r="Q66" s="73"/>
      <c r="R66" s="54">
        <f t="shared" si="15"/>
        <v>0</v>
      </c>
      <c r="S66" s="73"/>
      <c r="T66" s="73"/>
      <c r="U66" s="73"/>
      <c r="V66" s="73"/>
      <c r="W66" s="73"/>
      <c r="X66" s="73"/>
      <c r="Y66" s="73"/>
      <c r="Z66" s="54"/>
      <c r="AA66" s="58"/>
      <c r="AB66" s="54"/>
    </row>
    <row r="67" spans="1:28" ht="15.75">
      <c r="A67" s="57" t="s">
        <v>274</v>
      </c>
      <c r="B67" s="631" t="s">
        <v>387</v>
      </c>
      <c r="C67" s="284" t="s">
        <v>321</v>
      </c>
      <c r="D67" s="58">
        <f t="shared" si="11"/>
        <v>1.371977</v>
      </c>
      <c r="E67" s="58">
        <f t="shared" si="11"/>
        <v>4.7320000000000002</v>
      </c>
      <c r="F67" s="58">
        <f t="shared" si="11"/>
        <v>7.875</v>
      </c>
      <c r="G67" s="54">
        <f t="shared" si="12"/>
        <v>13.978977</v>
      </c>
      <c r="I67" s="58">
        <f t="shared" si="16"/>
        <v>0</v>
      </c>
      <c r="J67" s="58">
        <f t="shared" si="16"/>
        <v>0</v>
      </c>
      <c r="K67" s="58">
        <f t="shared" si="16"/>
        <v>0</v>
      </c>
      <c r="L67" s="58">
        <f t="shared" si="16"/>
        <v>0</v>
      </c>
      <c r="M67" s="58">
        <f t="shared" si="16"/>
        <v>0</v>
      </c>
      <c r="N67" s="58">
        <f t="shared" si="16"/>
        <v>0</v>
      </c>
      <c r="O67" s="58">
        <f t="shared" si="16"/>
        <v>0</v>
      </c>
      <c r="P67" s="54">
        <f t="shared" si="14"/>
        <v>13.978977</v>
      </c>
      <c r="Q67" s="73"/>
      <c r="R67" s="54">
        <f t="shared" si="15"/>
        <v>0</v>
      </c>
      <c r="S67" s="73"/>
      <c r="T67" s="73"/>
      <c r="U67" s="73"/>
      <c r="V67" s="73"/>
      <c r="W67" s="73"/>
      <c r="X67" s="73"/>
      <c r="Y67" s="73"/>
      <c r="Z67" s="54"/>
      <c r="AA67" s="58"/>
      <c r="AB67" s="54"/>
    </row>
    <row r="68" spans="1:28" ht="15.75">
      <c r="A68" s="57" t="s">
        <v>274</v>
      </c>
      <c r="B68" s="631" t="s">
        <v>387</v>
      </c>
      <c r="C68" s="284" t="s">
        <v>314</v>
      </c>
      <c r="D68" s="58">
        <f t="shared" si="11"/>
        <v>2.4671889999999999</v>
      </c>
      <c r="E68" s="58">
        <f t="shared" si="11"/>
        <v>5.4610000000000003</v>
      </c>
      <c r="F68" s="58">
        <f t="shared" si="11"/>
        <v>1.6479999999999999</v>
      </c>
      <c r="G68" s="54">
        <f t="shared" si="12"/>
        <v>9.5761889999999994</v>
      </c>
      <c r="I68" s="58">
        <f t="shared" si="16"/>
        <v>0</v>
      </c>
      <c r="J68" s="58">
        <f t="shared" si="16"/>
        <v>0</v>
      </c>
      <c r="K68" s="58">
        <f t="shared" si="16"/>
        <v>0</v>
      </c>
      <c r="L68" s="58">
        <f t="shared" si="16"/>
        <v>0</v>
      </c>
      <c r="M68" s="58">
        <f t="shared" si="16"/>
        <v>0</v>
      </c>
      <c r="N68" s="58">
        <f t="shared" si="16"/>
        <v>0</v>
      </c>
      <c r="O68" s="58">
        <f t="shared" si="16"/>
        <v>0</v>
      </c>
      <c r="P68" s="54">
        <f t="shared" si="14"/>
        <v>9.5761889999999994</v>
      </c>
      <c r="Q68" s="73"/>
      <c r="R68" s="54">
        <f t="shared" si="15"/>
        <v>0</v>
      </c>
      <c r="S68" s="73"/>
      <c r="T68" s="73"/>
      <c r="U68" s="73"/>
      <c r="V68" s="73"/>
      <c r="W68" s="73"/>
      <c r="X68" s="73"/>
      <c r="Y68" s="73"/>
      <c r="Z68" s="54"/>
      <c r="AA68" s="58"/>
      <c r="AB68" s="54"/>
    </row>
    <row r="69" spans="1:28" ht="15.75">
      <c r="A69" s="57" t="s">
        <v>274</v>
      </c>
      <c r="B69" s="631" t="s">
        <v>387</v>
      </c>
      <c r="C69" s="284" t="s">
        <v>308</v>
      </c>
      <c r="D69" s="58">
        <f t="shared" si="11"/>
        <v>0.162296</v>
      </c>
      <c r="E69" s="58">
        <f t="shared" si="11"/>
        <v>0.51700000000000002</v>
      </c>
      <c r="F69" s="58">
        <f t="shared" si="11"/>
        <v>0.47499999999999998</v>
      </c>
      <c r="G69" s="54">
        <f t="shared" si="12"/>
        <v>1.154296</v>
      </c>
      <c r="I69" s="58">
        <f t="shared" si="16"/>
        <v>0</v>
      </c>
      <c r="J69" s="58">
        <f t="shared" si="16"/>
        <v>0</v>
      </c>
      <c r="K69" s="58">
        <f t="shared" si="16"/>
        <v>0</v>
      </c>
      <c r="L69" s="58">
        <f t="shared" si="16"/>
        <v>0</v>
      </c>
      <c r="M69" s="58">
        <f t="shared" si="16"/>
        <v>0</v>
      </c>
      <c r="N69" s="58">
        <f t="shared" si="16"/>
        <v>0</v>
      </c>
      <c r="O69" s="58">
        <f t="shared" si="16"/>
        <v>0</v>
      </c>
      <c r="P69" s="54">
        <f t="shared" si="14"/>
        <v>1.154296</v>
      </c>
      <c r="Q69" s="73"/>
      <c r="R69" s="54">
        <f t="shared" si="15"/>
        <v>0</v>
      </c>
      <c r="S69" s="73"/>
      <c r="T69" s="73"/>
      <c r="U69" s="73"/>
      <c r="V69" s="73"/>
      <c r="W69" s="73"/>
      <c r="X69" s="73"/>
      <c r="Y69" s="73"/>
      <c r="Z69" s="54"/>
      <c r="AA69" s="58"/>
      <c r="AB69" s="54"/>
    </row>
    <row r="70" spans="1:28" ht="15.75">
      <c r="A70" s="57" t="s">
        <v>274</v>
      </c>
      <c r="B70" s="191" t="s">
        <v>199</v>
      </c>
      <c r="C70" s="284" t="s">
        <v>300</v>
      </c>
      <c r="D70" s="58">
        <f t="shared" si="11"/>
        <v>8.7880000000000007E-3</v>
      </c>
      <c r="E70" s="58">
        <f t="shared" si="11"/>
        <v>0.27300000000000002</v>
      </c>
      <c r="F70" s="58">
        <f t="shared" si="11"/>
        <v>0.24199999999999999</v>
      </c>
      <c r="G70" s="54">
        <f t="shared" si="12"/>
        <v>0.52378800000000003</v>
      </c>
      <c r="I70" s="58">
        <f t="shared" si="16"/>
        <v>0</v>
      </c>
      <c r="J70" s="58">
        <f t="shared" si="16"/>
        <v>0</v>
      </c>
      <c r="K70" s="58">
        <f t="shared" si="16"/>
        <v>0</v>
      </c>
      <c r="L70" s="58">
        <f t="shared" si="16"/>
        <v>0</v>
      </c>
      <c r="M70" s="58">
        <f t="shared" si="16"/>
        <v>0</v>
      </c>
      <c r="N70" s="58">
        <f t="shared" si="16"/>
        <v>0</v>
      </c>
      <c r="O70" s="58">
        <f t="shared" si="16"/>
        <v>0</v>
      </c>
      <c r="P70" s="54">
        <f t="shared" si="14"/>
        <v>0.52378800000000003</v>
      </c>
      <c r="Q70" s="73"/>
      <c r="R70" s="54">
        <f t="shared" si="15"/>
        <v>0</v>
      </c>
      <c r="S70" s="73"/>
      <c r="T70" s="73"/>
      <c r="U70" s="73"/>
      <c r="V70" s="73"/>
      <c r="W70" s="73"/>
      <c r="X70" s="73"/>
      <c r="Y70" s="73"/>
      <c r="Z70" s="54"/>
      <c r="AA70" s="58"/>
      <c r="AB70" s="54"/>
    </row>
    <row r="71" spans="1:28" ht="15.75">
      <c r="A71" s="284" t="s">
        <v>298</v>
      </c>
      <c r="B71" s="189" t="s">
        <v>214</v>
      </c>
      <c r="C71" s="284" t="s">
        <v>298</v>
      </c>
      <c r="D71" s="58">
        <f>SUMIFS($D20:$V20,$D$2:$V$2,D$54)</f>
        <v>69.427137000000002</v>
      </c>
      <c r="E71" s="58">
        <f t="shared" si="11"/>
        <v>11.097</v>
      </c>
      <c r="F71" s="58">
        <f t="shared" si="11"/>
        <v>50.081000000000003</v>
      </c>
      <c r="G71" s="54">
        <f t="shared" si="12"/>
        <v>130.60513700000001</v>
      </c>
      <c r="I71" s="58">
        <f t="shared" si="16"/>
        <v>0</v>
      </c>
      <c r="J71" s="58">
        <f t="shared" si="16"/>
        <v>0</v>
      </c>
      <c r="K71" s="58">
        <f t="shared" si="16"/>
        <v>0</v>
      </c>
      <c r="L71" s="58">
        <f t="shared" si="16"/>
        <v>2.819</v>
      </c>
      <c r="M71" s="58">
        <f t="shared" si="16"/>
        <v>0</v>
      </c>
      <c r="N71" s="58">
        <f t="shared" si="16"/>
        <v>0</v>
      </c>
      <c r="O71" s="58">
        <f t="shared" si="16"/>
        <v>0</v>
      </c>
      <c r="P71" s="54">
        <f t="shared" si="14"/>
        <v>133.424137</v>
      </c>
      <c r="Q71" s="73"/>
      <c r="R71" s="54">
        <f t="shared" si="15"/>
        <v>2.819</v>
      </c>
      <c r="S71" s="73"/>
      <c r="T71" s="73"/>
      <c r="U71" s="73"/>
      <c r="V71" s="73"/>
      <c r="W71" s="73"/>
      <c r="X71" s="73"/>
      <c r="Y71" s="73"/>
      <c r="Z71" s="54"/>
      <c r="AA71" s="58"/>
      <c r="AB71" s="54"/>
    </row>
    <row r="72" spans="1:28" ht="15.75">
      <c r="A72" s="284" t="s">
        <v>281</v>
      </c>
      <c r="B72" s="189" t="s">
        <v>543</v>
      </c>
      <c r="C72" s="284" t="s">
        <v>281</v>
      </c>
      <c r="D72" s="58">
        <f t="shared" si="11"/>
        <v>258.308876</v>
      </c>
      <c r="E72" s="58">
        <f t="shared" si="11"/>
        <v>33.802999999999997</v>
      </c>
      <c r="F72" s="58">
        <f t="shared" si="11"/>
        <v>191.13900000000001</v>
      </c>
      <c r="G72" s="54">
        <f t="shared" si="12"/>
        <v>483.25087600000001</v>
      </c>
      <c r="I72" s="58">
        <f t="shared" si="16"/>
        <v>255.42239699999999</v>
      </c>
      <c r="J72" s="58">
        <f t="shared" si="16"/>
        <v>0</v>
      </c>
      <c r="K72" s="58">
        <f t="shared" si="16"/>
        <v>0</v>
      </c>
      <c r="L72" s="58">
        <f t="shared" si="16"/>
        <v>4.0359999999999996</v>
      </c>
      <c r="M72" s="58">
        <f t="shared" si="16"/>
        <v>0</v>
      </c>
      <c r="N72" s="58">
        <f t="shared" si="16"/>
        <v>0</v>
      </c>
      <c r="O72" s="58">
        <f t="shared" si="16"/>
        <v>0</v>
      </c>
      <c r="P72" s="54">
        <f t="shared" si="14"/>
        <v>742.70927299999994</v>
      </c>
      <c r="Q72" s="73"/>
      <c r="R72" s="54">
        <f t="shared" si="15"/>
        <v>4.0359999999999996</v>
      </c>
      <c r="S72" s="73"/>
      <c r="T72" s="73"/>
      <c r="U72" s="73"/>
      <c r="V72" s="73"/>
      <c r="W72" s="73"/>
      <c r="X72" s="73"/>
      <c r="Y72" s="73"/>
      <c r="Z72" s="54"/>
      <c r="AA72" s="58"/>
      <c r="AB72" s="54"/>
    </row>
    <row r="73" spans="1:28" ht="15.75">
      <c r="A73" s="284" t="s">
        <v>297</v>
      </c>
      <c r="B73" s="189" t="s">
        <v>542</v>
      </c>
      <c r="C73" s="284" t="s">
        <v>297</v>
      </c>
      <c r="D73" s="58">
        <f t="shared" si="11"/>
        <v>0</v>
      </c>
      <c r="E73" s="58">
        <f t="shared" si="11"/>
        <v>0</v>
      </c>
      <c r="F73" s="58">
        <f t="shared" si="11"/>
        <v>33.427</v>
      </c>
      <c r="G73" s="54">
        <f t="shared" si="12"/>
        <v>33.427</v>
      </c>
      <c r="I73" s="58">
        <f t="shared" si="16"/>
        <v>0</v>
      </c>
      <c r="J73" s="58">
        <f t="shared" si="16"/>
        <v>0</v>
      </c>
      <c r="K73" s="58">
        <f t="shared" si="16"/>
        <v>0</v>
      </c>
      <c r="L73" s="58">
        <f t="shared" si="16"/>
        <v>0</v>
      </c>
      <c r="M73" s="58">
        <f t="shared" si="16"/>
        <v>0</v>
      </c>
      <c r="N73" s="58">
        <f t="shared" si="16"/>
        <v>0</v>
      </c>
      <c r="O73" s="58">
        <f t="shared" si="16"/>
        <v>0</v>
      </c>
      <c r="P73" s="54">
        <f t="shared" si="14"/>
        <v>33.427</v>
      </c>
      <c r="Q73" s="73"/>
      <c r="R73" s="54">
        <f t="shared" si="15"/>
        <v>0</v>
      </c>
      <c r="S73" s="73"/>
      <c r="T73" s="73"/>
      <c r="U73" s="73"/>
      <c r="V73" s="73"/>
      <c r="W73" s="73"/>
      <c r="X73" s="73"/>
      <c r="Y73" s="73"/>
      <c r="Z73" s="54"/>
      <c r="AA73" s="58"/>
      <c r="AB73" s="54"/>
    </row>
    <row r="74" spans="1:28" ht="15.75">
      <c r="A74" s="57" t="s">
        <v>48</v>
      </c>
      <c r="B74" s="189" t="s">
        <v>208</v>
      </c>
      <c r="C74" s="284" t="s">
        <v>296</v>
      </c>
      <c r="D74" s="58">
        <f t="shared" si="11"/>
        <v>127.186144</v>
      </c>
      <c r="E74" s="58">
        <f t="shared" si="11"/>
        <v>0</v>
      </c>
      <c r="F74" s="58">
        <f t="shared" si="11"/>
        <v>0</v>
      </c>
      <c r="G74" s="54">
        <f t="shared" si="12"/>
        <v>127.186144</v>
      </c>
      <c r="I74" s="58">
        <f t="shared" si="16"/>
        <v>0</v>
      </c>
      <c r="J74" s="58">
        <f t="shared" si="16"/>
        <v>0</v>
      </c>
      <c r="K74" s="58">
        <f t="shared" si="16"/>
        <v>0</v>
      </c>
      <c r="L74" s="58">
        <f t="shared" si="16"/>
        <v>0</v>
      </c>
      <c r="M74" s="58">
        <f t="shared" si="16"/>
        <v>0</v>
      </c>
      <c r="N74" s="58">
        <f t="shared" si="16"/>
        <v>0</v>
      </c>
      <c r="O74" s="58">
        <f t="shared" si="16"/>
        <v>0</v>
      </c>
      <c r="P74" s="54">
        <f t="shared" si="14"/>
        <v>127.186144</v>
      </c>
      <c r="Q74" s="73"/>
      <c r="R74" s="54">
        <f t="shared" si="15"/>
        <v>0</v>
      </c>
      <c r="S74" s="73"/>
      <c r="T74" s="73"/>
      <c r="U74" s="73"/>
      <c r="V74" s="73"/>
      <c r="W74" s="73"/>
      <c r="X74" s="73"/>
      <c r="Y74" s="73"/>
      <c r="Z74" s="54"/>
      <c r="AA74" s="58"/>
      <c r="AB74" s="54"/>
    </row>
    <row r="75" spans="1:28" ht="15.75">
      <c r="A75" s="57" t="s">
        <v>227</v>
      </c>
      <c r="B75" s="189" t="s">
        <v>540</v>
      </c>
      <c r="C75" s="284" t="s">
        <v>227</v>
      </c>
      <c r="D75" s="58">
        <f t="shared" si="11"/>
        <v>121.58713299999999</v>
      </c>
      <c r="E75" s="58">
        <f t="shared" si="11"/>
        <v>0</v>
      </c>
      <c r="F75" s="58">
        <f t="shared" si="11"/>
        <v>37.027999999999999</v>
      </c>
      <c r="G75" s="54">
        <f t="shared" si="12"/>
        <v>158.61513299999999</v>
      </c>
      <c r="I75" s="58">
        <f t="shared" ref="I75:O80" si="17">SUMIFS($D24:$V24,$D$2:$V$2,I$54)</f>
        <v>0</v>
      </c>
      <c r="J75" s="58">
        <f t="shared" si="17"/>
        <v>0</v>
      </c>
      <c r="K75" s="58">
        <f t="shared" si="17"/>
        <v>0</v>
      </c>
      <c r="L75" s="58">
        <f t="shared" si="17"/>
        <v>0</v>
      </c>
      <c r="M75" s="58">
        <f t="shared" si="17"/>
        <v>0</v>
      </c>
      <c r="N75" s="58">
        <f t="shared" si="17"/>
        <v>0</v>
      </c>
      <c r="O75" s="58">
        <f t="shared" si="17"/>
        <v>0</v>
      </c>
      <c r="P75" s="54">
        <f t="shared" si="14"/>
        <v>158.61513299999999</v>
      </c>
      <c r="Q75" s="73"/>
      <c r="R75" s="54">
        <f t="shared" si="15"/>
        <v>0</v>
      </c>
      <c r="S75" s="73"/>
      <c r="T75" s="73"/>
      <c r="U75" s="73"/>
      <c r="V75" s="73"/>
      <c r="W75" s="73"/>
      <c r="X75" s="73"/>
      <c r="Y75" s="73"/>
      <c r="Z75" s="54"/>
      <c r="AA75" s="58"/>
      <c r="AB75" s="54"/>
    </row>
    <row r="76" spans="1:28" ht="15.75">
      <c r="A76" s="57" t="s">
        <v>48</v>
      </c>
      <c r="B76" s="627" t="s">
        <v>544</v>
      </c>
      <c r="C76" s="284" t="s">
        <v>280</v>
      </c>
      <c r="D76" s="58">
        <f t="shared" si="11"/>
        <v>2073.7818500000003</v>
      </c>
      <c r="E76" s="58">
        <f t="shared" si="11"/>
        <v>0.86699999999999999</v>
      </c>
      <c r="F76" s="58">
        <f t="shared" si="11"/>
        <v>0</v>
      </c>
      <c r="G76" s="54">
        <f t="shared" si="12"/>
        <v>2074.6488500000005</v>
      </c>
      <c r="I76" s="58">
        <f t="shared" si="17"/>
        <v>0</v>
      </c>
      <c r="J76" s="58">
        <f t="shared" si="17"/>
        <v>0</v>
      </c>
      <c r="K76" s="58">
        <f t="shared" si="17"/>
        <v>0</v>
      </c>
      <c r="L76" s="58">
        <f t="shared" si="17"/>
        <v>0</v>
      </c>
      <c r="M76" s="58">
        <f t="shared" si="17"/>
        <v>0</v>
      </c>
      <c r="N76" s="58">
        <f t="shared" si="17"/>
        <v>0</v>
      </c>
      <c r="O76" s="58">
        <f t="shared" si="17"/>
        <v>0</v>
      </c>
      <c r="P76" s="54">
        <f t="shared" si="14"/>
        <v>2074.6488500000005</v>
      </c>
      <c r="Q76" s="73"/>
      <c r="R76" s="54">
        <f t="shared" si="15"/>
        <v>0</v>
      </c>
      <c r="S76" s="73"/>
      <c r="T76" s="73"/>
      <c r="U76" s="73"/>
      <c r="V76" s="73"/>
      <c r="W76" s="73"/>
      <c r="X76" s="73"/>
      <c r="Y76" s="73"/>
      <c r="Z76" s="54"/>
      <c r="AA76" s="58"/>
      <c r="AB76" s="54"/>
    </row>
    <row r="77" spans="1:28" ht="15.75">
      <c r="A77" s="57" t="s">
        <v>48</v>
      </c>
      <c r="B77" s="189" t="s">
        <v>541</v>
      </c>
      <c r="C77" s="284" t="s">
        <v>295</v>
      </c>
      <c r="D77" s="58">
        <f t="shared" ref="D77:F78" si="18">SUMIFS($D27:$V27,$D$2:$V$2,D$54)</f>
        <v>26.448539</v>
      </c>
      <c r="E77" s="58">
        <f t="shared" si="18"/>
        <v>0</v>
      </c>
      <c r="F77" s="58">
        <f t="shared" si="18"/>
        <v>0.161</v>
      </c>
      <c r="G77" s="54">
        <f t="shared" si="12"/>
        <v>26.609539000000002</v>
      </c>
      <c r="I77" s="58">
        <f t="shared" si="17"/>
        <v>0</v>
      </c>
      <c r="J77" s="58">
        <f t="shared" si="17"/>
        <v>0</v>
      </c>
      <c r="K77" s="58">
        <f t="shared" si="17"/>
        <v>0</v>
      </c>
      <c r="L77" s="58">
        <f t="shared" si="17"/>
        <v>0</v>
      </c>
      <c r="M77" s="58">
        <f t="shared" si="17"/>
        <v>0</v>
      </c>
      <c r="N77" s="58">
        <f t="shared" si="17"/>
        <v>0</v>
      </c>
      <c r="O77" s="58">
        <f t="shared" si="17"/>
        <v>0</v>
      </c>
      <c r="P77" s="54">
        <f t="shared" si="14"/>
        <v>26.609539000000002</v>
      </c>
      <c r="Q77" s="73"/>
      <c r="R77" s="54">
        <f t="shared" si="15"/>
        <v>0</v>
      </c>
      <c r="S77" s="73"/>
      <c r="T77" s="73"/>
      <c r="U77" s="73"/>
      <c r="V77" s="73"/>
      <c r="W77" s="73"/>
      <c r="X77" s="73"/>
      <c r="Y77" s="73"/>
      <c r="Z77" s="54"/>
      <c r="AA77" s="58"/>
      <c r="AB77" s="54"/>
    </row>
    <row r="78" spans="1:28" ht="15.75">
      <c r="A78" s="57" t="s">
        <v>48</v>
      </c>
      <c r="B78" s="189" t="s">
        <v>210</v>
      </c>
      <c r="C78" s="284" t="s">
        <v>292</v>
      </c>
      <c r="D78" s="58">
        <f t="shared" si="18"/>
        <v>28.755616999999997</v>
      </c>
      <c r="E78" s="58">
        <f t="shared" si="18"/>
        <v>0</v>
      </c>
      <c r="F78" s="58">
        <f t="shared" si="18"/>
        <v>0</v>
      </c>
      <c r="G78" s="54">
        <f t="shared" si="12"/>
        <v>28.755616999999997</v>
      </c>
      <c r="I78" s="58">
        <f t="shared" si="17"/>
        <v>0</v>
      </c>
      <c r="J78" s="58">
        <f t="shared" si="17"/>
        <v>0</v>
      </c>
      <c r="K78" s="58">
        <f t="shared" si="17"/>
        <v>0</v>
      </c>
      <c r="L78" s="58">
        <f t="shared" si="17"/>
        <v>0</v>
      </c>
      <c r="M78" s="58">
        <f t="shared" si="17"/>
        <v>0</v>
      </c>
      <c r="N78" s="58">
        <f t="shared" si="17"/>
        <v>0</v>
      </c>
      <c r="O78" s="58">
        <f t="shared" si="17"/>
        <v>0</v>
      </c>
      <c r="P78" s="54">
        <f t="shared" si="14"/>
        <v>28.755616999999997</v>
      </c>
      <c r="Q78" s="73"/>
      <c r="R78" s="54">
        <f t="shared" si="15"/>
        <v>0</v>
      </c>
      <c r="S78" s="73"/>
      <c r="T78" s="73"/>
      <c r="U78" s="73"/>
      <c r="V78" s="73"/>
      <c r="W78" s="73"/>
      <c r="X78" s="73"/>
      <c r="Y78" s="73"/>
      <c r="Z78" s="54"/>
      <c r="AA78" s="58"/>
      <c r="AB78" s="54"/>
    </row>
    <row r="79" spans="1:28" ht="15.75">
      <c r="A79" s="57" t="s">
        <v>48</v>
      </c>
      <c r="B79" s="189" t="s">
        <v>541</v>
      </c>
      <c r="C79" s="284" t="s">
        <v>291</v>
      </c>
      <c r="D79" s="58">
        <f>SUMIFS($D26:$V26,$D$2:$V$2,D$54)</f>
        <v>0</v>
      </c>
      <c r="E79" s="58">
        <f>SUMIFS($D26:$V26,$D$2:$V$2,E$54)</f>
        <v>0</v>
      </c>
      <c r="F79" s="58">
        <f>SUMIFS($D26:$V26,$D$2:$V$2,F$54)</f>
        <v>4.0659999999999998</v>
      </c>
      <c r="G79" s="54">
        <f t="shared" si="12"/>
        <v>4.0659999999999998</v>
      </c>
      <c r="I79" s="58">
        <f t="shared" si="17"/>
        <v>0</v>
      </c>
      <c r="J79" s="58">
        <f t="shared" si="17"/>
        <v>0</v>
      </c>
      <c r="K79" s="58">
        <f t="shared" si="17"/>
        <v>0</v>
      </c>
      <c r="L79" s="58">
        <f t="shared" si="17"/>
        <v>0</v>
      </c>
      <c r="M79" s="58">
        <f t="shared" si="17"/>
        <v>0</v>
      </c>
      <c r="N79" s="58">
        <f t="shared" si="17"/>
        <v>0</v>
      </c>
      <c r="O79" s="58">
        <f t="shared" si="17"/>
        <v>0</v>
      </c>
      <c r="P79" s="54">
        <f t="shared" si="14"/>
        <v>4.0659999999999998</v>
      </c>
      <c r="Q79" s="73"/>
      <c r="R79" s="54">
        <f t="shared" si="15"/>
        <v>0</v>
      </c>
      <c r="S79" s="73"/>
      <c r="T79" s="73"/>
      <c r="U79" s="73"/>
      <c r="V79" s="73"/>
      <c r="W79" s="73"/>
      <c r="X79" s="73"/>
      <c r="Y79" s="73"/>
      <c r="Z79" s="54"/>
      <c r="AA79" s="58"/>
      <c r="AB79" s="54"/>
    </row>
    <row r="80" spans="1:28" ht="15.75">
      <c r="A80" s="622" t="s">
        <v>274</v>
      </c>
      <c r="B80" s="189" t="s">
        <v>206</v>
      </c>
      <c r="C80" s="284" t="s">
        <v>938</v>
      </c>
      <c r="D80" s="58">
        <f>SUMIFS($D29:$V29,$D$2:$V$2,D$54)</f>
        <v>10.947546000000001</v>
      </c>
      <c r="E80" s="58">
        <f t="shared" si="11"/>
        <v>0</v>
      </c>
      <c r="F80" s="58">
        <f t="shared" si="11"/>
        <v>0</v>
      </c>
      <c r="G80" s="54">
        <f t="shared" si="12"/>
        <v>10.947546000000001</v>
      </c>
      <c r="I80" s="58">
        <f t="shared" si="17"/>
        <v>0</v>
      </c>
      <c r="J80" s="58">
        <f t="shared" si="17"/>
        <v>0</v>
      </c>
      <c r="K80" s="58">
        <f t="shared" si="17"/>
        <v>0</v>
      </c>
      <c r="L80" s="58">
        <f t="shared" si="17"/>
        <v>0</v>
      </c>
      <c r="M80" s="58">
        <f t="shared" si="17"/>
        <v>0</v>
      </c>
      <c r="N80" s="58">
        <f t="shared" si="17"/>
        <v>0</v>
      </c>
      <c r="O80" s="58">
        <f t="shared" si="17"/>
        <v>0</v>
      </c>
      <c r="P80" s="54">
        <f t="shared" si="14"/>
        <v>10.947546000000001</v>
      </c>
      <c r="Q80" s="73"/>
      <c r="R80" s="54">
        <f t="shared" si="15"/>
        <v>0</v>
      </c>
      <c r="S80" s="73"/>
      <c r="T80" s="73"/>
      <c r="U80" s="73"/>
      <c r="V80" s="73"/>
      <c r="W80" s="73"/>
      <c r="X80" s="73"/>
      <c r="Y80" s="73"/>
      <c r="Z80" s="54"/>
      <c r="AA80" s="58"/>
      <c r="AB80" s="54"/>
    </row>
    <row r="81" spans="3:28">
      <c r="C81" s="51" t="s">
        <v>368</v>
      </c>
      <c r="D81" s="54">
        <f>SUM(D55:D80)</f>
        <v>3116.5458990000002</v>
      </c>
      <c r="E81" s="54">
        <f>SUM(E55:E80)</f>
        <v>638.95000000000005</v>
      </c>
      <c r="F81" s="54">
        <f>SUM(F55:F80)</f>
        <v>846.50500000000011</v>
      </c>
      <c r="G81" s="54">
        <f t="shared" si="12"/>
        <v>4602.0008990000006</v>
      </c>
      <c r="I81" s="54">
        <f t="shared" ref="I81:O81" si="19">SUM(I55:I80)</f>
        <v>319.20483999999999</v>
      </c>
      <c r="J81" s="54">
        <f t="shared" si="19"/>
        <v>0</v>
      </c>
      <c r="K81" s="54">
        <f t="shared" si="19"/>
        <v>0</v>
      </c>
      <c r="L81" s="54">
        <f t="shared" si="19"/>
        <v>7.2359999999999998</v>
      </c>
      <c r="M81" s="54">
        <f t="shared" si="19"/>
        <v>0</v>
      </c>
      <c r="N81" s="54">
        <f t="shared" si="19"/>
        <v>0</v>
      </c>
      <c r="O81" s="54">
        <f t="shared" si="19"/>
        <v>0</v>
      </c>
      <c r="P81" s="54">
        <f t="shared" si="14"/>
        <v>4928.4417390000008</v>
      </c>
      <c r="Q81" s="54"/>
      <c r="R81" s="54">
        <f t="shared" si="15"/>
        <v>7.2359999999999998</v>
      </c>
      <c r="S81" s="54"/>
      <c r="T81" s="54"/>
      <c r="U81" s="54"/>
      <c r="V81" s="54"/>
      <c r="W81" s="54"/>
      <c r="X81" s="54"/>
      <c r="Y81" s="54"/>
      <c r="Z81" s="54"/>
      <c r="AA81" s="58"/>
      <c r="AB81" s="54"/>
    </row>
    <row r="82" spans="3:28">
      <c r="C82" s="51"/>
      <c r="D82" s="54"/>
      <c r="E82" s="54"/>
      <c r="F82" s="54"/>
      <c r="I82" s="54"/>
      <c r="J82" s="54"/>
      <c r="K82" s="54"/>
      <c r="L82" s="54"/>
      <c r="M82" s="54"/>
      <c r="N82" s="54"/>
      <c r="O82" s="54"/>
      <c r="P82" s="54"/>
      <c r="Q82" s="54"/>
      <c r="R82" s="54"/>
      <c r="S82" s="54"/>
      <c r="T82" s="54"/>
      <c r="U82" s="54"/>
      <c r="V82" s="54"/>
      <c r="W82" s="54"/>
      <c r="X82" s="54"/>
      <c r="Y82" s="54"/>
      <c r="Z82" s="54"/>
      <c r="AA82" s="58"/>
      <c r="AB82" s="54"/>
    </row>
    <row r="83" spans="3:28" ht="15.75">
      <c r="C83" s="67" t="s">
        <v>288</v>
      </c>
      <c r="D83" s="58">
        <f t="shared" ref="D83:F87" si="20">SUMIFS($D32:$V32,$D$2:$V$2,D$54)</f>
        <v>3.526732</v>
      </c>
      <c r="E83" s="58">
        <f t="shared" si="20"/>
        <v>0</v>
      </c>
      <c r="F83" s="58">
        <f t="shared" si="20"/>
        <v>0</v>
      </c>
      <c r="G83" s="54">
        <f t="shared" si="12"/>
        <v>3.526732</v>
      </c>
      <c r="I83" s="58">
        <f t="shared" ref="I83:O87" si="21">SUMIFS($D32:$V32,$D$2:$V$2,I$54)</f>
        <v>0</v>
      </c>
      <c r="J83" s="58">
        <f t="shared" si="21"/>
        <v>0</v>
      </c>
      <c r="K83" s="58">
        <f t="shared" si="21"/>
        <v>0</v>
      </c>
      <c r="L83" s="58">
        <f t="shared" si="21"/>
        <v>0</v>
      </c>
      <c r="M83" s="58">
        <f t="shared" si="21"/>
        <v>0</v>
      </c>
      <c r="N83" s="58">
        <f t="shared" si="21"/>
        <v>0</v>
      </c>
      <c r="O83" s="58">
        <f t="shared" si="21"/>
        <v>0</v>
      </c>
      <c r="P83" s="54">
        <f t="shared" si="14"/>
        <v>3.526732</v>
      </c>
      <c r="Q83" s="54"/>
      <c r="R83" s="54">
        <f t="shared" si="15"/>
        <v>0</v>
      </c>
      <c r="S83" s="54"/>
      <c r="T83" s="54"/>
      <c r="U83" s="54"/>
      <c r="V83" s="54"/>
      <c r="W83" s="54"/>
      <c r="X83" s="54"/>
      <c r="Y83" s="54"/>
      <c r="Z83" s="54"/>
      <c r="AA83" s="58"/>
      <c r="AB83" s="54"/>
    </row>
    <row r="84" spans="3:28" ht="15.75">
      <c r="C84" s="67" t="s">
        <v>563</v>
      </c>
      <c r="D84" s="58">
        <f t="shared" si="20"/>
        <v>0</v>
      </c>
      <c r="E84" s="58">
        <f t="shared" si="20"/>
        <v>112.85074853466141</v>
      </c>
      <c r="F84" s="58">
        <f t="shared" si="20"/>
        <v>0</v>
      </c>
      <c r="G84" s="54">
        <f t="shared" si="12"/>
        <v>112.85074853466141</v>
      </c>
      <c r="I84" s="58">
        <f t="shared" si="21"/>
        <v>0</v>
      </c>
      <c r="J84" s="58">
        <f t="shared" si="21"/>
        <v>0</v>
      </c>
      <c r="K84" s="58">
        <f t="shared" si="21"/>
        <v>0</v>
      </c>
      <c r="L84" s="58">
        <f t="shared" si="21"/>
        <v>0</v>
      </c>
      <c r="M84" s="58">
        <f t="shared" si="21"/>
        <v>0</v>
      </c>
      <c r="N84" s="58">
        <f t="shared" si="21"/>
        <v>0</v>
      </c>
      <c r="O84" s="58">
        <f t="shared" si="21"/>
        <v>0</v>
      </c>
      <c r="P84" s="54">
        <f t="shared" si="14"/>
        <v>112.85074853466141</v>
      </c>
      <c r="Q84" s="54"/>
      <c r="R84" s="54">
        <f t="shared" si="15"/>
        <v>0</v>
      </c>
      <c r="S84" s="54"/>
      <c r="T84" s="54"/>
      <c r="U84" s="54"/>
      <c r="V84" s="54"/>
      <c r="W84" s="54"/>
      <c r="X84" s="54"/>
      <c r="Y84" s="54"/>
      <c r="Z84" s="54"/>
      <c r="AA84" s="58"/>
      <c r="AB84" s="54"/>
    </row>
    <row r="85" spans="3:28" ht="15.75">
      <c r="C85" s="67" t="s">
        <v>285</v>
      </c>
      <c r="D85" s="58">
        <f t="shared" si="20"/>
        <v>0</v>
      </c>
      <c r="E85" s="58">
        <f t="shared" si="20"/>
        <v>383.4492381735671</v>
      </c>
      <c r="F85" s="58">
        <f t="shared" si="20"/>
        <v>0</v>
      </c>
      <c r="G85" s="54">
        <f t="shared" si="12"/>
        <v>383.4492381735671</v>
      </c>
      <c r="I85" s="58">
        <f t="shared" si="21"/>
        <v>0</v>
      </c>
      <c r="J85" s="58">
        <f t="shared" si="21"/>
        <v>0</v>
      </c>
      <c r="K85" s="58">
        <f t="shared" si="21"/>
        <v>0</v>
      </c>
      <c r="L85" s="58">
        <f t="shared" si="21"/>
        <v>0</v>
      </c>
      <c r="M85" s="58">
        <f t="shared" si="21"/>
        <v>0</v>
      </c>
      <c r="N85" s="58">
        <f t="shared" si="21"/>
        <v>0</v>
      </c>
      <c r="O85" s="58">
        <f t="shared" si="21"/>
        <v>0</v>
      </c>
      <c r="P85" s="54">
        <f t="shared" si="14"/>
        <v>383.4492381735671</v>
      </c>
      <c r="Q85" s="54"/>
      <c r="R85" s="54">
        <f t="shared" si="15"/>
        <v>0</v>
      </c>
      <c r="S85" s="54"/>
      <c r="T85" s="54"/>
      <c r="U85" s="54"/>
      <c r="V85" s="54"/>
      <c r="W85" s="54"/>
      <c r="X85" s="54"/>
      <c r="Y85" s="54"/>
      <c r="Z85" s="54"/>
      <c r="AA85" s="58"/>
      <c r="AB85" s="54"/>
    </row>
    <row r="86" spans="3:28" ht="15.75">
      <c r="C86" s="67" t="s">
        <v>284</v>
      </c>
      <c r="D86" s="58">
        <f t="shared" si="20"/>
        <v>0</v>
      </c>
      <c r="E86" s="58">
        <f t="shared" si="20"/>
        <v>96.149994922306163</v>
      </c>
      <c r="F86" s="58">
        <f t="shared" si="20"/>
        <v>0</v>
      </c>
      <c r="G86" s="54">
        <f t="shared" si="12"/>
        <v>96.149994922306163</v>
      </c>
      <c r="I86" s="58">
        <f t="shared" si="21"/>
        <v>0</v>
      </c>
      <c r="J86" s="58">
        <f t="shared" si="21"/>
        <v>0</v>
      </c>
      <c r="K86" s="58">
        <f t="shared" si="21"/>
        <v>0</v>
      </c>
      <c r="L86" s="58">
        <f t="shared" si="21"/>
        <v>0</v>
      </c>
      <c r="M86" s="58">
        <f t="shared" si="21"/>
        <v>0</v>
      </c>
      <c r="N86" s="58">
        <f t="shared" si="21"/>
        <v>0</v>
      </c>
      <c r="O86" s="58">
        <f t="shared" si="21"/>
        <v>0</v>
      </c>
      <c r="P86" s="54">
        <f t="shared" si="14"/>
        <v>96.149994922306163</v>
      </c>
      <c r="Q86" s="54"/>
      <c r="R86" s="54">
        <f t="shared" si="15"/>
        <v>0</v>
      </c>
      <c r="S86" s="54"/>
      <c r="T86" s="54"/>
      <c r="U86" s="54"/>
      <c r="V86" s="54"/>
      <c r="W86" s="54"/>
      <c r="X86" s="54"/>
      <c r="Y86" s="54"/>
      <c r="Z86" s="54"/>
      <c r="AA86" s="58"/>
      <c r="AB86" s="54"/>
    </row>
    <row r="87" spans="3:28" ht="15.75">
      <c r="C87" s="67" t="s">
        <v>283</v>
      </c>
      <c r="D87" s="58">
        <f t="shared" si="20"/>
        <v>0</v>
      </c>
      <c r="E87" s="58">
        <f t="shared" si="20"/>
        <v>265.98138475710471</v>
      </c>
      <c r="F87" s="58">
        <f t="shared" si="20"/>
        <v>0</v>
      </c>
      <c r="G87" s="54">
        <f t="shared" si="12"/>
        <v>265.98138475710471</v>
      </c>
      <c r="I87" s="58">
        <f t="shared" si="21"/>
        <v>0</v>
      </c>
      <c r="J87" s="58">
        <f t="shared" si="21"/>
        <v>0</v>
      </c>
      <c r="K87" s="58">
        <f t="shared" si="21"/>
        <v>0</v>
      </c>
      <c r="L87" s="58">
        <f t="shared" si="21"/>
        <v>0</v>
      </c>
      <c r="M87" s="58">
        <f t="shared" si="21"/>
        <v>0</v>
      </c>
      <c r="N87" s="58">
        <f t="shared" si="21"/>
        <v>0</v>
      </c>
      <c r="O87" s="58">
        <f t="shared" si="21"/>
        <v>0</v>
      </c>
      <c r="P87" s="54">
        <f t="shared" si="14"/>
        <v>265.98138475710471</v>
      </c>
      <c r="Q87" s="54"/>
      <c r="R87" s="54">
        <f t="shared" si="15"/>
        <v>0</v>
      </c>
      <c r="S87" s="54"/>
      <c r="T87" s="54"/>
      <c r="U87" s="54"/>
      <c r="V87" s="54"/>
      <c r="W87" s="54"/>
      <c r="X87" s="54"/>
      <c r="Y87" s="54"/>
      <c r="Z87" s="54"/>
      <c r="AA87" s="58"/>
      <c r="AB87" s="54"/>
    </row>
    <row r="88" spans="3:28" ht="15.75">
      <c r="C88" s="3" t="s">
        <v>368</v>
      </c>
      <c r="D88" s="56">
        <f>SUM(D83:D87)</f>
        <v>3.526732</v>
      </c>
      <c r="E88" s="56">
        <f t="shared" ref="E88:F88" si="22">SUM(E83:E87)</f>
        <v>858.4313663876394</v>
      </c>
      <c r="F88" s="56">
        <f t="shared" si="22"/>
        <v>0</v>
      </c>
      <c r="G88" s="54">
        <f t="shared" si="12"/>
        <v>861.95809838763944</v>
      </c>
      <c r="I88" s="56">
        <f t="shared" ref="I88:O88" si="23">SUM(I83:I87)</f>
        <v>0</v>
      </c>
      <c r="J88" s="56">
        <f t="shared" si="23"/>
        <v>0</v>
      </c>
      <c r="K88" s="56">
        <f t="shared" si="23"/>
        <v>0</v>
      </c>
      <c r="L88" s="56">
        <f t="shared" si="23"/>
        <v>0</v>
      </c>
      <c r="M88" s="56">
        <f t="shared" si="23"/>
        <v>0</v>
      </c>
      <c r="N88" s="56">
        <f t="shared" si="23"/>
        <v>0</v>
      </c>
      <c r="O88" s="56">
        <f t="shared" si="23"/>
        <v>0</v>
      </c>
      <c r="P88" s="54">
        <f t="shared" si="14"/>
        <v>861.95809838763944</v>
      </c>
      <c r="Q88" s="54"/>
      <c r="R88" s="54">
        <f t="shared" si="15"/>
        <v>0</v>
      </c>
      <c r="S88" s="54"/>
      <c r="T88" s="54"/>
      <c r="U88" s="54"/>
      <c r="V88" s="54"/>
      <c r="W88" s="54"/>
      <c r="X88" s="54"/>
      <c r="Y88" s="54"/>
      <c r="Z88" s="54"/>
      <c r="AA88" s="58"/>
      <c r="AB88" s="54"/>
    </row>
    <row r="89" spans="3:28" ht="15.75">
      <c r="C89" s="67"/>
      <c r="D89" s="54"/>
      <c r="E89" s="54"/>
      <c r="F89" s="54"/>
      <c r="I89" s="54"/>
      <c r="J89" s="54"/>
      <c r="K89" s="54"/>
      <c r="L89" s="54"/>
      <c r="M89" s="54"/>
      <c r="N89" s="54"/>
      <c r="O89" s="54"/>
      <c r="P89" s="54"/>
      <c r="Q89" s="54"/>
      <c r="R89" s="54"/>
      <c r="S89" s="54"/>
      <c r="T89" s="54"/>
      <c r="U89" s="54"/>
      <c r="V89" s="54"/>
      <c r="W89" s="54"/>
      <c r="X89" s="54"/>
      <c r="Y89" s="54"/>
      <c r="Z89" s="54"/>
      <c r="AA89" s="58"/>
      <c r="AB89" s="54"/>
    </row>
    <row r="90" spans="3:28" ht="15.75">
      <c r="C90" s="51" t="s">
        <v>622</v>
      </c>
      <c r="D90" s="56">
        <f>'SEC elec-SIE'!I20</f>
        <v>828.16700000000003</v>
      </c>
      <c r="E90" s="56">
        <f>'SEC elec-SIE'!J20</f>
        <v>1303.69</v>
      </c>
      <c r="F90" s="56">
        <v>0</v>
      </c>
      <c r="G90" s="54">
        <f t="shared" si="12"/>
        <v>2131.857</v>
      </c>
      <c r="I90" s="56">
        <f>'SEC elec-SIE'!L20+'SEC elec-SIE'!N26</f>
        <v>60.542000000000002</v>
      </c>
      <c r="J90" s="56">
        <v>0</v>
      </c>
      <c r="K90" s="56">
        <f>'SEC elec-SIE'!L27</f>
        <v>15.064</v>
      </c>
      <c r="L90" s="56">
        <f>'SEC elec-SIE'!M27</f>
        <v>0.36</v>
      </c>
      <c r="M90" s="56">
        <f>'SEC elec-SIE'!J27</f>
        <v>100.87700000000001</v>
      </c>
      <c r="N90" s="56">
        <f>'SEC elec-SIE'!K27</f>
        <v>131.316</v>
      </c>
      <c r="O90" s="56">
        <f>'SEC elec-SIE'!I27</f>
        <v>122.598</v>
      </c>
      <c r="P90" s="54"/>
      <c r="Q90" s="54"/>
      <c r="R90" s="339">
        <f t="shared" si="15"/>
        <v>370.21500000000003</v>
      </c>
      <c r="S90" s="54"/>
      <c r="T90" s="54"/>
      <c r="U90" s="54"/>
      <c r="V90" s="54"/>
      <c r="W90" s="54"/>
      <c r="X90" s="54"/>
      <c r="Y90" s="54"/>
      <c r="Z90" s="54"/>
      <c r="AA90" s="58"/>
      <c r="AB90" s="54"/>
    </row>
    <row r="91" spans="3:28">
      <c r="C91" s="51"/>
      <c r="D91" s="54"/>
      <c r="E91" s="54"/>
      <c r="F91" s="54"/>
      <c r="I91" s="54"/>
      <c r="J91" s="54"/>
      <c r="K91" s="54"/>
      <c r="L91" s="54"/>
      <c r="M91" s="54"/>
      <c r="N91" s="54"/>
      <c r="O91" s="54"/>
      <c r="P91" s="54"/>
      <c r="Q91" s="54"/>
      <c r="R91" s="54"/>
      <c r="S91" s="54"/>
      <c r="T91" s="54"/>
      <c r="U91" s="54"/>
      <c r="V91" s="54"/>
      <c r="W91" s="54"/>
      <c r="X91" s="54"/>
      <c r="Y91" s="54"/>
      <c r="Z91" s="54"/>
      <c r="AA91" s="58"/>
      <c r="AB91" s="54"/>
    </row>
    <row r="92" spans="3:28">
      <c r="C92" s="51"/>
      <c r="D92" s="54"/>
      <c r="E92" s="54"/>
      <c r="F92" s="54"/>
      <c r="I92" s="54"/>
      <c r="J92" s="54"/>
      <c r="K92" s="54"/>
      <c r="L92" s="54"/>
      <c r="M92" s="54"/>
      <c r="N92" s="54"/>
      <c r="O92" s="54"/>
      <c r="P92" s="54"/>
      <c r="Q92" s="54"/>
      <c r="R92" s="54"/>
      <c r="S92" s="54"/>
      <c r="T92" s="54"/>
      <c r="U92" s="54"/>
      <c r="V92" s="54"/>
      <c r="W92" s="54"/>
      <c r="X92" s="54"/>
      <c r="Y92" s="54"/>
      <c r="Z92" s="54"/>
      <c r="AA92" s="58"/>
      <c r="AB92" s="54"/>
    </row>
    <row r="93" spans="3:28" ht="15.75">
      <c r="C93" s="51" t="s">
        <v>567</v>
      </c>
      <c r="D93" s="141" t="s">
        <v>383</v>
      </c>
      <c r="E93" s="141" t="s">
        <v>384</v>
      </c>
      <c r="F93" s="91" t="s">
        <v>172</v>
      </c>
      <c r="I93" s="91" t="s">
        <v>386</v>
      </c>
      <c r="J93" s="91" t="s">
        <v>385</v>
      </c>
      <c r="K93" s="91" t="s">
        <v>219</v>
      </c>
      <c r="L93" s="91" t="s">
        <v>11</v>
      </c>
      <c r="M93" s="91" t="s">
        <v>218</v>
      </c>
      <c r="N93" s="91" t="s">
        <v>171</v>
      </c>
      <c r="O93" s="91" t="s">
        <v>187</v>
      </c>
      <c r="P93" s="54"/>
      <c r="Q93" s="58"/>
      <c r="R93" s="54"/>
      <c r="S93" s="58"/>
      <c r="T93" s="58"/>
      <c r="U93" s="58"/>
      <c r="V93" s="58"/>
      <c r="W93" s="54"/>
      <c r="AA93" s="58"/>
      <c r="AB93" s="54"/>
    </row>
    <row r="94" spans="3:28" ht="15.75">
      <c r="C94" s="257" t="s">
        <v>227</v>
      </c>
      <c r="D94" s="58">
        <f>SUMIFS(D$55:D$80,$A$55:$A$80,$C94)</f>
        <v>121.58713299999999</v>
      </c>
      <c r="E94" s="58">
        <f t="shared" ref="D94:F99" si="24">SUMIFS(E$55:E$80,$A$55:$A$80,$C94)</f>
        <v>0</v>
      </c>
      <c r="F94" s="58">
        <f t="shared" si="24"/>
        <v>37.027999999999999</v>
      </c>
      <c r="G94" s="54">
        <f t="shared" ref="G94:G103" si="25">SUM(D94:F94)</f>
        <v>158.61513299999999</v>
      </c>
      <c r="I94" s="58">
        <f t="shared" ref="I94:O99" si="26">SUMIFS(I$55:I$80,$A$55:$A$80,$C94)</f>
        <v>0</v>
      </c>
      <c r="J94" s="58">
        <f t="shared" si="26"/>
        <v>0</v>
      </c>
      <c r="K94" s="58">
        <f t="shared" si="26"/>
        <v>0</v>
      </c>
      <c r="L94" s="58">
        <f t="shared" si="26"/>
        <v>0</v>
      </c>
      <c r="M94" s="58">
        <f t="shared" si="26"/>
        <v>0</v>
      </c>
      <c r="N94" s="58">
        <f t="shared" si="26"/>
        <v>0</v>
      </c>
      <c r="O94" s="58">
        <f t="shared" si="26"/>
        <v>0</v>
      </c>
      <c r="P94" s="54">
        <f t="shared" si="14"/>
        <v>158.61513299999999</v>
      </c>
      <c r="Q94" s="73"/>
      <c r="R94" s="54">
        <f t="shared" si="15"/>
        <v>0</v>
      </c>
      <c r="S94" s="73"/>
      <c r="T94" s="73"/>
      <c r="U94" s="73"/>
      <c r="V94" s="73"/>
      <c r="W94" s="73"/>
      <c r="X94" s="73"/>
      <c r="Y94" s="73"/>
      <c r="Z94" s="54"/>
      <c r="AA94" s="58"/>
      <c r="AB94" s="54"/>
    </row>
    <row r="95" spans="3:28" ht="15.75">
      <c r="C95" s="257" t="s">
        <v>274</v>
      </c>
      <c r="D95" s="58">
        <f t="shared" si="24"/>
        <v>411.05060300000002</v>
      </c>
      <c r="E95" s="58">
        <f t="shared" si="24"/>
        <v>593.18300000000011</v>
      </c>
      <c r="F95" s="58">
        <f t="shared" si="24"/>
        <v>530.60300000000007</v>
      </c>
      <c r="G95" s="54">
        <f t="shared" si="25"/>
        <v>1534.8366030000002</v>
      </c>
      <c r="I95" s="58">
        <f t="shared" si="26"/>
        <v>63.782443000000001</v>
      </c>
      <c r="J95" s="58">
        <f t="shared" si="26"/>
        <v>0</v>
      </c>
      <c r="K95" s="58">
        <f t="shared" si="26"/>
        <v>0</v>
      </c>
      <c r="L95" s="58">
        <f t="shared" si="26"/>
        <v>0.38100000000000001</v>
      </c>
      <c r="M95" s="58">
        <f t="shared" si="26"/>
        <v>0</v>
      </c>
      <c r="N95" s="58">
        <f t="shared" si="26"/>
        <v>0</v>
      </c>
      <c r="O95" s="58">
        <f t="shared" si="26"/>
        <v>0</v>
      </c>
      <c r="P95" s="54">
        <f t="shared" si="14"/>
        <v>1599.0000460000003</v>
      </c>
      <c r="Q95" s="73"/>
      <c r="R95" s="54">
        <f t="shared" si="15"/>
        <v>0.38100000000000001</v>
      </c>
      <c r="S95" s="73"/>
      <c r="T95" s="73"/>
      <c r="U95" s="73"/>
      <c r="V95" s="73"/>
      <c r="W95" s="73"/>
      <c r="X95" s="73"/>
      <c r="Y95" s="73"/>
      <c r="Z95" s="54"/>
      <c r="AA95" s="58"/>
      <c r="AB95" s="54"/>
    </row>
    <row r="96" spans="3:28" ht="15.75">
      <c r="C96" s="257" t="s">
        <v>48</v>
      </c>
      <c r="D96" s="58">
        <f>SUMIFS(D$55:D$80,$A$55:$A$80,$C96)</f>
        <v>2256.1721499999999</v>
      </c>
      <c r="E96" s="58">
        <f t="shared" si="24"/>
        <v>0.86699999999999999</v>
      </c>
      <c r="F96" s="58">
        <f t="shared" si="24"/>
        <v>4.2269999999999994</v>
      </c>
      <c r="G96" s="54">
        <f t="shared" si="25"/>
        <v>2261.2661499999999</v>
      </c>
      <c r="I96" s="58">
        <f t="shared" si="26"/>
        <v>0</v>
      </c>
      <c r="J96" s="58">
        <f t="shared" si="26"/>
        <v>0</v>
      </c>
      <c r="K96" s="58">
        <f t="shared" si="26"/>
        <v>0</v>
      </c>
      <c r="L96" s="58">
        <f t="shared" si="26"/>
        <v>0</v>
      </c>
      <c r="M96" s="58">
        <f t="shared" si="26"/>
        <v>0</v>
      </c>
      <c r="N96" s="58">
        <f t="shared" si="26"/>
        <v>0</v>
      </c>
      <c r="O96" s="58">
        <f t="shared" si="26"/>
        <v>0</v>
      </c>
      <c r="P96" s="54">
        <f t="shared" si="14"/>
        <v>2261.2661499999999</v>
      </c>
      <c r="Q96" s="73"/>
      <c r="R96" s="54">
        <f t="shared" si="15"/>
        <v>0</v>
      </c>
      <c r="S96" s="73"/>
      <c r="T96" s="73"/>
      <c r="U96" s="73"/>
      <c r="V96" s="73"/>
      <c r="W96" s="73"/>
      <c r="X96" s="73"/>
      <c r="Y96" s="73"/>
      <c r="Z96" s="54"/>
      <c r="AA96" s="58"/>
      <c r="AB96" s="54"/>
    </row>
    <row r="97" spans="3:28" ht="15.75">
      <c r="C97" s="257" t="s">
        <v>298</v>
      </c>
      <c r="D97" s="58">
        <f t="shared" si="24"/>
        <v>69.427137000000002</v>
      </c>
      <c r="E97" s="58">
        <f t="shared" si="24"/>
        <v>11.097</v>
      </c>
      <c r="F97" s="58">
        <f t="shared" si="24"/>
        <v>50.081000000000003</v>
      </c>
      <c r="G97" s="54">
        <f t="shared" si="25"/>
        <v>130.60513700000001</v>
      </c>
      <c r="I97" s="58">
        <f t="shared" si="26"/>
        <v>0</v>
      </c>
      <c r="J97" s="58">
        <f t="shared" si="26"/>
        <v>0</v>
      </c>
      <c r="K97" s="58">
        <f t="shared" si="26"/>
        <v>0</v>
      </c>
      <c r="L97" s="58">
        <f t="shared" si="26"/>
        <v>2.819</v>
      </c>
      <c r="M97" s="58">
        <f t="shared" si="26"/>
        <v>0</v>
      </c>
      <c r="N97" s="58">
        <f t="shared" si="26"/>
        <v>0</v>
      </c>
      <c r="O97" s="58">
        <f t="shared" si="26"/>
        <v>0</v>
      </c>
      <c r="P97" s="54">
        <f t="shared" si="14"/>
        <v>133.424137</v>
      </c>
      <c r="Q97" s="73"/>
      <c r="R97" s="54">
        <f t="shared" si="15"/>
        <v>2.819</v>
      </c>
      <c r="S97" s="73"/>
      <c r="T97" s="73"/>
      <c r="U97" s="73"/>
      <c r="V97" s="73"/>
      <c r="W97" s="73"/>
      <c r="X97" s="73"/>
      <c r="Y97" s="73"/>
      <c r="Z97" s="54"/>
      <c r="AA97" s="58"/>
      <c r="AB97" s="54"/>
    </row>
    <row r="98" spans="3:28" ht="15.75">
      <c r="C98" s="257" t="s">
        <v>297</v>
      </c>
      <c r="D98" s="58">
        <f t="shared" si="24"/>
        <v>0</v>
      </c>
      <c r="E98" s="58">
        <f t="shared" si="24"/>
        <v>0</v>
      </c>
      <c r="F98" s="58">
        <f t="shared" si="24"/>
        <v>33.427</v>
      </c>
      <c r="G98" s="54">
        <f t="shared" si="25"/>
        <v>33.427</v>
      </c>
      <c r="I98" s="58">
        <f t="shared" si="26"/>
        <v>0</v>
      </c>
      <c r="J98" s="58">
        <f t="shared" si="26"/>
        <v>0</v>
      </c>
      <c r="K98" s="58">
        <f t="shared" si="26"/>
        <v>0</v>
      </c>
      <c r="L98" s="58">
        <f t="shared" si="26"/>
        <v>0</v>
      </c>
      <c r="M98" s="58">
        <f t="shared" si="26"/>
        <v>0</v>
      </c>
      <c r="N98" s="58">
        <f t="shared" si="26"/>
        <v>0</v>
      </c>
      <c r="O98" s="58">
        <f t="shared" si="26"/>
        <v>0</v>
      </c>
      <c r="P98" s="54">
        <f t="shared" si="14"/>
        <v>33.427</v>
      </c>
      <c r="Q98" s="73"/>
      <c r="R98" s="54">
        <f t="shared" si="15"/>
        <v>0</v>
      </c>
      <c r="S98" s="73"/>
      <c r="T98" s="73"/>
      <c r="U98" s="73"/>
      <c r="V98" s="73"/>
      <c r="W98" s="73"/>
      <c r="X98" s="73"/>
      <c r="Y98" s="73"/>
      <c r="Z98" s="54"/>
      <c r="AA98" s="58"/>
      <c r="AB98" s="54"/>
    </row>
    <row r="99" spans="3:28" ht="15.75">
      <c r="C99" s="257" t="s">
        <v>281</v>
      </c>
      <c r="D99" s="58">
        <f t="shared" si="24"/>
        <v>258.308876</v>
      </c>
      <c r="E99" s="58">
        <f t="shared" si="24"/>
        <v>33.802999999999997</v>
      </c>
      <c r="F99" s="58">
        <f t="shared" si="24"/>
        <v>191.13900000000001</v>
      </c>
      <c r="G99" s="54">
        <f t="shared" si="25"/>
        <v>483.25087600000001</v>
      </c>
      <c r="I99" s="58">
        <f t="shared" si="26"/>
        <v>255.42239699999999</v>
      </c>
      <c r="J99" s="58">
        <f t="shared" si="26"/>
        <v>0</v>
      </c>
      <c r="K99" s="58">
        <f t="shared" si="26"/>
        <v>0</v>
      </c>
      <c r="L99" s="58">
        <f t="shared" si="26"/>
        <v>4.0359999999999996</v>
      </c>
      <c r="M99" s="58">
        <f t="shared" si="26"/>
        <v>0</v>
      </c>
      <c r="N99" s="58">
        <f t="shared" si="26"/>
        <v>0</v>
      </c>
      <c r="O99" s="58">
        <f t="shared" si="26"/>
        <v>0</v>
      </c>
      <c r="P99" s="54">
        <f t="shared" si="14"/>
        <v>742.70927299999994</v>
      </c>
      <c r="Q99" s="73"/>
      <c r="R99" s="54">
        <f t="shared" si="15"/>
        <v>4.0359999999999996</v>
      </c>
      <c r="S99" s="73"/>
      <c r="T99" s="73"/>
      <c r="U99" s="73"/>
      <c r="V99" s="73"/>
      <c r="W99" s="73"/>
      <c r="X99" s="73"/>
      <c r="Y99" s="73"/>
      <c r="Z99" s="54"/>
      <c r="AA99" s="58"/>
      <c r="AB99" s="54"/>
    </row>
    <row r="100" spans="3:28">
      <c r="C100" s="51" t="s">
        <v>372</v>
      </c>
      <c r="D100" s="54">
        <f>SUM(D94:D99)</f>
        <v>3116.5458990000002</v>
      </c>
      <c r="E100" s="54">
        <f>SUM(E94:E99)</f>
        <v>638.95000000000005</v>
      </c>
      <c r="F100" s="54">
        <f>SUM(F94:F99)</f>
        <v>846.50500000000011</v>
      </c>
      <c r="G100" s="54">
        <f t="shared" si="25"/>
        <v>4602.0008990000006</v>
      </c>
      <c r="I100" s="54">
        <f t="shared" ref="I100:O100" si="27">SUM(I94:I99)</f>
        <v>319.20483999999999</v>
      </c>
      <c r="J100" s="54">
        <f t="shared" si="27"/>
        <v>0</v>
      </c>
      <c r="K100" s="54">
        <f t="shared" si="27"/>
        <v>0</v>
      </c>
      <c r="L100" s="54">
        <f t="shared" si="27"/>
        <v>7.2359999999999998</v>
      </c>
      <c r="M100" s="54">
        <f t="shared" si="27"/>
        <v>0</v>
      </c>
      <c r="N100" s="54">
        <f t="shared" si="27"/>
        <v>0</v>
      </c>
      <c r="O100" s="54">
        <f t="shared" si="27"/>
        <v>0</v>
      </c>
      <c r="P100" s="54">
        <f t="shared" si="14"/>
        <v>4928.4417390000008</v>
      </c>
      <c r="Q100" s="54"/>
      <c r="R100" s="54">
        <f t="shared" si="15"/>
        <v>7.2359999999999998</v>
      </c>
      <c r="S100" s="54"/>
      <c r="T100" s="54"/>
      <c r="U100" s="54"/>
      <c r="V100" s="54"/>
      <c r="W100" s="54"/>
      <c r="X100" s="54"/>
      <c r="Y100" s="54"/>
      <c r="Z100" s="54"/>
      <c r="AA100" s="58"/>
      <c r="AB100" s="54"/>
    </row>
    <row r="101" spans="3:28">
      <c r="D101" s="58"/>
      <c r="E101" s="58"/>
      <c r="F101" s="58"/>
      <c r="G101" s="54"/>
      <c r="I101" s="58"/>
      <c r="J101" s="58"/>
      <c r="K101" s="58"/>
      <c r="L101" s="58"/>
      <c r="M101" s="54"/>
      <c r="P101" s="54"/>
      <c r="R101" s="54"/>
      <c r="U101" s="58"/>
      <c r="V101" s="58"/>
      <c r="W101" s="58"/>
      <c r="X101" s="58"/>
      <c r="Y101" s="58"/>
      <c r="Z101" s="58"/>
      <c r="AA101" s="58"/>
      <c r="AB101" s="54"/>
    </row>
    <row r="102" spans="3:28">
      <c r="C102" s="258" t="s">
        <v>565</v>
      </c>
      <c r="D102" s="58">
        <f>D88</f>
        <v>3.526732</v>
      </c>
      <c r="E102" s="58">
        <f>E88</f>
        <v>858.4313663876394</v>
      </c>
      <c r="F102" s="58">
        <f>F88</f>
        <v>0</v>
      </c>
      <c r="G102" s="54">
        <f t="shared" si="25"/>
        <v>861.95809838763944</v>
      </c>
      <c r="I102" s="58">
        <f t="shared" ref="I102:O102" si="28">I88</f>
        <v>0</v>
      </c>
      <c r="J102" s="58">
        <f t="shared" si="28"/>
        <v>0</v>
      </c>
      <c r="K102" s="58">
        <f t="shared" si="28"/>
        <v>0</v>
      </c>
      <c r="L102" s="58">
        <f t="shared" si="28"/>
        <v>0</v>
      </c>
      <c r="M102" s="58">
        <f t="shared" si="28"/>
        <v>0</v>
      </c>
      <c r="N102" s="58">
        <f t="shared" si="28"/>
        <v>0</v>
      </c>
      <c r="O102" s="58">
        <f t="shared" si="28"/>
        <v>0</v>
      </c>
      <c r="P102" s="54">
        <f t="shared" ref="P102:P105" si="29">SUM(G102,I102:O102)</f>
        <v>861.95809838763944</v>
      </c>
      <c r="R102" s="54">
        <f t="shared" si="15"/>
        <v>0</v>
      </c>
      <c r="U102" s="58"/>
      <c r="V102" s="58"/>
      <c r="W102" s="58"/>
      <c r="X102" s="58"/>
      <c r="Y102" s="58"/>
      <c r="Z102" s="58"/>
      <c r="AA102" s="58"/>
      <c r="AB102" s="54"/>
    </row>
    <row r="103" spans="3:28">
      <c r="C103" s="258" t="s">
        <v>564</v>
      </c>
      <c r="D103" s="58">
        <f>D90</f>
        <v>828.16700000000003</v>
      </c>
      <c r="E103" s="58">
        <f t="shared" ref="E103" si="30">E90</f>
        <v>1303.69</v>
      </c>
      <c r="F103" s="58">
        <v>0</v>
      </c>
      <c r="G103" s="54">
        <f t="shared" si="25"/>
        <v>2131.857</v>
      </c>
      <c r="I103" s="58">
        <f>I90</f>
        <v>60.542000000000002</v>
      </c>
      <c r="J103" s="58">
        <f t="shared" ref="J103:O103" si="31">J90</f>
        <v>0</v>
      </c>
      <c r="K103" s="58">
        <f t="shared" si="31"/>
        <v>15.064</v>
      </c>
      <c r="L103" s="58">
        <f t="shared" si="31"/>
        <v>0.36</v>
      </c>
      <c r="M103" s="58">
        <f t="shared" si="31"/>
        <v>100.87700000000001</v>
      </c>
      <c r="N103" s="58">
        <f t="shared" si="31"/>
        <v>131.316</v>
      </c>
      <c r="O103" s="58">
        <f t="shared" si="31"/>
        <v>122.598</v>
      </c>
      <c r="P103" s="54">
        <f>SUM(G103,I103:O103)</f>
        <v>2562.6139999999996</v>
      </c>
      <c r="R103" s="339">
        <f>SUM(K103:O103)</f>
        <v>370.21500000000003</v>
      </c>
      <c r="U103" s="58"/>
      <c r="V103" s="58"/>
      <c r="W103" s="58"/>
      <c r="X103" s="58"/>
      <c r="Y103" s="58"/>
      <c r="Z103" s="58"/>
      <c r="AA103" s="58"/>
      <c r="AB103" s="54"/>
    </row>
    <row r="104" spans="3:28">
      <c r="C104" s="51"/>
      <c r="D104" s="58"/>
      <c r="E104" s="58"/>
      <c r="F104" s="58"/>
      <c r="G104" s="54"/>
      <c r="I104" s="58"/>
      <c r="J104" s="58"/>
      <c r="K104" s="58"/>
      <c r="L104" s="58"/>
      <c r="M104" s="54"/>
      <c r="P104" s="54"/>
      <c r="R104" s="54"/>
      <c r="U104" s="58"/>
      <c r="V104" s="58"/>
      <c r="W104" s="58"/>
      <c r="X104" s="58"/>
      <c r="Y104" s="58"/>
      <c r="Z104" s="58"/>
      <c r="AA104" s="58"/>
      <c r="AB104" s="54"/>
    </row>
    <row r="105" spans="3:28">
      <c r="C105" s="51" t="s">
        <v>546</v>
      </c>
      <c r="D105" s="140">
        <f>D100+D102+D103</f>
        <v>3948.2396309999999</v>
      </c>
      <c r="E105" s="140">
        <f t="shared" ref="E105:F105" si="32">E100+E102+E103</f>
        <v>2801.0713663876395</v>
      </c>
      <c r="F105" s="140">
        <f t="shared" si="32"/>
        <v>846.50500000000011</v>
      </c>
      <c r="G105" s="54">
        <f>SUM(D105:F105)</f>
        <v>7595.81599738764</v>
      </c>
      <c r="I105" s="140">
        <f t="shared" ref="I105:O105" si="33">I100+I102+I103</f>
        <v>379.74684000000002</v>
      </c>
      <c r="J105" s="140">
        <f t="shared" si="33"/>
        <v>0</v>
      </c>
      <c r="K105" s="140">
        <f t="shared" si="33"/>
        <v>15.064</v>
      </c>
      <c r="L105" s="140">
        <f t="shared" si="33"/>
        <v>7.5960000000000001</v>
      </c>
      <c r="M105" s="140">
        <f t="shared" si="33"/>
        <v>100.87700000000001</v>
      </c>
      <c r="N105" s="140">
        <f t="shared" si="33"/>
        <v>131.316</v>
      </c>
      <c r="O105" s="140">
        <f t="shared" si="33"/>
        <v>122.598</v>
      </c>
      <c r="P105" s="54">
        <f t="shared" si="29"/>
        <v>8353.0138373876398</v>
      </c>
      <c r="Q105" s="78"/>
      <c r="R105" s="54">
        <f>SUM(K105:O105)</f>
        <v>377.45100000000002</v>
      </c>
      <c r="S105" s="78"/>
      <c r="T105" s="78"/>
      <c r="U105" s="78"/>
      <c r="V105" s="78"/>
      <c r="W105" s="58"/>
      <c r="X105" s="58"/>
      <c r="Y105" s="58"/>
      <c r="Z105" s="58"/>
      <c r="AA105" s="58"/>
      <c r="AB105" s="54"/>
    </row>
    <row r="106" spans="3:28">
      <c r="C106" s="83"/>
      <c r="D106" s="78"/>
      <c r="E106" s="78"/>
      <c r="F106" s="78"/>
      <c r="G106" s="78"/>
      <c r="H106" s="78"/>
      <c r="I106" s="78"/>
      <c r="J106" s="78"/>
      <c r="K106" s="78"/>
      <c r="L106" s="78"/>
      <c r="M106" s="78"/>
      <c r="N106" s="78"/>
      <c r="O106" s="78"/>
      <c r="P106" s="78"/>
      <c r="Q106" s="78"/>
      <c r="R106" s="78"/>
      <c r="S106" s="78"/>
      <c r="T106" s="78"/>
      <c r="U106" s="78"/>
      <c r="V106" s="78"/>
      <c r="W106" s="52"/>
      <c r="X106" s="58"/>
      <c r="Y106" s="58"/>
      <c r="Z106" s="58"/>
      <c r="AA106" s="58"/>
      <c r="AB106" s="54"/>
    </row>
    <row r="107" spans="3:28">
      <c r="D107" s="78"/>
      <c r="E107" s="78"/>
      <c r="F107" s="78"/>
      <c r="G107" s="78"/>
      <c r="H107" s="78"/>
      <c r="I107" s="78"/>
      <c r="J107" s="78"/>
      <c r="K107" s="78"/>
      <c r="L107" s="78"/>
      <c r="M107" s="78"/>
      <c r="N107" s="78"/>
      <c r="O107" s="78"/>
      <c r="P107" s="78"/>
      <c r="Q107" s="78"/>
      <c r="R107" s="78"/>
      <c r="S107" s="78"/>
      <c r="T107" s="78"/>
      <c r="U107" s="78"/>
      <c r="V107" s="78"/>
      <c r="W107" s="52"/>
      <c r="X107" s="54"/>
      <c r="Y107" s="54"/>
      <c r="Z107" s="54"/>
      <c r="AA107" s="54"/>
      <c r="AB107" s="54"/>
    </row>
    <row r="108" spans="3:28" ht="15.75">
      <c r="C108" s="257"/>
      <c r="D108" s="78"/>
      <c r="E108" s="313"/>
      <c r="F108" s="78"/>
      <c r="G108" s="78"/>
      <c r="H108" s="78"/>
      <c r="I108" s="78"/>
      <c r="J108" s="78"/>
      <c r="K108" s="78"/>
      <c r="L108" s="78"/>
      <c r="M108" s="78"/>
      <c r="N108" s="78"/>
      <c r="O108" s="78"/>
      <c r="P108" s="78"/>
      <c r="Q108" s="78"/>
      <c r="R108" s="78"/>
      <c r="S108" s="78"/>
      <c r="T108" s="78"/>
      <c r="U108" s="78"/>
      <c r="V108" s="78"/>
      <c r="W108" s="52"/>
      <c r="X108" s="58"/>
      <c r="Y108" s="58"/>
      <c r="Z108" s="58"/>
      <c r="AA108" s="58"/>
      <c r="AB108" s="54"/>
    </row>
    <row r="109" spans="3:28" ht="15.75">
      <c r="C109" s="257"/>
      <c r="D109" s="78"/>
      <c r="E109" s="78"/>
      <c r="F109" s="78"/>
      <c r="G109" s="78"/>
      <c r="H109" s="78"/>
      <c r="I109" s="78"/>
      <c r="J109" s="78"/>
      <c r="K109" s="78"/>
      <c r="L109" s="78"/>
      <c r="M109" s="78"/>
      <c r="N109" s="78"/>
      <c r="O109" s="78"/>
      <c r="P109" s="78"/>
      <c r="Q109" s="78"/>
      <c r="R109" s="78"/>
      <c r="S109" s="78"/>
      <c r="T109" s="78"/>
      <c r="U109" s="78"/>
      <c r="V109" s="78"/>
      <c r="W109" s="52"/>
      <c r="X109" s="58"/>
      <c r="Y109" s="58"/>
      <c r="Z109" s="58"/>
      <c r="AA109" s="58"/>
      <c r="AB109" s="54"/>
    </row>
    <row r="110" spans="3:28" ht="15.75">
      <c r="C110" s="257"/>
      <c r="D110" s="78"/>
      <c r="E110" s="78"/>
      <c r="F110" s="78"/>
      <c r="G110" s="78"/>
      <c r="H110" s="78"/>
      <c r="I110" s="78"/>
      <c r="J110" s="78"/>
      <c r="K110" s="78"/>
      <c r="L110" s="78"/>
      <c r="M110" s="78"/>
      <c r="N110" s="78"/>
      <c r="O110" s="78"/>
      <c r="P110" s="78"/>
      <c r="Q110" s="78"/>
      <c r="R110" s="78"/>
      <c r="S110" s="78"/>
      <c r="T110" s="78"/>
      <c r="U110" s="78"/>
      <c r="V110" s="78"/>
      <c r="W110" s="52"/>
      <c r="X110" s="58"/>
      <c r="Y110" s="58"/>
      <c r="Z110" s="58"/>
      <c r="AA110" s="58"/>
      <c r="AB110" s="54"/>
    </row>
    <row r="111" spans="3:28" ht="15.75">
      <c r="C111" s="257"/>
      <c r="D111" s="78"/>
      <c r="E111" s="78"/>
      <c r="F111" s="78"/>
      <c r="G111" s="78"/>
      <c r="H111" s="78"/>
      <c r="I111" s="78"/>
      <c r="J111" s="78"/>
      <c r="K111" s="78"/>
      <c r="L111" s="78"/>
      <c r="M111" s="78"/>
      <c r="N111" s="78"/>
      <c r="O111" s="78"/>
      <c r="P111" s="78"/>
      <c r="Q111" s="78"/>
      <c r="R111" s="78"/>
      <c r="S111" s="78"/>
      <c r="T111" s="78"/>
      <c r="U111" s="78"/>
      <c r="V111" s="78"/>
      <c r="W111" s="52"/>
      <c r="X111" s="54"/>
      <c r="Y111" s="54"/>
      <c r="Z111" s="54"/>
      <c r="AA111" s="54"/>
      <c r="AB111" s="54"/>
    </row>
    <row r="112" spans="3:28">
      <c r="D112" s="78"/>
      <c r="E112" s="78"/>
      <c r="F112" s="78"/>
      <c r="G112" s="78"/>
      <c r="H112" s="78"/>
      <c r="I112" s="78"/>
      <c r="J112" s="78"/>
      <c r="K112" s="78"/>
      <c r="L112" s="78"/>
      <c r="M112" s="78"/>
      <c r="N112" s="78"/>
      <c r="O112" s="78"/>
      <c r="P112" s="78"/>
      <c r="Q112" s="78"/>
      <c r="R112" s="78"/>
      <c r="S112" s="78"/>
      <c r="T112" s="78"/>
      <c r="U112" s="78"/>
      <c r="V112" s="78"/>
      <c r="W112" s="52"/>
      <c r="X112" s="58"/>
      <c r="Y112" s="58"/>
      <c r="Z112" s="58"/>
      <c r="AA112" s="58"/>
      <c r="AB112" s="58"/>
    </row>
    <row r="113" spans="4:28">
      <c r="D113" s="78"/>
      <c r="E113" s="78"/>
      <c r="F113" s="78"/>
      <c r="G113" s="78"/>
      <c r="H113" s="78"/>
      <c r="I113" s="78"/>
      <c r="J113" s="78"/>
      <c r="K113" s="78"/>
      <c r="L113" s="78"/>
      <c r="M113" s="78"/>
      <c r="N113" s="78"/>
      <c r="O113" s="78"/>
      <c r="P113" s="78"/>
      <c r="Q113" s="78"/>
      <c r="R113" s="78"/>
      <c r="S113" s="78"/>
      <c r="T113" s="78"/>
      <c r="U113" s="78"/>
      <c r="V113" s="78"/>
      <c r="W113" s="52"/>
      <c r="X113" s="54"/>
      <c r="Y113" s="54"/>
      <c r="Z113" s="54"/>
      <c r="AA113" s="54"/>
      <c r="AB113" s="54"/>
    </row>
    <row r="114" spans="4:28">
      <c r="D114" s="78"/>
      <c r="E114" s="78"/>
      <c r="F114" s="78"/>
      <c r="G114" s="78"/>
      <c r="H114" s="78"/>
      <c r="I114" s="78"/>
      <c r="J114" s="78"/>
      <c r="K114" s="78"/>
      <c r="L114" s="78"/>
      <c r="M114" s="78"/>
      <c r="N114" s="78"/>
      <c r="O114" s="78"/>
      <c r="P114" s="78"/>
      <c r="Q114" s="78"/>
      <c r="R114" s="78"/>
      <c r="S114" s="78"/>
      <c r="T114" s="78"/>
      <c r="U114" s="78"/>
      <c r="V114" s="78"/>
      <c r="W114" s="52"/>
    </row>
    <row r="115" spans="4:28">
      <c r="D115" s="78"/>
      <c r="E115" s="78"/>
      <c r="F115" s="78"/>
      <c r="G115" s="78"/>
      <c r="H115" s="78"/>
      <c r="I115" s="78"/>
      <c r="J115" s="78"/>
      <c r="K115" s="78"/>
      <c r="L115" s="78"/>
      <c r="M115" s="78"/>
      <c r="N115" s="78"/>
      <c r="O115" s="78"/>
      <c r="P115" s="78"/>
      <c r="Q115" s="78"/>
      <c r="R115" s="78"/>
      <c r="S115" s="78"/>
      <c r="T115" s="78"/>
      <c r="U115" s="78"/>
      <c r="V115" s="78"/>
      <c r="W115" s="52"/>
    </row>
    <row r="116" spans="4:28">
      <c r="D116" s="78"/>
      <c r="E116" s="78"/>
      <c r="F116" s="78"/>
      <c r="G116" s="78"/>
      <c r="H116" s="78"/>
      <c r="I116" s="78"/>
      <c r="J116" s="78"/>
      <c r="K116" s="78"/>
      <c r="L116" s="78"/>
      <c r="M116" s="78"/>
      <c r="N116" s="78"/>
      <c r="O116" s="78"/>
      <c r="P116" s="78"/>
      <c r="Q116" s="78"/>
      <c r="R116" s="78"/>
      <c r="S116" s="78"/>
      <c r="T116" s="78"/>
      <c r="U116" s="78"/>
      <c r="V116" s="78"/>
      <c r="W116" s="52"/>
      <c r="X116" s="55"/>
      <c r="Y116" s="55"/>
      <c r="Z116" s="55"/>
      <c r="AA116" s="55"/>
      <c r="AB116" s="55"/>
    </row>
    <row r="117" spans="4:28">
      <c r="D117" s="78"/>
      <c r="E117" s="78"/>
      <c r="F117" s="78"/>
      <c r="G117" s="78"/>
      <c r="H117" s="78"/>
      <c r="I117" s="78"/>
      <c r="J117" s="78"/>
      <c r="K117" s="78"/>
      <c r="L117" s="78"/>
      <c r="M117" s="78"/>
      <c r="N117" s="78"/>
      <c r="O117" s="78"/>
      <c r="P117" s="78"/>
      <c r="Q117" s="78"/>
      <c r="R117" s="78"/>
      <c r="S117" s="78"/>
      <c r="T117" s="78"/>
      <c r="U117" s="78"/>
      <c r="V117" s="78"/>
      <c r="W117" s="52"/>
      <c r="X117" s="58"/>
      <c r="Y117" s="58"/>
      <c r="Z117" s="58"/>
      <c r="AA117" s="58"/>
      <c r="AB117" s="58"/>
    </row>
    <row r="118" spans="4:28">
      <c r="D118" s="78"/>
      <c r="E118" s="78"/>
      <c r="F118" s="78"/>
      <c r="G118" s="78"/>
      <c r="H118" s="78"/>
      <c r="I118" s="78"/>
      <c r="J118" s="78"/>
      <c r="K118" s="78"/>
      <c r="L118" s="78"/>
      <c r="M118" s="78"/>
      <c r="N118" s="78"/>
      <c r="O118" s="78"/>
      <c r="P118" s="78"/>
      <c r="Q118" s="78"/>
      <c r="R118" s="78"/>
      <c r="S118" s="78"/>
      <c r="T118" s="78"/>
      <c r="U118" s="78"/>
      <c r="V118" s="78"/>
      <c r="W118" s="52"/>
      <c r="X118" s="58"/>
      <c r="Y118" s="58"/>
      <c r="Z118" s="58"/>
      <c r="AA118" s="58"/>
      <c r="AB118" s="58"/>
    </row>
    <row r="119" spans="4:28">
      <c r="D119" s="78"/>
      <c r="E119" s="78"/>
      <c r="F119" s="78"/>
      <c r="G119" s="78"/>
      <c r="H119" s="78"/>
      <c r="I119" s="78"/>
      <c r="J119" s="78"/>
      <c r="K119" s="78"/>
      <c r="L119" s="78"/>
      <c r="M119" s="78"/>
      <c r="N119" s="78"/>
      <c r="O119" s="78"/>
      <c r="P119" s="78"/>
      <c r="Q119" s="78"/>
      <c r="R119" s="78"/>
      <c r="S119" s="78"/>
      <c r="T119" s="78"/>
      <c r="U119" s="78"/>
      <c r="V119" s="78"/>
      <c r="W119" s="52"/>
      <c r="X119" s="58"/>
      <c r="Y119" s="58"/>
      <c r="Z119" s="58"/>
      <c r="AA119" s="58"/>
      <c r="AB119" s="58"/>
    </row>
    <row r="120" spans="4:28">
      <c r="D120" s="78"/>
      <c r="E120" s="78"/>
      <c r="F120" s="78"/>
      <c r="G120" s="78"/>
      <c r="H120" s="78"/>
      <c r="I120" s="78"/>
      <c r="J120" s="78"/>
      <c r="K120" s="78"/>
      <c r="L120" s="78"/>
      <c r="M120" s="78"/>
      <c r="N120" s="78"/>
      <c r="O120" s="78"/>
      <c r="P120" s="78"/>
      <c r="Q120" s="78"/>
      <c r="R120" s="78"/>
      <c r="S120" s="78"/>
      <c r="T120" s="78"/>
      <c r="U120" s="78"/>
      <c r="V120" s="78"/>
      <c r="W120" s="52"/>
      <c r="X120" s="58"/>
      <c r="Y120" s="58"/>
      <c r="Z120" s="58"/>
      <c r="AA120" s="58"/>
      <c r="AB120" s="58"/>
    </row>
    <row r="121" spans="4:28">
      <c r="D121" s="78"/>
      <c r="E121" s="78"/>
      <c r="F121" s="78"/>
      <c r="G121" s="78"/>
      <c r="H121" s="78"/>
      <c r="I121" s="78"/>
      <c r="J121" s="78"/>
      <c r="K121" s="78"/>
      <c r="L121" s="78"/>
      <c r="M121" s="78"/>
      <c r="N121" s="78"/>
      <c r="O121" s="78"/>
      <c r="P121" s="78"/>
      <c r="Q121" s="78"/>
      <c r="R121" s="78"/>
      <c r="S121" s="78"/>
      <c r="T121" s="78"/>
      <c r="U121" s="78"/>
      <c r="V121" s="78"/>
      <c r="W121" s="52"/>
      <c r="X121" s="58"/>
      <c r="Y121" s="58"/>
      <c r="Z121" s="58"/>
      <c r="AA121" s="58"/>
      <c r="AB121" s="58"/>
    </row>
    <row r="122" spans="4:28">
      <c r="D122" s="78"/>
      <c r="E122" s="78"/>
      <c r="F122" s="78"/>
      <c r="G122" s="78"/>
      <c r="H122" s="78"/>
      <c r="I122" s="78"/>
      <c r="J122" s="78"/>
      <c r="K122" s="78"/>
      <c r="L122" s="78"/>
      <c r="M122" s="78"/>
      <c r="N122" s="78"/>
      <c r="O122" s="78"/>
      <c r="P122" s="78"/>
      <c r="Q122" s="78"/>
      <c r="R122" s="78"/>
      <c r="S122" s="78"/>
      <c r="T122" s="78"/>
      <c r="U122" s="78"/>
      <c r="V122" s="78"/>
      <c r="W122" s="52"/>
      <c r="X122" s="58"/>
      <c r="Y122" s="58"/>
      <c r="Z122" s="58"/>
      <c r="AA122" s="58"/>
      <c r="AB122" s="58"/>
    </row>
    <row r="123" spans="4:28">
      <c r="D123" s="78"/>
      <c r="E123" s="78"/>
      <c r="F123" s="78"/>
      <c r="G123" s="78"/>
      <c r="H123" s="78"/>
      <c r="I123" s="78"/>
      <c r="J123" s="78"/>
      <c r="K123" s="78"/>
      <c r="L123" s="78"/>
      <c r="M123" s="78"/>
      <c r="N123" s="78"/>
      <c r="O123" s="78"/>
      <c r="P123" s="78"/>
      <c r="Q123" s="78"/>
      <c r="R123" s="78"/>
      <c r="S123" s="78"/>
      <c r="T123" s="78"/>
      <c r="U123" s="78"/>
      <c r="V123" s="78"/>
      <c r="W123" s="52"/>
      <c r="X123" s="54"/>
      <c r="Y123" s="54"/>
      <c r="Z123" s="54"/>
      <c r="AA123" s="54"/>
      <c r="AB123" s="54"/>
    </row>
    <row r="124" spans="4:28">
      <c r="D124" s="78"/>
      <c r="E124" s="78"/>
      <c r="F124" s="78"/>
      <c r="G124" s="78"/>
      <c r="H124" s="78"/>
      <c r="I124" s="78"/>
      <c r="J124" s="78"/>
      <c r="K124" s="78"/>
      <c r="L124" s="78"/>
      <c r="M124" s="78"/>
      <c r="N124" s="78"/>
      <c r="O124" s="78"/>
      <c r="P124" s="78"/>
      <c r="Q124" s="78"/>
      <c r="R124" s="78"/>
      <c r="S124" s="78"/>
      <c r="T124" s="78"/>
      <c r="U124" s="78"/>
      <c r="V124" s="78"/>
      <c r="W124" s="52"/>
      <c r="X124" s="58"/>
      <c r="Y124" s="58"/>
      <c r="Z124" s="58"/>
      <c r="AA124" s="58"/>
      <c r="AB124" s="58"/>
    </row>
    <row r="125" spans="4:28">
      <c r="D125" s="78"/>
      <c r="E125" s="78"/>
      <c r="F125" s="78"/>
      <c r="G125" s="78"/>
      <c r="H125" s="78"/>
      <c r="I125" s="78"/>
      <c r="J125" s="78"/>
      <c r="K125" s="78"/>
      <c r="L125" s="78"/>
      <c r="M125" s="78"/>
      <c r="N125" s="78"/>
      <c r="O125" s="78"/>
      <c r="P125" s="78"/>
      <c r="Q125" s="78"/>
      <c r="R125" s="78"/>
      <c r="S125" s="78"/>
      <c r="T125" s="78"/>
      <c r="U125" s="78"/>
      <c r="V125" s="78"/>
      <c r="W125" s="52"/>
      <c r="X125" s="54"/>
      <c r="Y125" s="54"/>
      <c r="Z125" s="54"/>
      <c r="AA125" s="54"/>
      <c r="AB125" s="54"/>
    </row>
    <row r="126" spans="4:28">
      <c r="D126" s="78"/>
      <c r="E126" s="78"/>
      <c r="F126" s="78"/>
      <c r="G126" s="78"/>
      <c r="H126" s="78"/>
      <c r="I126" s="78"/>
      <c r="J126" s="78"/>
      <c r="K126" s="78"/>
      <c r="L126" s="78"/>
      <c r="M126" s="78"/>
      <c r="N126" s="78"/>
      <c r="O126" s="78"/>
      <c r="P126" s="78"/>
      <c r="Q126" s="78"/>
      <c r="R126" s="78"/>
      <c r="S126" s="78"/>
      <c r="T126" s="78"/>
      <c r="U126" s="78"/>
      <c r="V126" s="78"/>
      <c r="W126" s="52"/>
    </row>
    <row r="127" spans="4:28">
      <c r="D127" s="78"/>
      <c r="E127" s="78"/>
      <c r="F127" s="78"/>
      <c r="G127" s="78"/>
      <c r="H127" s="78"/>
      <c r="I127" s="78"/>
      <c r="J127" s="78"/>
      <c r="K127" s="78"/>
      <c r="L127" s="78"/>
      <c r="M127" s="78"/>
      <c r="N127" s="78"/>
      <c r="O127" s="78"/>
      <c r="P127" s="78"/>
      <c r="Q127" s="78"/>
      <c r="R127" s="78"/>
      <c r="S127" s="78"/>
      <c r="T127" s="78"/>
      <c r="U127" s="78"/>
      <c r="V127" s="78"/>
      <c r="W127" s="52"/>
    </row>
    <row r="128" spans="4:28">
      <c r="D128" s="78"/>
      <c r="E128" s="78"/>
      <c r="F128" s="78"/>
      <c r="G128" s="78"/>
      <c r="H128" s="78"/>
      <c r="I128" s="78"/>
      <c r="J128" s="78"/>
      <c r="K128" s="78"/>
      <c r="L128" s="78"/>
      <c r="M128" s="78"/>
      <c r="N128" s="78"/>
      <c r="O128" s="78"/>
      <c r="P128" s="78"/>
      <c r="Q128" s="78"/>
      <c r="R128" s="78"/>
      <c r="S128" s="78"/>
      <c r="T128" s="78"/>
      <c r="U128" s="78"/>
      <c r="V128" s="78"/>
      <c r="W128" s="52"/>
    </row>
    <row r="129" spans="3:24" ht="15.75">
      <c r="C129" s="70"/>
      <c r="D129" s="78"/>
      <c r="E129" s="78"/>
      <c r="F129" s="78"/>
      <c r="G129" s="78"/>
      <c r="H129" s="78"/>
      <c r="I129" s="78"/>
      <c r="J129" s="78"/>
      <c r="K129" s="78"/>
      <c r="L129" s="78"/>
      <c r="M129" s="78"/>
      <c r="N129" s="78"/>
      <c r="O129" s="78"/>
      <c r="P129" s="78"/>
      <c r="Q129" s="78"/>
      <c r="R129" s="78"/>
      <c r="S129" s="78"/>
      <c r="T129" s="78"/>
      <c r="U129" s="78"/>
      <c r="V129" s="78"/>
      <c r="W129" s="52"/>
      <c r="X129" s="73"/>
    </row>
    <row r="130" spans="3:24" ht="15.75">
      <c r="C130" s="70"/>
      <c r="D130" s="78"/>
      <c r="E130" s="78"/>
      <c r="F130" s="78"/>
      <c r="G130" s="78"/>
      <c r="H130" s="78"/>
      <c r="I130" s="78"/>
      <c r="J130" s="78"/>
      <c r="K130" s="78"/>
      <c r="L130" s="78"/>
      <c r="M130" s="78"/>
      <c r="N130" s="78"/>
      <c r="O130" s="78"/>
      <c r="P130" s="78"/>
      <c r="Q130" s="78"/>
      <c r="R130" s="78"/>
      <c r="S130" s="78"/>
      <c r="T130" s="78"/>
      <c r="U130" s="78"/>
      <c r="V130" s="78"/>
      <c r="W130" s="52"/>
      <c r="X130" s="73"/>
    </row>
    <row r="131" spans="3:24" ht="15.75">
      <c r="C131" s="70"/>
      <c r="D131" s="78"/>
      <c r="E131" s="78"/>
      <c r="F131" s="78"/>
      <c r="G131" s="78"/>
      <c r="H131" s="78"/>
      <c r="I131" s="78"/>
      <c r="J131" s="78"/>
      <c r="K131" s="78"/>
      <c r="L131" s="78"/>
      <c r="M131" s="78"/>
      <c r="N131" s="78"/>
      <c r="O131" s="78"/>
      <c r="P131" s="78"/>
      <c r="Q131" s="78"/>
      <c r="R131" s="78"/>
      <c r="S131" s="78"/>
      <c r="T131" s="78"/>
      <c r="U131" s="78"/>
      <c r="V131" s="78"/>
      <c r="W131" s="52"/>
      <c r="X131" s="73"/>
    </row>
    <row r="132" spans="3:24">
      <c r="D132" s="78"/>
      <c r="E132" s="78"/>
      <c r="F132" s="78"/>
      <c r="G132" s="78"/>
      <c r="H132" s="78"/>
      <c r="I132" s="78"/>
      <c r="J132" s="78"/>
      <c r="K132" s="78"/>
      <c r="L132" s="78"/>
      <c r="M132" s="78"/>
      <c r="N132" s="78"/>
      <c r="O132" s="78"/>
      <c r="P132" s="78"/>
      <c r="Q132" s="78"/>
      <c r="R132" s="78"/>
      <c r="S132" s="78"/>
      <c r="T132" s="78"/>
      <c r="U132" s="78"/>
      <c r="V132" s="78"/>
      <c r="W132" s="52"/>
    </row>
    <row r="133" spans="3:24">
      <c r="D133" s="78"/>
      <c r="E133" s="78"/>
      <c r="F133" s="78"/>
      <c r="G133" s="78"/>
      <c r="H133" s="78"/>
      <c r="I133" s="78"/>
      <c r="J133" s="78"/>
      <c r="K133" s="78"/>
      <c r="L133" s="78"/>
      <c r="M133" s="78"/>
      <c r="N133" s="78"/>
      <c r="O133" s="78"/>
      <c r="P133" s="78"/>
      <c r="Q133" s="78"/>
      <c r="R133" s="78"/>
      <c r="S133" s="78"/>
      <c r="T133" s="78"/>
      <c r="U133" s="78"/>
      <c r="V133" s="78"/>
      <c r="W133" s="52"/>
    </row>
    <row r="134" spans="3:24" ht="15.75">
      <c r="C134" s="70"/>
      <c r="D134" s="78"/>
      <c r="E134" s="78"/>
      <c r="F134" s="78"/>
      <c r="G134" s="78"/>
      <c r="H134" s="78"/>
      <c r="I134" s="78"/>
      <c r="J134" s="78"/>
      <c r="K134" s="72"/>
      <c r="L134" s="78"/>
      <c r="M134" s="78"/>
      <c r="N134" s="78"/>
      <c r="O134" s="78"/>
      <c r="P134" s="78"/>
      <c r="Q134" s="78"/>
      <c r="R134" s="78"/>
      <c r="S134" s="78"/>
      <c r="T134" s="78"/>
      <c r="U134" s="78"/>
      <c r="V134" s="78"/>
      <c r="W134" s="52"/>
    </row>
    <row r="135" spans="3:24" ht="15.75">
      <c r="C135" s="70"/>
      <c r="D135" s="78"/>
      <c r="E135" s="78"/>
      <c r="F135" s="78"/>
      <c r="G135" s="78"/>
      <c r="H135" s="78"/>
      <c r="I135" s="78"/>
      <c r="J135" s="78"/>
      <c r="K135" s="72"/>
      <c r="L135" s="78"/>
      <c r="M135" s="78"/>
      <c r="N135" s="78"/>
      <c r="O135" s="78"/>
      <c r="P135" s="78"/>
      <c r="Q135" s="78"/>
      <c r="R135" s="78"/>
      <c r="S135" s="78"/>
      <c r="T135" s="78"/>
      <c r="U135" s="78"/>
      <c r="V135" s="78"/>
      <c r="W135" s="52"/>
    </row>
    <row r="136" spans="3:24">
      <c r="D136" s="78"/>
      <c r="E136" s="78"/>
      <c r="F136" s="78"/>
      <c r="G136" s="78"/>
      <c r="H136" s="78"/>
      <c r="I136" s="78"/>
      <c r="J136" s="78"/>
      <c r="K136" s="78"/>
      <c r="L136" s="78"/>
      <c r="M136" s="78"/>
      <c r="N136" s="78"/>
      <c r="O136" s="78"/>
      <c r="P136" s="78"/>
      <c r="Q136" s="78"/>
      <c r="R136" s="78"/>
      <c r="S136" s="78"/>
      <c r="T136" s="78"/>
      <c r="U136" s="78"/>
      <c r="V136" s="78"/>
      <c r="W136" s="52"/>
    </row>
    <row r="137" spans="3:24">
      <c r="D137" s="78"/>
      <c r="E137" s="78"/>
      <c r="F137" s="78"/>
      <c r="G137" s="78"/>
      <c r="H137" s="78"/>
      <c r="I137" s="78"/>
      <c r="J137" s="78"/>
      <c r="K137" s="78"/>
      <c r="L137" s="78"/>
      <c r="M137" s="78"/>
      <c r="N137" s="78"/>
      <c r="O137" s="78"/>
      <c r="P137" s="78"/>
      <c r="Q137" s="78"/>
      <c r="R137" s="78"/>
      <c r="S137" s="78"/>
      <c r="T137" s="78"/>
      <c r="U137" s="78"/>
      <c r="V137" s="78"/>
      <c r="W137" s="52"/>
    </row>
    <row r="138" spans="3:24">
      <c r="D138" s="78"/>
      <c r="E138" s="78"/>
      <c r="F138" s="78"/>
      <c r="G138" s="78"/>
      <c r="H138" s="78"/>
      <c r="I138" s="78"/>
      <c r="J138" s="78"/>
      <c r="K138" s="78"/>
      <c r="L138" s="78"/>
      <c r="M138" s="78"/>
      <c r="N138" s="78"/>
      <c r="O138" s="78"/>
      <c r="P138" s="78"/>
      <c r="Q138" s="78"/>
      <c r="R138" s="78"/>
      <c r="S138" s="78"/>
      <c r="T138" s="78"/>
      <c r="U138" s="78"/>
      <c r="V138" s="78"/>
      <c r="W138" s="52"/>
    </row>
    <row r="139" spans="3:24">
      <c r="D139" s="78"/>
      <c r="E139" s="78"/>
      <c r="F139" s="78"/>
      <c r="G139" s="78"/>
      <c r="H139" s="78"/>
      <c r="I139" s="78"/>
      <c r="J139" s="78"/>
      <c r="K139" s="78"/>
      <c r="L139" s="78"/>
      <c r="M139" s="78"/>
      <c r="N139" s="78"/>
      <c r="O139" s="78"/>
      <c r="P139" s="78"/>
      <c r="Q139" s="78"/>
      <c r="R139" s="78"/>
      <c r="S139" s="78"/>
      <c r="T139" s="78"/>
      <c r="U139" s="78"/>
      <c r="V139" s="78"/>
      <c r="W139" s="52"/>
    </row>
    <row r="140" spans="3:24">
      <c r="D140" s="78"/>
      <c r="E140" s="78"/>
      <c r="F140" s="78"/>
      <c r="G140" s="78"/>
      <c r="H140" s="78"/>
      <c r="I140" s="78"/>
      <c r="J140" s="78"/>
      <c r="K140" s="78"/>
      <c r="L140" s="78"/>
      <c r="M140" s="78"/>
      <c r="N140" s="78"/>
      <c r="O140" s="78"/>
      <c r="P140" s="78"/>
      <c r="Q140" s="78"/>
      <c r="R140" s="78"/>
      <c r="S140" s="78"/>
      <c r="T140" s="78"/>
      <c r="U140" s="78"/>
      <c r="V140" s="78"/>
      <c r="W140" s="52"/>
    </row>
    <row r="141" spans="3:24">
      <c r="D141" s="78"/>
      <c r="E141" s="78"/>
      <c r="F141" s="78"/>
      <c r="G141" s="78"/>
      <c r="H141" s="78"/>
      <c r="I141" s="78"/>
      <c r="J141" s="78"/>
      <c r="K141" s="78"/>
      <c r="L141" s="78"/>
      <c r="M141" s="78"/>
      <c r="N141" s="78"/>
      <c r="O141" s="78"/>
      <c r="P141" s="78"/>
      <c r="Q141" s="78"/>
      <c r="R141" s="78"/>
      <c r="S141" s="78"/>
      <c r="T141" s="78"/>
      <c r="U141" s="78"/>
      <c r="V141" s="78"/>
      <c r="W141" s="52"/>
    </row>
    <row r="142" spans="3:24">
      <c r="D142" s="78"/>
      <c r="E142" s="78"/>
      <c r="F142" s="78"/>
      <c r="G142" s="78"/>
      <c r="H142" s="78"/>
      <c r="I142" s="78"/>
      <c r="J142" s="78"/>
      <c r="K142" s="78"/>
      <c r="L142" s="78"/>
      <c r="M142" s="78"/>
      <c r="N142" s="78"/>
      <c r="O142" s="78"/>
      <c r="P142" s="78"/>
      <c r="Q142" s="78"/>
      <c r="R142" s="78"/>
      <c r="S142" s="78"/>
      <c r="T142" s="78"/>
      <c r="U142" s="78"/>
      <c r="V142" s="78"/>
      <c r="W142" s="52"/>
    </row>
    <row r="143" spans="3:24">
      <c r="D143" s="78"/>
      <c r="E143" s="78"/>
      <c r="F143" s="78"/>
      <c r="G143" s="78"/>
      <c r="H143" s="78"/>
      <c r="I143" s="78"/>
      <c r="J143" s="78"/>
      <c r="K143" s="78"/>
      <c r="L143" s="78"/>
      <c r="M143" s="78"/>
      <c r="N143" s="78"/>
      <c r="O143" s="78"/>
      <c r="P143" s="78"/>
      <c r="Q143" s="78"/>
      <c r="R143" s="78"/>
      <c r="S143" s="78"/>
      <c r="T143" s="78"/>
      <c r="U143" s="78"/>
      <c r="V143" s="78"/>
      <c r="W143" s="52"/>
    </row>
    <row r="144" spans="3:24">
      <c r="D144" s="78"/>
      <c r="E144" s="78"/>
      <c r="F144" s="78"/>
      <c r="G144" s="78"/>
      <c r="H144" s="78"/>
      <c r="I144" s="78"/>
      <c r="J144" s="78"/>
      <c r="K144" s="78"/>
      <c r="L144" s="78"/>
      <c r="M144" s="78"/>
      <c r="N144" s="78"/>
      <c r="O144" s="78"/>
      <c r="P144" s="78"/>
      <c r="Q144" s="78"/>
      <c r="R144" s="78"/>
      <c r="S144" s="78"/>
      <c r="T144" s="78"/>
      <c r="U144" s="78"/>
      <c r="V144" s="78"/>
      <c r="W144" s="52"/>
    </row>
    <row r="145" spans="4:23">
      <c r="D145" s="78"/>
      <c r="E145" s="78"/>
      <c r="F145" s="78"/>
      <c r="G145" s="78"/>
      <c r="H145" s="78"/>
      <c r="I145" s="78"/>
      <c r="J145" s="78"/>
      <c r="K145" s="78"/>
      <c r="L145" s="78"/>
      <c r="M145" s="78"/>
      <c r="N145" s="78"/>
      <c r="O145" s="78"/>
      <c r="P145" s="78"/>
      <c r="Q145" s="78"/>
      <c r="R145" s="78"/>
      <c r="S145" s="78"/>
      <c r="T145" s="78"/>
      <c r="U145" s="78"/>
      <c r="V145" s="78"/>
      <c r="W145" s="52"/>
    </row>
    <row r="146" spans="4:23">
      <c r="D146" s="78"/>
      <c r="E146" s="78"/>
      <c r="F146" s="78"/>
      <c r="G146" s="78"/>
      <c r="H146" s="78"/>
      <c r="I146" s="78"/>
      <c r="J146" s="78"/>
      <c r="K146" s="78"/>
      <c r="L146" s="78"/>
      <c r="M146" s="78"/>
      <c r="N146" s="78"/>
      <c r="O146" s="78"/>
      <c r="P146" s="78"/>
      <c r="Q146" s="78"/>
      <c r="R146" s="78"/>
      <c r="S146" s="78"/>
      <c r="T146" s="78"/>
      <c r="U146" s="78"/>
      <c r="V146" s="78"/>
      <c r="W146" s="52"/>
    </row>
    <row r="147" spans="4:23">
      <c r="D147" s="78"/>
      <c r="E147" s="78"/>
      <c r="F147" s="78"/>
      <c r="G147" s="78"/>
      <c r="H147" s="78"/>
      <c r="I147" s="78"/>
      <c r="J147" s="78"/>
      <c r="K147" s="78"/>
      <c r="L147" s="78"/>
      <c r="M147" s="78"/>
      <c r="N147" s="78"/>
      <c r="O147" s="78"/>
      <c r="P147" s="78"/>
      <c r="Q147" s="78"/>
      <c r="R147" s="78"/>
      <c r="S147" s="78"/>
      <c r="T147" s="78"/>
      <c r="U147" s="78"/>
      <c r="V147" s="78"/>
      <c r="W147" s="52"/>
    </row>
    <row r="148" spans="4:23">
      <c r="D148" s="78"/>
      <c r="E148" s="78"/>
      <c r="F148" s="78"/>
      <c r="G148" s="78"/>
      <c r="H148" s="78"/>
      <c r="I148" s="78"/>
      <c r="J148" s="78"/>
      <c r="K148" s="78"/>
      <c r="L148" s="78"/>
      <c r="M148" s="78"/>
      <c r="N148" s="78"/>
      <c r="O148" s="78"/>
      <c r="P148" s="78"/>
      <c r="Q148" s="78"/>
      <c r="R148" s="78"/>
      <c r="S148" s="78"/>
      <c r="T148" s="78"/>
      <c r="U148" s="78"/>
      <c r="V148" s="78"/>
      <c r="W148" s="52"/>
    </row>
    <row r="149" spans="4:23">
      <c r="D149" s="78"/>
      <c r="E149" s="78"/>
      <c r="F149" s="78"/>
      <c r="G149" s="78"/>
      <c r="H149" s="78"/>
      <c r="I149" s="78"/>
      <c r="J149" s="78"/>
      <c r="K149" s="78"/>
      <c r="L149" s="78"/>
      <c r="M149" s="78"/>
      <c r="N149" s="78"/>
      <c r="O149" s="78"/>
      <c r="P149" s="78"/>
      <c r="Q149" s="78"/>
      <c r="R149" s="78"/>
      <c r="S149" s="78"/>
      <c r="T149" s="78"/>
      <c r="U149" s="78"/>
      <c r="V149" s="78"/>
      <c r="W149" s="52"/>
    </row>
    <row r="150" spans="4:23">
      <c r="D150" s="78"/>
      <c r="E150" s="78"/>
      <c r="F150" s="78"/>
      <c r="G150" s="78"/>
      <c r="H150" s="78"/>
      <c r="I150" s="78"/>
      <c r="J150" s="78"/>
      <c r="K150" s="78"/>
      <c r="L150" s="78"/>
      <c r="M150" s="78"/>
      <c r="N150" s="78"/>
      <c r="O150" s="78"/>
      <c r="P150" s="78"/>
      <c r="Q150" s="78"/>
      <c r="R150" s="78"/>
      <c r="S150" s="78"/>
      <c r="T150" s="78"/>
      <c r="U150" s="78"/>
      <c r="V150" s="78"/>
      <c r="W150" s="52"/>
    </row>
    <row r="151" spans="4:23">
      <c r="D151" s="78"/>
      <c r="E151" s="78"/>
      <c r="F151" s="78"/>
      <c r="G151" s="78"/>
      <c r="H151" s="78"/>
      <c r="I151" s="78"/>
      <c r="J151" s="78"/>
      <c r="K151" s="78"/>
      <c r="L151" s="78"/>
      <c r="M151" s="78"/>
      <c r="N151" s="78"/>
      <c r="O151" s="78"/>
      <c r="P151" s="78"/>
      <c r="Q151" s="78"/>
      <c r="R151" s="78"/>
      <c r="S151" s="78"/>
      <c r="T151" s="78"/>
      <c r="U151" s="78"/>
      <c r="V151" s="78"/>
      <c r="W151" s="52"/>
    </row>
    <row r="152" spans="4:23">
      <c r="D152" s="78"/>
      <c r="E152" s="78"/>
      <c r="F152" s="78"/>
      <c r="G152" s="78"/>
      <c r="H152" s="78"/>
      <c r="I152" s="78"/>
      <c r="J152" s="78"/>
      <c r="K152" s="78"/>
      <c r="L152" s="78"/>
      <c r="M152" s="78"/>
      <c r="N152" s="78"/>
      <c r="O152" s="78"/>
      <c r="P152" s="78"/>
      <c r="Q152" s="78"/>
      <c r="R152" s="78"/>
      <c r="S152" s="78"/>
      <c r="T152" s="78"/>
      <c r="U152" s="78"/>
      <c r="V152" s="78"/>
      <c r="W152" s="52"/>
    </row>
    <row r="153" spans="4:23">
      <c r="D153" s="78"/>
      <c r="E153" s="78"/>
      <c r="F153" s="78"/>
      <c r="G153" s="78"/>
      <c r="H153" s="78"/>
      <c r="I153" s="78"/>
      <c r="J153" s="78"/>
      <c r="K153" s="78"/>
      <c r="L153" s="78"/>
      <c r="M153" s="78"/>
      <c r="N153" s="78"/>
      <c r="O153" s="78"/>
      <c r="P153" s="78"/>
      <c r="Q153" s="78"/>
      <c r="R153" s="78"/>
      <c r="S153" s="78"/>
      <c r="T153" s="78"/>
      <c r="U153" s="78"/>
      <c r="V153" s="78"/>
      <c r="W153" s="52"/>
    </row>
    <row r="154" spans="4:23">
      <c r="D154" s="78"/>
      <c r="E154" s="78"/>
      <c r="F154" s="78"/>
      <c r="G154" s="78"/>
      <c r="H154" s="78"/>
      <c r="I154" s="78"/>
      <c r="J154" s="78"/>
      <c r="K154" s="78"/>
      <c r="L154" s="78"/>
      <c r="M154" s="78"/>
      <c r="N154" s="78"/>
      <c r="O154" s="78"/>
      <c r="P154" s="78"/>
      <c r="Q154" s="78"/>
      <c r="R154" s="78"/>
      <c r="S154" s="78"/>
      <c r="T154" s="78"/>
      <c r="U154" s="78"/>
      <c r="V154" s="78"/>
      <c r="W154" s="52"/>
    </row>
    <row r="155" spans="4:23">
      <c r="D155" s="78"/>
      <c r="E155" s="78"/>
      <c r="F155" s="78"/>
      <c r="G155" s="78"/>
      <c r="H155" s="78"/>
      <c r="I155" s="78"/>
      <c r="J155" s="78"/>
      <c r="K155" s="78"/>
      <c r="L155" s="78"/>
      <c r="M155" s="78"/>
      <c r="N155" s="78"/>
      <c r="O155" s="78"/>
      <c r="P155" s="78"/>
      <c r="Q155" s="78"/>
      <c r="R155" s="78"/>
      <c r="S155" s="78"/>
      <c r="T155" s="78"/>
      <c r="U155" s="78"/>
      <c r="V155" s="78"/>
      <c r="W155" s="52"/>
    </row>
    <row r="156" spans="4:23">
      <c r="D156" s="78"/>
      <c r="E156" s="78"/>
      <c r="F156" s="78"/>
      <c r="G156" s="78"/>
      <c r="H156" s="78"/>
      <c r="I156" s="78"/>
      <c r="J156" s="78"/>
      <c r="K156" s="78"/>
      <c r="L156" s="78"/>
      <c r="M156" s="78"/>
      <c r="N156" s="78"/>
      <c r="O156" s="78"/>
      <c r="P156" s="78"/>
      <c r="Q156" s="78"/>
      <c r="R156" s="78"/>
      <c r="S156" s="78"/>
      <c r="T156" s="78"/>
      <c r="U156" s="78"/>
      <c r="V156" s="78"/>
      <c r="W156" s="52"/>
    </row>
    <row r="157" spans="4:23">
      <c r="D157" s="78"/>
      <c r="E157" s="78"/>
      <c r="F157" s="78"/>
      <c r="G157" s="78"/>
      <c r="H157" s="78"/>
      <c r="I157" s="78"/>
      <c r="J157" s="78"/>
      <c r="K157" s="78"/>
      <c r="L157" s="78"/>
      <c r="M157" s="78"/>
      <c r="N157" s="78"/>
      <c r="O157" s="78"/>
      <c r="P157" s="78"/>
      <c r="Q157" s="78"/>
      <c r="R157" s="78"/>
      <c r="S157" s="78"/>
      <c r="T157" s="78"/>
      <c r="U157" s="78"/>
      <c r="V157" s="78"/>
      <c r="W157" s="52"/>
    </row>
    <row r="158" spans="4:23">
      <c r="D158" s="78"/>
      <c r="E158" s="78"/>
      <c r="F158" s="78"/>
      <c r="G158" s="78"/>
      <c r="H158" s="78"/>
      <c r="I158" s="78"/>
      <c r="J158" s="78"/>
      <c r="K158" s="78"/>
      <c r="L158" s="78"/>
      <c r="M158" s="78"/>
      <c r="N158" s="78"/>
      <c r="O158" s="78"/>
      <c r="P158" s="78"/>
      <c r="Q158" s="78"/>
      <c r="R158" s="78"/>
      <c r="S158" s="78"/>
      <c r="T158" s="78"/>
      <c r="U158" s="78"/>
      <c r="V158" s="78"/>
      <c r="W158" s="52"/>
    </row>
    <row r="159" spans="4:23">
      <c r="D159" s="78"/>
      <c r="E159" s="78"/>
      <c r="F159" s="78"/>
      <c r="G159" s="78"/>
      <c r="H159" s="78"/>
      <c r="I159" s="78"/>
      <c r="J159" s="78"/>
      <c r="K159" s="78"/>
      <c r="L159" s="78"/>
      <c r="M159" s="78"/>
      <c r="N159" s="78"/>
      <c r="O159" s="78"/>
      <c r="P159" s="78"/>
      <c r="Q159" s="78"/>
      <c r="R159" s="78"/>
      <c r="S159" s="78"/>
      <c r="T159" s="78"/>
      <c r="U159" s="78"/>
      <c r="V159" s="78"/>
      <c r="W159" s="52"/>
    </row>
    <row r="160" spans="4:23">
      <c r="D160" s="78"/>
      <c r="E160" s="78"/>
      <c r="F160" s="78"/>
      <c r="G160" s="78"/>
      <c r="H160" s="78"/>
      <c r="I160" s="78"/>
      <c r="J160" s="78"/>
      <c r="K160" s="78"/>
      <c r="L160" s="78"/>
      <c r="M160" s="78"/>
      <c r="N160" s="78"/>
      <c r="O160" s="78"/>
      <c r="P160" s="78"/>
      <c r="Q160" s="78"/>
      <c r="R160" s="78"/>
      <c r="S160" s="78"/>
      <c r="T160" s="78"/>
      <c r="U160" s="78"/>
      <c r="V160" s="78"/>
      <c r="W160" s="52"/>
    </row>
    <row r="161" spans="3:23">
      <c r="C161" s="50"/>
      <c r="D161" s="52"/>
      <c r="E161" s="52"/>
      <c r="F161" s="52"/>
      <c r="G161" s="52"/>
      <c r="H161" s="52"/>
      <c r="I161" s="52"/>
      <c r="J161" s="52"/>
      <c r="K161" s="52"/>
      <c r="L161" s="52"/>
      <c r="M161" s="52"/>
      <c r="N161" s="52"/>
      <c r="O161" s="52"/>
      <c r="P161" s="52"/>
      <c r="Q161" s="52"/>
      <c r="R161" s="52"/>
      <c r="S161" s="52"/>
      <c r="T161" s="52"/>
      <c r="U161" s="52"/>
      <c r="V161" s="52"/>
      <c r="W161" s="52"/>
    </row>
    <row r="214" spans="16:16">
      <c r="P214" s="72"/>
    </row>
  </sheetData>
  <mergeCells count="3">
    <mergeCell ref="A20:A22"/>
    <mergeCell ref="A23:A29"/>
    <mergeCell ref="A4:A19"/>
  </mergeCells>
  <conditionalFormatting sqref="C161">
    <cfRule type="cellIs" dxfId="11" priority="23" operator="equal">
      <formula>1</formula>
    </cfRule>
  </conditionalFormatting>
  <conditionalFormatting sqref="S2">
    <cfRule type="cellIs" dxfId="10" priority="14" operator="equal">
      <formula>1</formula>
    </cfRule>
  </conditionalFormatting>
  <conditionalFormatting sqref="I55:O81">
    <cfRule type="cellIs" dxfId="9" priority="1" operator="greaterThan">
      <formula>0</formula>
    </cfRule>
  </conditionalFormatting>
  <pageMargins left="0" right="0" top="0" bottom="0" header="0" footer="0"/>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Y157"/>
  <sheetViews>
    <sheetView topLeftCell="A28" zoomScale="80" zoomScaleNormal="80" workbookViewId="0">
      <selection activeCell="J11" sqref="J11"/>
    </sheetView>
  </sheetViews>
  <sheetFormatPr baseColWidth="10" defaultColWidth="11" defaultRowHeight="15"/>
  <cols>
    <col min="1" max="1" width="5.625" style="89" customWidth="1"/>
    <col min="2" max="2" width="30.625" style="89" customWidth="1"/>
    <col min="3" max="4" width="10.125" style="89" customWidth="1"/>
    <col min="5" max="5" width="11" style="89" customWidth="1"/>
    <col min="6" max="6" width="10.125" style="89" customWidth="1"/>
    <col min="7" max="7" width="8.625" style="89" customWidth="1"/>
    <col min="8" max="8" width="15.5" style="89" customWidth="1"/>
    <col min="9" max="10" width="10.875" style="89" customWidth="1"/>
    <col min="11" max="11" width="36.625" style="89" customWidth="1"/>
    <col min="12" max="15" width="10.875" style="89" customWidth="1"/>
    <col min="16" max="16" width="18.375" style="89" customWidth="1"/>
    <col min="17" max="17" width="14.625" style="89" customWidth="1"/>
    <col min="18" max="18" width="10.875" style="89" customWidth="1"/>
    <col min="19" max="19" width="27.375" style="89" customWidth="1"/>
    <col min="20" max="20" width="12.5" style="89" customWidth="1"/>
    <col min="21" max="21" width="15.5" style="89" customWidth="1"/>
    <col min="22" max="22" width="17.625" style="89" customWidth="1"/>
    <col min="23" max="23" width="15.875" style="89" customWidth="1"/>
    <col min="24" max="27" width="11.125" style="89" customWidth="1"/>
    <col min="28" max="30" width="8.125" style="89" customWidth="1"/>
    <col min="31" max="42" width="10.875" style="89" customWidth="1"/>
    <col min="43" max="43" width="12.125" style="89" customWidth="1"/>
    <col min="44" max="44" width="6.875" style="89" customWidth="1"/>
    <col min="45" max="48" width="8.125" style="89" customWidth="1"/>
    <col min="49" max="50" width="12.125" style="89" customWidth="1"/>
    <col min="51" max="56" width="9.875" style="89" customWidth="1"/>
    <col min="57" max="63" width="10.875" style="89" customWidth="1"/>
    <col min="64" max="64" width="12.125" style="89" customWidth="1"/>
    <col min="65" max="71" width="8.875" style="89" customWidth="1"/>
    <col min="72" max="79" width="11.875" style="89" customWidth="1"/>
    <col min="80" max="87" width="8.875" style="89" customWidth="1"/>
    <col min="88" max="88" width="5.875" style="89" customWidth="1"/>
    <col min="89" max="95" width="8.125" style="89" customWidth="1"/>
    <col min="96" max="103" width="8.875" style="89" customWidth="1"/>
    <col min="104" max="111" width="9.875" style="89" customWidth="1"/>
    <col min="112" max="119" width="11.875" style="89" customWidth="1"/>
    <col min="120" max="135" width="9.875" style="89" customWidth="1"/>
    <col min="136" max="143" width="10.875" style="89" customWidth="1"/>
    <col min="144" max="151" width="9.875" style="89" customWidth="1"/>
    <col min="152" max="158" width="8.875" style="89" customWidth="1"/>
    <col min="159" max="159" width="9.125" style="89" customWidth="1"/>
    <col min="160" max="167" width="9.875" style="89" customWidth="1"/>
    <col min="168" max="175" width="10.875" style="89" customWidth="1"/>
    <col min="176" max="176" width="6.875" style="89" customWidth="1"/>
    <col min="177" max="182" width="8.125" style="89" customWidth="1"/>
    <col min="183" max="183" width="9.125" style="89" customWidth="1"/>
    <col min="184" max="191" width="11.875" style="89" customWidth="1"/>
    <col min="192" max="199" width="10.875" style="89" customWidth="1"/>
    <col min="200" max="207" width="9.875" style="89" customWidth="1"/>
    <col min="208" max="231" width="10.875" style="89" customWidth="1"/>
    <col min="232" max="232" width="12.125" style="89" customWidth="1"/>
    <col min="233" max="239" width="10.875" style="89" customWidth="1"/>
    <col min="240" max="257" width="9.875" style="89" customWidth="1"/>
    <col min="258" max="275" width="11.875" style="89" customWidth="1"/>
    <col min="276" max="284" width="10.875" style="89" customWidth="1"/>
    <col min="285" max="293" width="11.875" style="89" customWidth="1"/>
    <col min="294" max="311" width="10.875" style="89" customWidth="1"/>
    <col min="312" max="338" width="11.875" style="89" customWidth="1"/>
    <col min="339" max="339" width="12.125" style="89" customWidth="1"/>
    <col min="340" max="346" width="11.875" style="89" customWidth="1"/>
    <col min="347" max="426" width="10.875" style="89" customWidth="1"/>
    <col min="427" max="465" width="11.875" style="89" customWidth="1"/>
    <col min="466" max="466" width="11.875" style="89" bestFit="1" customWidth="1"/>
    <col min="467" max="467" width="12.125" style="89" bestFit="1" customWidth="1"/>
    <col min="468" max="16384" width="11" style="89"/>
  </cols>
  <sheetData>
    <row r="1" spans="1:467" ht="18.75" customHeight="1">
      <c r="A1" s="461"/>
      <c r="B1" s="461"/>
      <c r="C1" s="461"/>
      <c r="D1" s="461"/>
      <c r="E1" s="461"/>
      <c r="F1" s="461"/>
      <c r="G1" s="461"/>
      <c r="H1" s="461"/>
      <c r="I1" s="462"/>
      <c r="J1" s="461"/>
      <c r="K1" s="695" t="s">
        <v>587</v>
      </c>
      <c r="L1" s="695"/>
      <c r="M1" s="695"/>
      <c r="N1" s="695"/>
      <c r="O1" s="695"/>
      <c r="P1" s="695"/>
      <c r="Q1" s="695"/>
      <c r="R1" s="695"/>
      <c r="S1" s="695"/>
      <c r="T1" s="695"/>
      <c r="U1" s="695"/>
      <c r="V1" s="464" t="s">
        <v>925</v>
      </c>
      <c r="W1" s="464"/>
      <c r="X1" s="90"/>
      <c r="Y1" s="90"/>
    </row>
    <row r="2" spans="1:467" ht="48.95" customHeight="1">
      <c r="A2" s="461"/>
      <c r="B2" s="461"/>
      <c r="C2" s="461"/>
      <c r="D2" s="462"/>
      <c r="E2" s="462"/>
      <c r="F2" s="462"/>
      <c r="G2" s="462"/>
      <c r="H2" s="462"/>
      <c r="I2" s="462"/>
      <c r="J2" s="461"/>
      <c r="K2" s="463"/>
      <c r="L2" s="463"/>
      <c r="M2" s="463"/>
      <c r="N2" s="463"/>
      <c r="O2" s="463"/>
      <c r="P2" s="463"/>
      <c r="Q2" s="463"/>
      <c r="R2" s="564"/>
      <c r="S2" s="566" t="s">
        <v>912</v>
      </c>
      <c r="T2" s="566" t="s">
        <v>913</v>
      </c>
      <c r="U2" s="566" t="s">
        <v>914</v>
      </c>
      <c r="V2" s="566" t="s">
        <v>924</v>
      </c>
      <c r="W2" s="566" t="s">
        <v>384</v>
      </c>
      <c r="AA2" s="566" t="s">
        <v>920</v>
      </c>
      <c r="AB2" s="566" t="s">
        <v>921</v>
      </c>
      <c r="AC2" s="588" t="s">
        <v>919</v>
      </c>
    </row>
    <row r="3" spans="1:467" ht="45" customHeight="1">
      <c r="A3" s="461"/>
      <c r="B3" s="37" t="s">
        <v>390</v>
      </c>
      <c r="C3" s="465" t="s">
        <v>383</v>
      </c>
      <c r="D3" s="465" t="s">
        <v>384</v>
      </c>
      <c r="E3" s="465" t="s">
        <v>907</v>
      </c>
      <c r="F3" s="465" t="s">
        <v>7</v>
      </c>
      <c r="G3" s="461"/>
      <c r="H3" s="465" t="s">
        <v>740</v>
      </c>
      <c r="J3" s="461"/>
      <c r="K3" s="563" t="s">
        <v>390</v>
      </c>
      <c r="L3" s="466" t="s">
        <v>383</v>
      </c>
      <c r="M3" s="466" t="s">
        <v>384</v>
      </c>
      <c r="N3" s="466" t="s">
        <v>906</v>
      </c>
      <c r="O3" s="466" t="s">
        <v>7</v>
      </c>
      <c r="P3" s="467"/>
      <c r="Q3" s="468" t="s">
        <v>740</v>
      </c>
      <c r="R3" s="564"/>
      <c r="S3" s="567" t="s">
        <v>313</v>
      </c>
      <c r="T3" s="369">
        <v>28029.136878310001</v>
      </c>
      <c r="U3" s="565">
        <f>T3/$T$15</f>
        <v>9.4584908458395039E-2</v>
      </c>
      <c r="V3" s="370">
        <v>0</v>
      </c>
      <c r="W3" s="593">
        <v>0</v>
      </c>
      <c r="AA3" s="564"/>
      <c r="AB3" s="565">
        <f t="shared" ref="AB3:AB14" si="0">AA3/$AA$15</f>
        <v>0</v>
      </c>
    </row>
    <row r="4" spans="1:467" ht="20.100000000000001" customHeight="1">
      <c r="A4" s="461"/>
      <c r="B4" s="469" t="s">
        <v>218</v>
      </c>
      <c r="C4" s="462">
        <f>$L$6*V3/$V$15</f>
        <v>0</v>
      </c>
      <c r="D4" s="462">
        <f>$M$4*W3/$W$15</f>
        <v>0</v>
      </c>
      <c r="E4" s="462">
        <f t="shared" ref="E4:E15" si="1">N$4*U3</f>
        <v>3.4552374113249784</v>
      </c>
      <c r="F4" s="470">
        <f>SUM(C4:E4)</f>
        <v>3.4552374113249784</v>
      </c>
      <c r="G4" s="461"/>
      <c r="H4" s="462">
        <f t="shared" ref="H4:H15" si="2">Q$4*O19</f>
        <v>0</v>
      </c>
      <c r="I4" s="461"/>
      <c r="J4" s="461"/>
      <c r="K4" s="471" t="s">
        <v>922</v>
      </c>
      <c r="L4" s="472">
        <f>'AggrStep1-energy'!D90</f>
        <v>828.16700000000003</v>
      </c>
      <c r="M4" s="472">
        <f>'AggrStep1-energy'!E90</f>
        <v>1303.69</v>
      </c>
      <c r="N4" s="473">
        <f>PRODESEN!K52*M59</f>
        <v>36.530536082770858</v>
      </c>
      <c r="O4" s="472">
        <f>SUM(L4:N4)</f>
        <v>2168.387536082771</v>
      </c>
      <c r="P4" s="474"/>
      <c r="Q4" s="475">
        <f>'SEC elec-SIE'!L20+'SEC elec-SIE'!N27</f>
        <v>60.542000000000002</v>
      </c>
      <c r="R4" s="564"/>
      <c r="S4" s="567" t="s">
        <v>318</v>
      </c>
      <c r="T4" s="369">
        <v>4184.54396131469</v>
      </c>
      <c r="U4" s="565">
        <f t="shared" ref="U4:U14" si="3">T4/$T$15</f>
        <v>1.4120831092282422E-2</v>
      </c>
      <c r="V4" s="370">
        <v>0</v>
      </c>
      <c r="W4" s="593">
        <v>0</v>
      </c>
      <c r="AA4" s="564"/>
      <c r="AB4" s="565">
        <f t="shared" si="0"/>
        <v>0</v>
      </c>
    </row>
    <row r="5" spans="1:467" ht="20.100000000000001" customHeight="1">
      <c r="A5" s="461"/>
      <c r="B5" s="469" t="s">
        <v>219</v>
      </c>
      <c r="C5" s="462">
        <f t="shared" ref="C5:C11" si="4">$L$6*V4/$V$15</f>
        <v>0</v>
      </c>
      <c r="D5" s="462">
        <f t="shared" ref="D5:D11" si="5">$M$4*W4/$W$15</f>
        <v>0</v>
      </c>
      <c r="E5" s="462">
        <f t="shared" si="1"/>
        <v>0.51584152973533559</v>
      </c>
      <c r="F5" s="470">
        <f t="shared" ref="F5:F16" si="6">SUM(C5:E5)</f>
        <v>0.51584152973533559</v>
      </c>
      <c r="G5" s="461"/>
      <c r="H5" s="462">
        <f t="shared" si="2"/>
        <v>0</v>
      </c>
      <c r="I5" s="461"/>
      <c r="J5" s="461"/>
      <c r="K5" s="471" t="s">
        <v>744</v>
      </c>
      <c r="L5" s="476">
        <f>'SEC elec-SIE'!C11</f>
        <v>339.90100000000001</v>
      </c>
      <c r="M5" s="461"/>
      <c r="N5" s="461"/>
      <c r="O5" s="461"/>
      <c r="P5" s="461"/>
      <c r="Q5" s="477"/>
      <c r="R5" s="564"/>
      <c r="S5" s="567" t="s">
        <v>315</v>
      </c>
      <c r="T5" s="369">
        <v>6069.7173049999992</v>
      </c>
      <c r="U5" s="565">
        <f t="shared" si="3"/>
        <v>2.0482387957726382E-2</v>
      </c>
      <c r="V5" s="370">
        <v>0</v>
      </c>
      <c r="W5" s="593">
        <v>0</v>
      </c>
      <c r="AA5" s="564"/>
      <c r="AB5" s="565">
        <f t="shared" si="0"/>
        <v>0</v>
      </c>
    </row>
    <row r="6" spans="1:467" ht="20.100000000000001" customHeight="1">
      <c r="A6" s="461"/>
      <c r="B6" s="469" t="s">
        <v>171</v>
      </c>
      <c r="C6" s="462">
        <f t="shared" si="4"/>
        <v>0</v>
      </c>
      <c r="D6" s="462">
        <f t="shared" si="5"/>
        <v>0</v>
      </c>
      <c r="E6" s="462">
        <f t="shared" si="1"/>
        <v>0.74823261235103489</v>
      </c>
      <c r="F6" s="470">
        <f t="shared" si="6"/>
        <v>0.74823261235103489</v>
      </c>
      <c r="G6" s="461"/>
      <c r="H6" s="462">
        <f t="shared" si="2"/>
        <v>0</v>
      </c>
      <c r="I6" s="461"/>
      <c r="J6" s="461"/>
      <c r="K6" s="471" t="s">
        <v>923</v>
      </c>
      <c r="L6" s="476">
        <f>L4-L5</f>
        <v>488.26600000000002</v>
      </c>
      <c r="M6" s="461"/>
      <c r="N6" s="461"/>
      <c r="O6" s="461"/>
      <c r="P6" s="461"/>
      <c r="Q6" s="477"/>
      <c r="R6" s="564"/>
      <c r="S6" s="567" t="s">
        <v>11</v>
      </c>
      <c r="T6" s="369">
        <v>19.492261200000002</v>
      </c>
      <c r="U6" s="565">
        <f t="shared" si="3"/>
        <v>6.5777042984003893E-5</v>
      </c>
      <c r="V6" s="370">
        <v>0</v>
      </c>
      <c r="W6" s="593">
        <v>0</v>
      </c>
      <c r="AA6" s="564"/>
      <c r="AB6" s="565">
        <f t="shared" si="0"/>
        <v>0</v>
      </c>
    </row>
    <row r="7" spans="1:467" ht="20.100000000000001" customHeight="1">
      <c r="A7" s="461"/>
      <c r="B7" s="469" t="s">
        <v>11</v>
      </c>
      <c r="C7" s="462">
        <f t="shared" si="4"/>
        <v>0</v>
      </c>
      <c r="D7" s="462">
        <f t="shared" si="5"/>
        <v>0</v>
      </c>
      <c r="E7" s="462">
        <f t="shared" si="1"/>
        <v>2.4028706421451241E-3</v>
      </c>
      <c r="F7" s="470">
        <f t="shared" si="6"/>
        <v>2.4028706421451241E-3</v>
      </c>
      <c r="G7" s="461"/>
      <c r="H7" s="462">
        <f t="shared" si="2"/>
        <v>0</v>
      </c>
      <c r="I7" s="461"/>
      <c r="J7" s="461"/>
      <c r="K7" s="478" t="s">
        <v>648</v>
      </c>
      <c r="L7" s="479"/>
      <c r="M7" s="479"/>
      <c r="N7" s="479"/>
      <c r="O7" s="479"/>
      <c r="P7" s="480"/>
      <c r="Q7" s="481"/>
      <c r="R7" s="564"/>
      <c r="S7" s="567" t="s">
        <v>915</v>
      </c>
      <c r="T7" s="369">
        <v>2225.7161099999998</v>
      </c>
      <c r="U7" s="565">
        <f t="shared" si="3"/>
        <v>7.5107255507975606E-3</v>
      </c>
      <c r="V7" s="370">
        <v>0</v>
      </c>
      <c r="W7" s="593">
        <f>T7</f>
        <v>2225.7161099999998</v>
      </c>
      <c r="AA7" s="570">
        <f>T7</f>
        <v>2225.7161099999998</v>
      </c>
      <c r="AB7" s="565">
        <f t="shared" si="0"/>
        <v>1.0647605602730481E-2</v>
      </c>
    </row>
    <row r="8" spans="1:467" ht="20.100000000000001" customHeight="1">
      <c r="A8" s="461"/>
      <c r="B8" s="482" t="s">
        <v>220</v>
      </c>
      <c r="C8" s="462">
        <f t="shared" si="4"/>
        <v>0</v>
      </c>
      <c r="D8" s="462">
        <f>$M$4*W7/$W$15</f>
        <v>18.512329646008801</v>
      </c>
      <c r="E8" s="462">
        <f t="shared" si="1"/>
        <v>0.27437083074119933</v>
      </c>
      <c r="F8" s="470">
        <f t="shared" si="6"/>
        <v>18.786700476749999</v>
      </c>
      <c r="G8" s="461"/>
      <c r="H8" s="462">
        <f t="shared" si="2"/>
        <v>0</v>
      </c>
      <c r="I8" s="461"/>
      <c r="J8" s="483"/>
      <c r="K8" s="484"/>
      <c r="L8" s="484"/>
      <c r="M8" s="484"/>
      <c r="N8" s="484"/>
      <c r="O8" s="485"/>
      <c r="P8" s="486"/>
      <c r="Q8" s="487"/>
      <c r="R8" s="564"/>
      <c r="S8" s="567" t="s">
        <v>916</v>
      </c>
      <c r="T8" s="369">
        <v>1309.8965169300002</v>
      </c>
      <c r="U8" s="565">
        <f t="shared" si="3"/>
        <v>4.4202731850680101E-3</v>
      </c>
      <c r="V8" s="370">
        <v>0</v>
      </c>
      <c r="W8" s="593">
        <f>T8</f>
        <v>1309.8965169300002</v>
      </c>
      <c r="AA8" s="571"/>
      <c r="AB8" s="565">
        <f t="shared" si="0"/>
        <v>0</v>
      </c>
      <c r="AC8" s="93"/>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c r="FP8" s="92"/>
      <c r="FQ8" s="92"/>
      <c r="FR8" s="92"/>
      <c r="FS8" s="92"/>
      <c r="FT8" s="92"/>
      <c r="FU8" s="92"/>
      <c r="FV8" s="92"/>
      <c r="FW8" s="92"/>
      <c r="FX8" s="92"/>
      <c r="FY8" s="92"/>
      <c r="FZ8" s="92"/>
      <c r="GA8" s="92"/>
      <c r="GB8" s="92"/>
      <c r="GC8" s="92"/>
      <c r="GD8" s="92"/>
      <c r="GE8" s="92"/>
      <c r="GF8" s="92"/>
      <c r="GG8" s="92"/>
      <c r="GH8" s="92"/>
      <c r="GI8" s="92"/>
      <c r="GJ8" s="92"/>
      <c r="GK8" s="92"/>
      <c r="GL8" s="92"/>
      <c r="GM8" s="92"/>
      <c r="GN8" s="92"/>
      <c r="GO8" s="92"/>
      <c r="GP8" s="92"/>
      <c r="GQ8" s="92"/>
      <c r="GR8" s="92"/>
      <c r="GS8" s="92"/>
      <c r="GT8" s="92"/>
      <c r="GU8" s="92"/>
      <c r="GV8" s="92"/>
      <c r="GW8" s="92"/>
      <c r="GX8" s="92"/>
      <c r="GY8" s="92"/>
      <c r="GZ8" s="92"/>
      <c r="HA8" s="92"/>
      <c r="HB8" s="92"/>
      <c r="HC8" s="92"/>
      <c r="HD8" s="92"/>
      <c r="HE8" s="92"/>
      <c r="HF8" s="92"/>
      <c r="HG8" s="92"/>
      <c r="HH8" s="92"/>
      <c r="HI8" s="92"/>
      <c r="HJ8" s="92"/>
      <c r="HK8" s="92"/>
      <c r="HL8" s="92"/>
      <c r="HM8" s="92"/>
      <c r="HN8" s="92"/>
      <c r="HO8" s="92"/>
      <c r="HP8" s="92"/>
      <c r="HQ8" s="92"/>
      <c r="HR8" s="92"/>
      <c r="HS8" s="92"/>
      <c r="HT8" s="92"/>
      <c r="HU8" s="92"/>
      <c r="HV8" s="92"/>
      <c r="HW8" s="92"/>
      <c r="HX8" s="92"/>
      <c r="HY8" s="92"/>
      <c r="HZ8" s="92"/>
      <c r="IA8" s="92"/>
      <c r="IB8" s="92"/>
      <c r="IC8" s="92"/>
      <c r="ID8" s="92"/>
      <c r="IE8" s="92"/>
      <c r="IF8" s="92"/>
      <c r="IG8" s="92"/>
      <c r="IH8" s="92"/>
      <c r="II8" s="92"/>
      <c r="IJ8" s="92"/>
      <c r="IK8" s="92"/>
      <c r="IL8" s="92"/>
      <c r="IM8" s="92"/>
      <c r="IN8" s="92"/>
      <c r="IO8" s="92"/>
      <c r="IP8" s="92"/>
      <c r="IQ8" s="92"/>
      <c r="IR8" s="92"/>
      <c r="IS8" s="92"/>
      <c r="IT8" s="92"/>
      <c r="IU8" s="92"/>
      <c r="IV8" s="92"/>
      <c r="IW8" s="92"/>
      <c r="IX8" s="92"/>
      <c r="IY8" s="92"/>
      <c r="IZ8" s="92"/>
      <c r="JA8" s="92"/>
      <c r="JB8" s="92"/>
      <c r="JC8" s="92"/>
      <c r="JD8" s="92"/>
      <c r="JE8" s="92"/>
      <c r="JF8" s="92"/>
      <c r="JG8" s="92"/>
      <c r="JH8" s="92"/>
      <c r="JI8" s="92"/>
      <c r="JJ8" s="92"/>
      <c r="JK8" s="92"/>
      <c r="JL8" s="92"/>
      <c r="JM8" s="92"/>
      <c r="JN8" s="92"/>
      <c r="JO8" s="92"/>
      <c r="JP8" s="92"/>
      <c r="JQ8" s="92"/>
      <c r="JR8" s="92"/>
      <c r="JS8" s="92"/>
      <c r="JT8" s="92"/>
      <c r="JU8" s="92"/>
      <c r="JV8" s="92"/>
      <c r="JW8" s="92"/>
      <c r="JX8" s="92"/>
      <c r="JY8" s="92"/>
      <c r="JZ8" s="92"/>
      <c r="KA8" s="92"/>
      <c r="KB8" s="92"/>
      <c r="KC8" s="92"/>
      <c r="KD8" s="92"/>
      <c r="KE8" s="92"/>
      <c r="KF8" s="92"/>
      <c r="KG8" s="92"/>
      <c r="KH8" s="92"/>
      <c r="KI8" s="92"/>
      <c r="KJ8" s="92"/>
      <c r="KK8" s="92"/>
      <c r="KL8" s="92"/>
      <c r="KM8" s="92"/>
      <c r="KN8" s="92"/>
      <c r="KO8" s="92"/>
      <c r="KP8" s="92"/>
      <c r="KQ8" s="92"/>
      <c r="KR8" s="92"/>
      <c r="KS8" s="92"/>
      <c r="KT8" s="92"/>
      <c r="KU8" s="92"/>
      <c r="KV8" s="92"/>
      <c r="KW8" s="92"/>
      <c r="KX8" s="92"/>
      <c r="KY8" s="92"/>
      <c r="KZ8" s="92"/>
      <c r="LA8" s="92"/>
      <c r="LB8" s="92"/>
      <c r="LC8" s="92"/>
      <c r="LD8" s="92"/>
      <c r="LE8" s="92"/>
      <c r="LF8" s="92"/>
      <c r="LG8" s="92"/>
      <c r="LH8" s="92"/>
      <c r="LI8" s="92"/>
      <c r="LJ8" s="92"/>
      <c r="LK8" s="92"/>
      <c r="LL8" s="92"/>
      <c r="LM8" s="92"/>
      <c r="LN8" s="92"/>
      <c r="LO8" s="92"/>
      <c r="LP8" s="92"/>
      <c r="LQ8" s="92"/>
      <c r="LR8" s="92"/>
      <c r="LS8" s="92"/>
      <c r="LT8" s="92"/>
      <c r="LU8" s="92"/>
      <c r="LV8" s="92"/>
      <c r="LW8" s="92"/>
      <c r="LX8" s="92"/>
      <c r="LY8" s="92"/>
      <c r="LZ8" s="92"/>
      <c r="MA8" s="92"/>
      <c r="MB8" s="92"/>
      <c r="MC8" s="92"/>
      <c r="MD8" s="92"/>
      <c r="ME8" s="92"/>
      <c r="MF8" s="92"/>
      <c r="MG8" s="92"/>
      <c r="MH8" s="92"/>
      <c r="MI8" s="92"/>
      <c r="MJ8" s="92"/>
      <c r="MK8" s="92"/>
      <c r="ML8" s="92"/>
      <c r="MM8" s="92"/>
      <c r="MN8" s="92"/>
      <c r="MO8" s="92"/>
      <c r="MP8" s="92"/>
      <c r="MQ8" s="92"/>
      <c r="MR8" s="92"/>
      <c r="MS8" s="92"/>
      <c r="MT8" s="92"/>
      <c r="MU8" s="92"/>
      <c r="MV8" s="92"/>
      <c r="MW8" s="92"/>
      <c r="MX8" s="92"/>
      <c r="MY8" s="92"/>
      <c r="MZ8" s="92"/>
      <c r="NA8" s="92"/>
      <c r="NB8" s="92"/>
      <c r="NC8" s="92"/>
      <c r="ND8" s="92"/>
      <c r="NE8" s="92"/>
      <c r="NF8" s="92"/>
      <c r="NG8" s="92"/>
      <c r="NH8" s="92"/>
      <c r="NI8" s="92"/>
      <c r="NJ8" s="92"/>
      <c r="NK8" s="92"/>
      <c r="NL8" s="92"/>
      <c r="NM8" s="92"/>
      <c r="NN8" s="92"/>
      <c r="NO8" s="92"/>
      <c r="NP8" s="92"/>
      <c r="NQ8" s="92"/>
      <c r="NR8" s="92"/>
      <c r="NS8" s="92"/>
      <c r="NT8" s="92"/>
      <c r="NU8" s="92"/>
      <c r="NV8" s="92"/>
      <c r="NW8" s="92"/>
      <c r="NX8" s="92"/>
      <c r="NY8" s="92"/>
      <c r="NZ8" s="92"/>
      <c r="OA8" s="92"/>
      <c r="OB8" s="92"/>
      <c r="OC8" s="92"/>
      <c r="OD8" s="92"/>
      <c r="OE8" s="92"/>
      <c r="OF8" s="92"/>
      <c r="OG8" s="92"/>
      <c r="OH8" s="92"/>
      <c r="OI8" s="92"/>
      <c r="OJ8" s="92"/>
      <c r="OK8" s="92"/>
      <c r="OL8" s="92"/>
      <c r="OM8" s="92"/>
      <c r="ON8" s="92"/>
      <c r="OO8" s="92"/>
      <c r="OP8" s="92"/>
      <c r="OQ8" s="92"/>
      <c r="OR8" s="92"/>
      <c r="OS8" s="92"/>
      <c r="OT8" s="92"/>
      <c r="OU8" s="92"/>
      <c r="OV8" s="92"/>
      <c r="OW8" s="92"/>
      <c r="OX8" s="92"/>
      <c r="OY8" s="92"/>
      <c r="OZ8" s="92"/>
      <c r="PA8" s="92"/>
      <c r="PB8" s="92"/>
      <c r="PC8" s="92"/>
      <c r="PD8" s="92"/>
      <c r="PE8" s="92"/>
      <c r="PF8" s="92"/>
      <c r="PG8" s="92"/>
      <c r="PH8" s="92"/>
      <c r="PI8" s="92"/>
      <c r="PJ8" s="92"/>
      <c r="PK8" s="92"/>
      <c r="PL8" s="92"/>
      <c r="PM8" s="92"/>
      <c r="PN8" s="92"/>
      <c r="PO8" s="92"/>
      <c r="PP8" s="92"/>
      <c r="PQ8" s="92"/>
      <c r="PR8" s="92"/>
      <c r="PS8" s="92"/>
      <c r="PT8" s="92"/>
      <c r="PU8" s="92"/>
      <c r="PV8" s="92"/>
      <c r="PW8" s="92"/>
      <c r="PX8" s="92"/>
      <c r="PY8" s="92"/>
      <c r="PZ8" s="92"/>
      <c r="QA8" s="92"/>
      <c r="QB8" s="92"/>
      <c r="QC8" s="92"/>
      <c r="QD8" s="92"/>
      <c r="QE8" s="92"/>
      <c r="QF8" s="92"/>
      <c r="QG8" s="92"/>
      <c r="QH8" s="92"/>
      <c r="QI8" s="92"/>
      <c r="QJ8" s="92"/>
      <c r="QK8" s="92"/>
      <c r="QL8" s="92"/>
      <c r="QM8" s="92"/>
      <c r="QN8" s="92"/>
      <c r="QO8" s="92"/>
      <c r="QP8" s="92"/>
      <c r="QQ8" s="92"/>
      <c r="QR8" s="92"/>
      <c r="QS8" s="92"/>
      <c r="QT8" s="92"/>
      <c r="QU8" s="92"/>
      <c r="QV8" s="92"/>
      <c r="QW8" s="92"/>
      <c r="QX8" s="92"/>
      <c r="QY8" s="92"/>
    </row>
    <row r="9" spans="1:467" ht="20.100000000000001" customHeight="1">
      <c r="A9" s="461"/>
      <c r="B9" s="487" t="s">
        <v>365</v>
      </c>
      <c r="C9" s="462">
        <f t="shared" si="4"/>
        <v>0</v>
      </c>
      <c r="D9" s="462">
        <f>$M$4*W8/$W$15</f>
        <v>10.895026555550661</v>
      </c>
      <c r="E9" s="462">
        <f t="shared" si="1"/>
        <v>0.16147494908283141</v>
      </c>
      <c r="F9" s="470">
        <f t="shared" si="6"/>
        <v>11.056501504633493</v>
      </c>
      <c r="G9" s="461"/>
      <c r="H9" s="462">
        <f t="shared" si="2"/>
        <v>60.542000000000002</v>
      </c>
      <c r="I9" s="461"/>
      <c r="J9" s="483"/>
      <c r="K9" s="488" t="s">
        <v>588</v>
      </c>
      <c r="L9" s="466" t="s">
        <v>419</v>
      </c>
      <c r="M9" s="466" t="s">
        <v>384</v>
      </c>
      <c r="N9" s="466" t="s">
        <v>172</v>
      </c>
      <c r="O9" s="489" t="s">
        <v>7</v>
      </c>
      <c r="P9" s="490"/>
      <c r="Q9" s="487"/>
      <c r="R9" s="564"/>
      <c r="S9" s="568" t="s">
        <v>917</v>
      </c>
      <c r="T9" s="369">
        <v>0.57368375000000005</v>
      </c>
      <c r="U9" s="565">
        <f t="shared" si="3"/>
        <v>1.9359078095554425E-6</v>
      </c>
      <c r="V9" s="370">
        <v>0</v>
      </c>
      <c r="W9" s="593">
        <v>0</v>
      </c>
      <c r="AA9" s="571"/>
      <c r="AB9" s="565">
        <f t="shared" si="0"/>
        <v>0</v>
      </c>
      <c r="AC9" s="93"/>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92"/>
      <c r="FC9" s="92"/>
      <c r="FD9" s="92"/>
      <c r="FE9" s="92"/>
      <c r="FF9" s="92"/>
      <c r="FG9" s="92"/>
      <c r="FH9" s="92"/>
      <c r="FI9" s="92"/>
      <c r="FJ9" s="92"/>
      <c r="FK9" s="92"/>
      <c r="FL9" s="92"/>
      <c r="FM9" s="92"/>
      <c r="FN9" s="92"/>
      <c r="FO9" s="92"/>
      <c r="FP9" s="92"/>
      <c r="FQ9" s="92"/>
      <c r="FR9" s="92"/>
      <c r="FS9" s="92"/>
      <c r="FT9" s="92"/>
      <c r="FU9" s="92"/>
      <c r="FV9" s="92"/>
      <c r="FW9" s="92"/>
      <c r="FX9" s="92"/>
      <c r="FY9" s="92"/>
      <c r="FZ9" s="92"/>
      <c r="GA9" s="92"/>
      <c r="GB9" s="92"/>
      <c r="GC9" s="92"/>
      <c r="GD9" s="92"/>
      <c r="GE9" s="92"/>
      <c r="GF9" s="92"/>
      <c r="GG9" s="92"/>
      <c r="GH9" s="92"/>
      <c r="GI9" s="92"/>
      <c r="GJ9" s="92"/>
      <c r="GK9" s="92"/>
      <c r="GL9" s="92"/>
      <c r="GM9" s="92"/>
      <c r="GN9" s="92"/>
      <c r="GO9" s="92"/>
      <c r="GP9" s="92"/>
      <c r="GQ9" s="92"/>
      <c r="GR9" s="92"/>
      <c r="GS9" s="92"/>
      <c r="GT9" s="92"/>
      <c r="GU9" s="92"/>
      <c r="GV9" s="92"/>
      <c r="GW9" s="92"/>
      <c r="GX9" s="92"/>
      <c r="GY9" s="92"/>
      <c r="GZ9" s="92"/>
      <c r="HA9" s="92"/>
      <c r="HB9" s="92"/>
      <c r="HC9" s="92"/>
      <c r="HD9" s="92"/>
      <c r="HE9" s="92"/>
      <c r="HF9" s="92"/>
      <c r="HG9" s="92"/>
      <c r="HH9" s="92"/>
      <c r="HI9" s="92"/>
      <c r="HJ9" s="92"/>
      <c r="HK9" s="92"/>
      <c r="HL9" s="92"/>
      <c r="HM9" s="92"/>
      <c r="HN9" s="92"/>
      <c r="HO9" s="92"/>
      <c r="HP9" s="92"/>
      <c r="HQ9" s="92"/>
      <c r="HR9" s="92"/>
      <c r="HS9" s="92"/>
      <c r="HT9" s="92"/>
      <c r="HU9" s="92"/>
      <c r="HV9" s="92"/>
      <c r="HW9" s="92"/>
      <c r="HX9" s="92"/>
      <c r="HY9" s="92"/>
      <c r="HZ9" s="92"/>
      <c r="IA9" s="92"/>
      <c r="IB9" s="92"/>
      <c r="IC9" s="92"/>
      <c r="ID9" s="92"/>
      <c r="IE9" s="92"/>
      <c r="IF9" s="92"/>
      <c r="IG9" s="92"/>
      <c r="IH9" s="92"/>
      <c r="II9" s="92"/>
      <c r="IJ9" s="92"/>
      <c r="IK9" s="92"/>
      <c r="IL9" s="92"/>
      <c r="IM9" s="92"/>
      <c r="IN9" s="92"/>
      <c r="IO9" s="92"/>
      <c r="IP9" s="92"/>
      <c r="IQ9" s="92"/>
      <c r="IR9" s="92"/>
      <c r="IS9" s="92"/>
      <c r="IT9" s="92"/>
      <c r="IU9" s="92"/>
      <c r="IV9" s="92"/>
      <c r="IW9" s="92"/>
      <c r="IX9" s="92"/>
      <c r="IY9" s="92"/>
      <c r="IZ9" s="92"/>
      <c r="JA9" s="92"/>
      <c r="JB9" s="92"/>
      <c r="JC9" s="92"/>
      <c r="JD9" s="92"/>
      <c r="JE9" s="92"/>
      <c r="JF9" s="92"/>
      <c r="JG9" s="92"/>
      <c r="JH9" s="92"/>
      <c r="JI9" s="92"/>
      <c r="JJ9" s="92"/>
      <c r="JK9" s="92"/>
      <c r="JL9" s="92"/>
      <c r="JM9" s="92"/>
      <c r="JN9" s="92"/>
      <c r="JO9" s="92"/>
      <c r="JP9" s="92"/>
      <c r="JQ9" s="92"/>
      <c r="JR9" s="92"/>
      <c r="JS9" s="92"/>
      <c r="JT9" s="92"/>
      <c r="JU9" s="92"/>
      <c r="JV9" s="92"/>
      <c r="JW9" s="92"/>
      <c r="JX9" s="92"/>
      <c r="JY9" s="92"/>
      <c r="JZ9" s="92"/>
      <c r="KA9" s="92"/>
      <c r="KB9" s="92"/>
      <c r="KC9" s="92"/>
      <c r="KD9" s="92"/>
      <c r="KE9" s="92"/>
      <c r="KF9" s="92"/>
      <c r="KG9" s="92"/>
      <c r="KH9" s="92"/>
      <c r="KI9" s="92"/>
      <c r="KJ9" s="92"/>
      <c r="KK9" s="92"/>
      <c r="KL9" s="92"/>
      <c r="KM9" s="92"/>
      <c r="KN9" s="92"/>
      <c r="KO9" s="92"/>
      <c r="KP9" s="92"/>
      <c r="KQ9" s="92"/>
      <c r="KR9" s="92"/>
      <c r="KS9" s="92"/>
      <c r="KT9" s="92"/>
      <c r="KU9" s="92"/>
      <c r="KV9" s="92"/>
      <c r="KW9" s="92"/>
      <c r="KX9" s="92"/>
      <c r="KY9" s="92"/>
      <c r="KZ9" s="92"/>
      <c r="LA9" s="92"/>
      <c r="LB9" s="92"/>
      <c r="LC9" s="92"/>
      <c r="LD9" s="92"/>
      <c r="LE9" s="92"/>
      <c r="LF9" s="92"/>
      <c r="LG9" s="92"/>
      <c r="LH9" s="92"/>
      <c r="LI9" s="92"/>
      <c r="LJ9" s="92"/>
      <c r="LK9" s="92"/>
      <c r="LL9" s="92"/>
      <c r="LM9" s="92"/>
      <c r="LN9" s="92"/>
      <c r="LO9" s="92"/>
      <c r="LP9" s="92"/>
      <c r="LQ9" s="92"/>
      <c r="LR9" s="92"/>
      <c r="LS9" s="92"/>
      <c r="LT9" s="92"/>
      <c r="LU9" s="92"/>
      <c r="LV9" s="92"/>
      <c r="LW9" s="92"/>
      <c r="LX9" s="92"/>
      <c r="LY9" s="92"/>
      <c r="LZ9" s="92"/>
      <c r="MA9" s="92"/>
      <c r="MB9" s="92"/>
      <c r="MC9" s="92"/>
      <c r="MD9" s="92"/>
      <c r="ME9" s="92"/>
      <c r="MF9" s="92"/>
      <c r="MG9" s="92"/>
      <c r="MH9" s="92"/>
      <c r="MI9" s="92"/>
      <c r="MJ9" s="92"/>
      <c r="MK9" s="92"/>
      <c r="ML9" s="92"/>
      <c r="MM9" s="92"/>
      <c r="MN9" s="92"/>
      <c r="MO9" s="92"/>
      <c r="MP9" s="92"/>
      <c r="MQ9" s="92"/>
      <c r="MR9" s="92"/>
      <c r="MS9" s="92"/>
      <c r="MT9" s="92"/>
      <c r="MU9" s="92"/>
      <c r="MV9" s="92"/>
      <c r="MW9" s="92"/>
      <c r="MX9" s="92"/>
      <c r="MY9" s="92"/>
      <c r="MZ9" s="92"/>
      <c r="NA9" s="92"/>
      <c r="NB9" s="92"/>
      <c r="NC9" s="92"/>
      <c r="ND9" s="92"/>
      <c r="NE9" s="92"/>
      <c r="NF9" s="92"/>
      <c r="NG9" s="92"/>
      <c r="NH9" s="92"/>
      <c r="NI9" s="92"/>
      <c r="NJ9" s="92"/>
      <c r="NK9" s="92"/>
      <c r="NL9" s="92"/>
      <c r="NM9" s="92"/>
      <c r="NN9" s="92"/>
      <c r="NO9" s="92"/>
      <c r="NP9" s="92"/>
      <c r="NQ9" s="92"/>
      <c r="NR9" s="92"/>
      <c r="NS9" s="92"/>
      <c r="NT9" s="92"/>
      <c r="NU9" s="92"/>
      <c r="NV9" s="92"/>
      <c r="NW9" s="92"/>
      <c r="NX9" s="92"/>
      <c r="NY9" s="92"/>
      <c r="NZ9" s="92"/>
      <c r="OA9" s="92"/>
      <c r="OB9" s="92"/>
      <c r="OC9" s="92"/>
      <c r="OD9" s="92"/>
      <c r="OE9" s="92"/>
      <c r="OF9" s="92"/>
      <c r="OG9" s="92"/>
      <c r="OH9" s="92"/>
      <c r="OI9" s="92"/>
      <c r="OJ9" s="92"/>
      <c r="OK9" s="92"/>
      <c r="OL9" s="92"/>
      <c r="OM9" s="92"/>
      <c r="ON9" s="92"/>
      <c r="OO9" s="92"/>
      <c r="OP9" s="92"/>
      <c r="OQ9" s="92"/>
      <c r="OR9" s="92"/>
      <c r="OS9" s="92"/>
      <c r="OT9" s="92"/>
      <c r="OU9" s="92"/>
      <c r="OV9" s="92"/>
      <c r="OW9" s="92"/>
      <c r="OX9" s="92"/>
      <c r="OY9" s="92"/>
      <c r="OZ9" s="92"/>
      <c r="PA9" s="92"/>
      <c r="PB9" s="92"/>
      <c r="PC9" s="92"/>
      <c r="PD9" s="92"/>
      <c r="PE9" s="92"/>
      <c r="PF9" s="92"/>
      <c r="PG9" s="92"/>
      <c r="PH9" s="92"/>
      <c r="PI9" s="92"/>
      <c r="PJ9" s="92"/>
      <c r="PK9" s="92"/>
      <c r="PL9" s="92"/>
      <c r="PM9" s="92"/>
      <c r="PN9" s="92"/>
      <c r="PO9" s="92"/>
      <c r="PP9" s="92"/>
      <c r="PQ9" s="92"/>
      <c r="PR9" s="92"/>
      <c r="PS9" s="92"/>
      <c r="PT9" s="92"/>
      <c r="PU9" s="92"/>
      <c r="PV9" s="92"/>
      <c r="PW9" s="92"/>
      <c r="PX9" s="92"/>
      <c r="PY9" s="92"/>
      <c r="PZ9" s="92"/>
      <c r="QA9" s="92"/>
      <c r="QB9" s="92"/>
      <c r="QC9" s="92"/>
      <c r="QD9" s="92"/>
      <c r="QE9" s="92"/>
      <c r="QF9" s="92"/>
      <c r="QG9" s="92"/>
      <c r="QH9" s="92"/>
      <c r="QI9" s="92"/>
      <c r="QJ9" s="92"/>
      <c r="QK9" s="92"/>
      <c r="QL9" s="92"/>
      <c r="QM9" s="92"/>
      <c r="QN9" s="92"/>
      <c r="QO9" s="92"/>
      <c r="QP9" s="92"/>
      <c r="QQ9" s="92"/>
      <c r="QR9" s="92"/>
      <c r="QS9" s="92"/>
      <c r="QT9" s="92"/>
      <c r="QU9" s="92"/>
      <c r="QV9" s="92"/>
      <c r="QW9" s="92"/>
      <c r="QX9" s="92"/>
      <c r="QY9" s="92"/>
    </row>
    <row r="10" spans="1:467" ht="20.100000000000001" customHeight="1">
      <c r="A10" s="461"/>
      <c r="B10" s="487" t="s">
        <v>366</v>
      </c>
      <c r="C10" s="462">
        <f t="shared" si="4"/>
        <v>0</v>
      </c>
      <c r="D10" s="462">
        <f t="shared" si="5"/>
        <v>0</v>
      </c>
      <c r="E10" s="462">
        <f t="shared" si="1"/>
        <v>7.0719750089882986E-5</v>
      </c>
      <c r="F10" s="470">
        <f t="shared" si="6"/>
        <v>7.0719750089882986E-5</v>
      </c>
      <c r="G10" s="461"/>
      <c r="H10" s="462">
        <f t="shared" si="2"/>
        <v>0</v>
      </c>
      <c r="I10" s="461"/>
      <c r="J10" s="483"/>
      <c r="K10" s="491"/>
      <c r="L10" s="461"/>
      <c r="M10" s="461"/>
      <c r="N10" s="461"/>
      <c r="O10" s="461"/>
      <c r="P10" s="492"/>
      <c r="Q10" s="487"/>
      <c r="R10" s="564"/>
      <c r="S10" s="567" t="s">
        <v>311</v>
      </c>
      <c r="T10" s="369">
        <v>11799.869613499986</v>
      </c>
      <c r="U10" s="565">
        <f t="shared" si="3"/>
        <v>3.9818906734783027E-2</v>
      </c>
      <c r="V10" s="370">
        <v>0</v>
      </c>
      <c r="W10" s="593">
        <v>0</v>
      </c>
      <c r="AA10" s="571"/>
      <c r="AB10" s="565">
        <f t="shared" si="0"/>
        <v>0</v>
      </c>
      <c r="AC10" s="93"/>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2"/>
      <c r="DH10" s="92"/>
      <c r="DI10" s="92"/>
      <c r="DJ10" s="92"/>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2"/>
      <c r="FV10" s="92"/>
      <c r="FW10" s="92"/>
      <c r="FX10" s="92"/>
      <c r="FY10" s="92"/>
      <c r="FZ10" s="92"/>
      <c r="GA10" s="92"/>
      <c r="GB10" s="92"/>
      <c r="GC10" s="92"/>
      <c r="GD10" s="92"/>
      <c r="GE10" s="92"/>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2"/>
      <c r="HE10" s="92"/>
      <c r="HF10" s="92"/>
      <c r="HG10" s="92"/>
      <c r="HH10" s="92"/>
      <c r="HI10" s="92"/>
      <c r="HJ10" s="92"/>
      <c r="HK10" s="92"/>
      <c r="HL10" s="92"/>
      <c r="HM10" s="92"/>
      <c r="HN10" s="92"/>
      <c r="HO10" s="92"/>
      <c r="HP10" s="92"/>
      <c r="HQ10" s="92"/>
      <c r="HR10" s="92"/>
      <c r="HS10" s="92"/>
      <c r="HT10" s="92"/>
      <c r="HU10" s="92"/>
      <c r="HV10" s="92"/>
      <c r="HW10" s="92"/>
      <c r="HX10" s="92"/>
      <c r="HY10" s="92"/>
      <c r="HZ10" s="92"/>
      <c r="IA10" s="92"/>
      <c r="IB10" s="92"/>
      <c r="IC10" s="92"/>
      <c r="ID10" s="92"/>
      <c r="IE10" s="92"/>
      <c r="IF10" s="92"/>
      <c r="IG10" s="92"/>
      <c r="IH10" s="92"/>
      <c r="II10" s="92"/>
      <c r="IJ10" s="92"/>
      <c r="IK10" s="92"/>
      <c r="IL10" s="92"/>
      <c r="IM10" s="92"/>
      <c r="IN10" s="92"/>
      <c r="IO10" s="92"/>
      <c r="IP10" s="92"/>
      <c r="IQ10" s="92"/>
      <c r="IR10" s="92"/>
      <c r="IS10" s="92"/>
      <c r="IT10" s="92"/>
      <c r="IU10" s="92"/>
      <c r="IV10" s="92"/>
      <c r="IW10" s="92"/>
      <c r="IX10" s="92"/>
      <c r="IY10" s="92"/>
      <c r="IZ10" s="92"/>
      <c r="JA10" s="92"/>
      <c r="JB10" s="92"/>
      <c r="JC10" s="92"/>
      <c r="JD10" s="92"/>
      <c r="JE10" s="92"/>
      <c r="JF10" s="92"/>
      <c r="JG10" s="92"/>
      <c r="JH10" s="92"/>
      <c r="JI10" s="92"/>
      <c r="JJ10" s="92"/>
      <c r="JK10" s="92"/>
      <c r="JL10" s="92"/>
      <c r="JM10" s="92"/>
      <c r="JN10" s="92"/>
      <c r="JO10" s="92"/>
      <c r="JP10" s="92"/>
      <c r="JQ10" s="92"/>
      <c r="JR10" s="92"/>
      <c r="JS10" s="92"/>
      <c r="JT10" s="92"/>
      <c r="JU10" s="92"/>
      <c r="JV10" s="92"/>
      <c r="JW10" s="92"/>
      <c r="JX10" s="92"/>
      <c r="JY10" s="92"/>
      <c r="JZ10" s="92"/>
      <c r="KA10" s="92"/>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2"/>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2"/>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2"/>
      <c r="MY10" s="92"/>
      <c r="MZ10" s="92"/>
      <c r="NA10" s="92"/>
      <c r="NB10" s="92"/>
      <c r="NC10" s="92"/>
      <c r="ND10" s="92"/>
      <c r="NE10" s="92"/>
      <c r="NF10" s="92"/>
      <c r="NG10" s="92"/>
      <c r="NH10" s="92"/>
      <c r="NI10" s="92"/>
      <c r="NJ10" s="92"/>
      <c r="NK10" s="92"/>
      <c r="NL10" s="92"/>
      <c r="NM10" s="92"/>
      <c r="NN10" s="92"/>
      <c r="NO10" s="92"/>
      <c r="NP10" s="92"/>
      <c r="NQ10" s="92"/>
      <c r="NR10" s="92"/>
      <c r="NS10" s="92"/>
      <c r="NT10" s="92"/>
      <c r="NU10" s="92"/>
      <c r="NV10" s="92"/>
      <c r="NW10" s="92"/>
      <c r="NX10" s="92"/>
      <c r="NY10" s="92"/>
      <c r="NZ10" s="92"/>
      <c r="OA10" s="92"/>
      <c r="OB10" s="92"/>
      <c r="OC10" s="92"/>
      <c r="OD10" s="92"/>
      <c r="OE10" s="92"/>
      <c r="OF10" s="92"/>
      <c r="OG10" s="92"/>
      <c r="OH10" s="92"/>
      <c r="OI10" s="92"/>
      <c r="OJ10" s="92"/>
      <c r="OK10" s="92"/>
      <c r="OL10" s="92"/>
      <c r="OM10" s="92"/>
      <c r="ON10" s="92"/>
      <c r="OO10" s="92"/>
      <c r="OP10" s="92"/>
      <c r="OQ10" s="92"/>
      <c r="OR10" s="92"/>
      <c r="OS10" s="92"/>
      <c r="OT10" s="92"/>
      <c r="OU10" s="92"/>
      <c r="OV10" s="92"/>
      <c r="OW10" s="92"/>
      <c r="OX10" s="92"/>
      <c r="OY10" s="92"/>
      <c r="OZ10" s="92"/>
      <c r="PA10" s="92"/>
      <c r="PB10" s="92"/>
      <c r="PC10" s="92"/>
      <c r="PD10" s="92"/>
      <c r="PE10" s="92"/>
      <c r="PF10" s="92"/>
      <c r="PG10" s="92"/>
      <c r="PH10" s="92"/>
      <c r="PI10" s="92"/>
      <c r="PJ10" s="92"/>
      <c r="PK10" s="92"/>
      <c r="PL10" s="92"/>
      <c r="PM10" s="92"/>
      <c r="PN10" s="92"/>
      <c r="PO10" s="92"/>
      <c r="PP10" s="92"/>
      <c r="PQ10" s="92"/>
      <c r="PR10" s="92"/>
      <c r="PS10" s="92"/>
      <c r="PT10" s="92"/>
      <c r="PU10" s="92"/>
      <c r="PV10" s="92"/>
      <c r="PW10" s="92"/>
      <c r="PX10" s="92"/>
      <c r="PY10" s="92"/>
      <c r="PZ10" s="92"/>
      <c r="QA10" s="92"/>
      <c r="QB10" s="92"/>
      <c r="QC10" s="92"/>
      <c r="QD10" s="92"/>
      <c r="QE10" s="92"/>
      <c r="QF10" s="92"/>
      <c r="QG10" s="92"/>
      <c r="QH10" s="92"/>
      <c r="QI10" s="92"/>
      <c r="QJ10" s="92"/>
      <c r="QK10" s="92"/>
      <c r="QL10" s="92"/>
      <c r="QM10" s="92"/>
      <c r="QN10" s="92"/>
      <c r="QO10" s="92"/>
      <c r="QP10" s="92"/>
      <c r="QQ10" s="92"/>
      <c r="QR10" s="92"/>
      <c r="QS10" s="92"/>
      <c r="QT10" s="92"/>
      <c r="QU10" s="92"/>
      <c r="QV10" s="92"/>
      <c r="QW10" s="92"/>
      <c r="QX10" s="92"/>
      <c r="QY10" s="92"/>
    </row>
    <row r="11" spans="1:467" ht="20.100000000000001" customHeight="1">
      <c r="A11" s="461"/>
      <c r="B11" s="486" t="s">
        <v>187</v>
      </c>
      <c r="C11" s="462">
        <f t="shared" si="4"/>
        <v>0</v>
      </c>
      <c r="D11" s="462">
        <f t="shared" si="5"/>
        <v>0</v>
      </c>
      <c r="E11" s="462">
        <f t="shared" si="1"/>
        <v>1.454606009251479</v>
      </c>
      <c r="F11" s="470">
        <f t="shared" si="6"/>
        <v>1.454606009251479</v>
      </c>
      <c r="G11" s="461"/>
      <c r="H11" s="462">
        <f t="shared" si="2"/>
        <v>0</v>
      </c>
      <c r="I11" s="461"/>
      <c r="J11" s="483"/>
      <c r="K11" s="697" t="s">
        <v>418</v>
      </c>
      <c r="L11" s="465"/>
      <c r="M11" s="465"/>
      <c r="N11" s="465"/>
      <c r="O11" s="493"/>
      <c r="P11" s="492"/>
      <c r="Q11" s="487"/>
      <c r="R11" s="564"/>
      <c r="S11" s="567" t="s">
        <v>918</v>
      </c>
      <c r="T11" s="369">
        <v>35890.707609000005</v>
      </c>
      <c r="U11" s="565">
        <f t="shared" si="3"/>
        <v>0.12111394326705968</v>
      </c>
      <c r="V11" s="370">
        <v>0</v>
      </c>
      <c r="W11" s="593">
        <v>0</v>
      </c>
      <c r="AA11" s="570"/>
      <c r="AB11" s="565">
        <f t="shared" si="0"/>
        <v>0</v>
      </c>
      <c r="AC11" s="93"/>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2"/>
      <c r="HE11" s="92"/>
      <c r="HF11" s="92"/>
      <c r="HG11" s="92"/>
      <c r="HH11" s="92"/>
      <c r="HI11" s="92"/>
      <c r="HJ11" s="92"/>
      <c r="HK11" s="92"/>
      <c r="HL11" s="92"/>
      <c r="HM11" s="92"/>
      <c r="HN11" s="92"/>
      <c r="HO11" s="92"/>
      <c r="HP11" s="92"/>
      <c r="HQ11" s="92"/>
      <c r="HR11" s="92"/>
      <c r="HS11" s="92"/>
      <c r="HT11" s="92"/>
      <c r="HU11" s="92"/>
      <c r="HV11" s="92"/>
      <c r="HW11" s="92"/>
      <c r="HX11" s="92"/>
      <c r="HY11" s="92"/>
      <c r="HZ11" s="92"/>
      <c r="IA11" s="92"/>
      <c r="IB11" s="92"/>
      <c r="IC11" s="92"/>
      <c r="ID11" s="92"/>
      <c r="IE11" s="92"/>
      <c r="IF11" s="92"/>
      <c r="IG11" s="92"/>
      <c r="IH11" s="92"/>
      <c r="II11" s="92"/>
      <c r="IJ11" s="92"/>
      <c r="IK11" s="92"/>
      <c r="IL11" s="92"/>
      <c r="IM11" s="92"/>
      <c r="IN11" s="92"/>
      <c r="IO11" s="92"/>
      <c r="IP11" s="92"/>
      <c r="IQ11" s="92"/>
      <c r="IR11" s="92"/>
      <c r="IS11" s="92"/>
      <c r="IT11" s="92"/>
      <c r="IU11" s="92"/>
      <c r="IV11" s="92"/>
      <c r="IW11" s="92"/>
      <c r="IX11" s="92"/>
      <c r="IY11" s="92"/>
      <c r="IZ11" s="92"/>
      <c r="JA11" s="92"/>
      <c r="JB11" s="92"/>
      <c r="JC11" s="92"/>
      <c r="JD11" s="92"/>
      <c r="JE11" s="92"/>
      <c r="JF11" s="92"/>
      <c r="JG11" s="92"/>
      <c r="JH11" s="92"/>
      <c r="JI11" s="92"/>
      <c r="JJ11" s="92"/>
      <c r="JK11" s="92"/>
      <c r="JL11" s="92"/>
      <c r="JM11" s="92"/>
      <c r="JN11" s="92"/>
      <c r="JO11" s="92"/>
      <c r="JP11" s="92"/>
      <c r="JQ11" s="92"/>
      <c r="JR11" s="92"/>
      <c r="JS11" s="92"/>
      <c r="JT11" s="92"/>
      <c r="JU11" s="92"/>
      <c r="JV11" s="92"/>
      <c r="JW11" s="92"/>
      <c r="JX11" s="92"/>
      <c r="JY11" s="92"/>
      <c r="JZ11" s="92"/>
      <c r="KA11" s="92"/>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2"/>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2"/>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2"/>
      <c r="MY11" s="92"/>
      <c r="MZ11" s="92"/>
      <c r="NA11" s="92"/>
      <c r="NB11" s="92"/>
      <c r="NC11" s="92"/>
      <c r="ND11" s="92"/>
      <c r="NE11" s="92"/>
      <c r="NF11" s="92"/>
      <c r="NG11" s="92"/>
      <c r="NH11" s="92"/>
      <c r="NI11" s="92"/>
      <c r="NJ11" s="92"/>
      <c r="NK11" s="92"/>
      <c r="NL11" s="92"/>
      <c r="NM11" s="92"/>
      <c r="NN11" s="92"/>
      <c r="NO11" s="92"/>
      <c r="NP11" s="92"/>
      <c r="NQ11" s="92"/>
      <c r="NR11" s="92"/>
      <c r="NS11" s="92"/>
      <c r="NT11" s="92"/>
      <c r="NU11" s="92"/>
      <c r="NV11" s="92"/>
      <c r="NW11" s="92"/>
      <c r="NX11" s="92"/>
      <c r="NY11" s="92"/>
      <c r="NZ11" s="92"/>
      <c r="OA11" s="92"/>
      <c r="OB11" s="92"/>
      <c r="OC11" s="92"/>
      <c r="OD11" s="92"/>
      <c r="OE11" s="92"/>
      <c r="OF11" s="92"/>
      <c r="OG11" s="92"/>
      <c r="OH11" s="92"/>
      <c r="OI11" s="92"/>
      <c r="OJ11" s="92"/>
      <c r="OK11" s="92"/>
      <c r="OL11" s="92"/>
      <c r="OM11" s="92"/>
      <c r="ON11" s="92"/>
      <c r="OO11" s="92"/>
      <c r="OP11" s="92"/>
      <c r="OQ11" s="92"/>
      <c r="OR11" s="92"/>
      <c r="OS11" s="92"/>
      <c r="OT11" s="92"/>
      <c r="OU11" s="92"/>
      <c r="OV11" s="92"/>
      <c r="OW11" s="92"/>
      <c r="OX11" s="92"/>
      <c r="OY11" s="92"/>
      <c r="OZ11" s="92"/>
      <c r="PA11" s="92"/>
      <c r="PB11" s="92"/>
      <c r="PC11" s="92"/>
      <c r="PD11" s="92"/>
      <c r="PE11" s="92"/>
      <c r="PF11" s="92"/>
      <c r="PG11" s="92"/>
      <c r="PH11" s="92"/>
      <c r="PI11" s="92"/>
      <c r="PJ11" s="92"/>
      <c r="PK11" s="92"/>
      <c r="PL11" s="92"/>
      <c r="PM11" s="92"/>
      <c r="PN11" s="92"/>
      <c r="PO11" s="92"/>
      <c r="PP11" s="92"/>
      <c r="PQ11" s="92"/>
      <c r="PR11" s="92"/>
      <c r="PS11" s="92"/>
      <c r="PT11" s="92"/>
      <c r="PU11" s="92"/>
      <c r="PV11" s="92"/>
      <c r="PW11" s="92"/>
      <c r="PX11" s="92"/>
      <c r="PY11" s="92"/>
      <c r="PZ11" s="92"/>
      <c r="QA11" s="92"/>
      <c r="QB11" s="92"/>
      <c r="QC11" s="92"/>
      <c r="QD11" s="92"/>
      <c r="QE11" s="92"/>
      <c r="QF11" s="92"/>
      <c r="QG11" s="92"/>
      <c r="QH11" s="92"/>
      <c r="QI11" s="92"/>
      <c r="QJ11" s="92"/>
      <c r="QK11" s="92"/>
      <c r="QL11" s="92"/>
      <c r="QM11" s="92"/>
      <c r="QN11" s="92"/>
      <c r="QO11" s="92"/>
      <c r="QP11" s="92"/>
      <c r="QQ11" s="92"/>
      <c r="QR11" s="92"/>
      <c r="QS11" s="92"/>
      <c r="QT11" s="92"/>
      <c r="QU11" s="92"/>
      <c r="QV11" s="92"/>
      <c r="QW11" s="92"/>
      <c r="QX11" s="92"/>
      <c r="QY11" s="92"/>
    </row>
    <row r="12" spans="1:467" ht="20.100000000000001" customHeight="1">
      <c r="A12" s="461"/>
      <c r="B12" s="486" t="s">
        <v>222</v>
      </c>
      <c r="C12" s="589">
        <f>L5</f>
        <v>339.90100000000001</v>
      </c>
      <c r="D12" s="586">
        <v>0</v>
      </c>
      <c r="E12" s="462">
        <f t="shared" si="1"/>
        <v>4.4243572746439863</v>
      </c>
      <c r="F12" s="470">
        <f t="shared" si="6"/>
        <v>344.32535727464398</v>
      </c>
      <c r="G12" s="461"/>
      <c r="H12" s="462">
        <f t="shared" si="2"/>
        <v>0</v>
      </c>
      <c r="I12" s="461"/>
      <c r="J12" s="462"/>
      <c r="K12" s="698"/>
      <c r="L12" s="494">
        <v>81644.301000000007</v>
      </c>
      <c r="M12" s="494">
        <v>30179.153518082265</v>
      </c>
      <c r="N12" s="494">
        <v>1387.2729999999999</v>
      </c>
      <c r="O12" s="495">
        <f>SUM(L12:N12)</f>
        <v>113210.72751808228</v>
      </c>
      <c r="P12" s="496"/>
      <c r="Q12" s="497"/>
      <c r="R12" s="564"/>
      <c r="S12" s="567" t="s">
        <v>553</v>
      </c>
      <c r="T12" s="369">
        <v>153205.53724080071</v>
      </c>
      <c r="U12" s="565">
        <f t="shared" si="3"/>
        <v>0.51699528880084766</v>
      </c>
      <c r="V12" s="370">
        <f>T12</f>
        <v>153205.53724080071</v>
      </c>
      <c r="W12" s="593">
        <f>T12</f>
        <v>153205.53724080071</v>
      </c>
      <c r="AA12" s="570">
        <f>T12</f>
        <v>153205.53724080071</v>
      </c>
      <c r="AB12" s="565">
        <f t="shared" si="0"/>
        <v>0.73292012820740338</v>
      </c>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2"/>
      <c r="FV12" s="92"/>
      <c r="FW12" s="92"/>
      <c r="FX12" s="92"/>
      <c r="FY12" s="92"/>
      <c r="FZ12" s="92"/>
      <c r="GA12" s="92"/>
      <c r="GB12" s="92"/>
      <c r="GC12" s="92"/>
      <c r="GD12" s="92"/>
      <c r="GE12" s="92"/>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2"/>
      <c r="HE12" s="92"/>
      <c r="HF12" s="92"/>
      <c r="HG12" s="92"/>
      <c r="HH12" s="92"/>
      <c r="HI12" s="92"/>
      <c r="HJ12" s="92"/>
      <c r="HK12" s="92"/>
      <c r="HL12" s="92"/>
      <c r="HM12" s="92"/>
      <c r="HN12" s="92"/>
      <c r="HO12" s="92"/>
      <c r="HP12" s="92"/>
      <c r="HQ12" s="92"/>
      <c r="HR12" s="92"/>
      <c r="HS12" s="92"/>
      <c r="HT12" s="92"/>
      <c r="HU12" s="92"/>
      <c r="HV12" s="92"/>
      <c r="HW12" s="92"/>
      <c r="HX12" s="92"/>
      <c r="HY12" s="92"/>
      <c r="HZ12" s="92"/>
      <c r="IA12" s="92"/>
      <c r="IB12" s="92"/>
      <c r="IC12" s="92"/>
      <c r="ID12" s="92"/>
      <c r="IE12" s="92"/>
      <c r="IF12" s="92"/>
      <c r="IG12" s="92"/>
      <c r="IH12" s="92"/>
      <c r="II12" s="92"/>
      <c r="IJ12" s="92"/>
      <c r="IK12" s="92"/>
      <c r="IL12" s="92"/>
      <c r="IM12" s="92"/>
      <c r="IN12" s="92"/>
      <c r="IO12" s="92"/>
      <c r="IP12" s="92"/>
      <c r="IQ12" s="92"/>
      <c r="IR12" s="92"/>
      <c r="IS12" s="92"/>
      <c r="IT12" s="92"/>
      <c r="IU12" s="92"/>
      <c r="IV12" s="92"/>
      <c r="IW12" s="92"/>
      <c r="IX12" s="92"/>
      <c r="IY12" s="92"/>
      <c r="IZ12" s="92"/>
      <c r="JA12" s="92"/>
      <c r="JB12" s="92"/>
      <c r="JC12" s="92"/>
      <c r="JD12" s="92"/>
      <c r="JE12" s="92"/>
      <c r="JF12" s="92"/>
      <c r="JG12" s="92"/>
      <c r="JH12" s="92"/>
      <c r="JI12" s="92"/>
      <c r="JJ12" s="92"/>
      <c r="JK12" s="92"/>
      <c r="JL12" s="92"/>
      <c r="JM12" s="92"/>
      <c r="JN12" s="92"/>
      <c r="JO12" s="92"/>
      <c r="JP12" s="92"/>
      <c r="JQ12" s="92"/>
      <c r="JR12" s="92"/>
      <c r="JS12" s="92"/>
      <c r="JT12" s="92"/>
      <c r="JU12" s="92"/>
      <c r="JV12" s="92"/>
      <c r="JW12" s="92"/>
      <c r="JX12" s="92"/>
      <c r="JY12" s="92"/>
      <c r="JZ12" s="92"/>
      <c r="KA12" s="92"/>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2"/>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2"/>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2"/>
      <c r="MY12" s="92"/>
      <c r="MZ12" s="92"/>
      <c r="NA12" s="92"/>
      <c r="NB12" s="92"/>
      <c r="NC12" s="92"/>
      <c r="ND12" s="92"/>
      <c r="NE12" s="92"/>
      <c r="NF12" s="92"/>
      <c r="NG12" s="92"/>
      <c r="NH12" s="92"/>
      <c r="NI12" s="92"/>
      <c r="NJ12" s="92"/>
      <c r="NK12" s="92"/>
      <c r="NL12" s="92"/>
      <c r="NM12" s="92"/>
      <c r="NN12" s="92"/>
      <c r="NO12" s="92"/>
      <c r="NP12" s="92"/>
      <c r="NQ12" s="92"/>
      <c r="NR12" s="92"/>
      <c r="NS12" s="92"/>
      <c r="NT12" s="92"/>
      <c r="NU12" s="92"/>
      <c r="NV12" s="92"/>
      <c r="NW12" s="92"/>
      <c r="NX12" s="92"/>
      <c r="NY12" s="92"/>
      <c r="NZ12" s="92"/>
      <c r="OA12" s="92"/>
      <c r="OB12" s="92"/>
      <c r="OC12" s="92"/>
      <c r="OD12" s="92"/>
      <c r="OE12" s="92"/>
      <c r="OF12" s="92"/>
      <c r="OG12" s="92"/>
      <c r="OH12" s="92"/>
      <c r="OI12" s="92"/>
      <c r="OJ12" s="92"/>
      <c r="OK12" s="92"/>
      <c r="OL12" s="92"/>
      <c r="OM12" s="92"/>
      <c r="ON12" s="92"/>
      <c r="OO12" s="92"/>
      <c r="OP12" s="92"/>
      <c r="OQ12" s="92"/>
      <c r="OR12" s="92"/>
      <c r="OS12" s="92"/>
      <c r="OT12" s="92"/>
      <c r="OU12" s="92"/>
      <c r="OV12" s="92"/>
      <c r="OW12" s="92"/>
      <c r="OX12" s="92"/>
      <c r="OY12" s="92"/>
      <c r="OZ12" s="92"/>
      <c r="PA12" s="92"/>
      <c r="PB12" s="92"/>
      <c r="PC12" s="92"/>
      <c r="PD12" s="92"/>
      <c r="PE12" s="92"/>
      <c r="PF12" s="92"/>
      <c r="PG12" s="92"/>
      <c r="PH12" s="92"/>
      <c r="PI12" s="92"/>
      <c r="PJ12" s="92"/>
      <c r="PK12" s="92"/>
      <c r="PL12" s="92"/>
      <c r="PM12" s="92"/>
      <c r="PN12" s="92"/>
      <c r="PO12" s="92"/>
      <c r="PP12" s="92"/>
      <c r="PQ12" s="92"/>
      <c r="PR12" s="92"/>
      <c r="PS12" s="92"/>
      <c r="PT12" s="92"/>
      <c r="PU12" s="92"/>
      <c r="PV12" s="92"/>
      <c r="PW12" s="92"/>
      <c r="PX12" s="92"/>
      <c r="PY12" s="92"/>
      <c r="PZ12" s="92"/>
      <c r="QA12" s="92"/>
      <c r="QB12" s="92"/>
      <c r="QC12" s="92"/>
      <c r="QD12" s="92"/>
      <c r="QE12" s="92"/>
      <c r="QF12" s="92"/>
      <c r="QG12" s="92"/>
      <c r="QH12" s="92"/>
      <c r="QI12" s="92"/>
      <c r="QJ12" s="92"/>
      <c r="QK12" s="92"/>
      <c r="QL12" s="92"/>
      <c r="QM12" s="92"/>
      <c r="QN12" s="92"/>
      <c r="QO12" s="92"/>
      <c r="QP12" s="92"/>
      <c r="QQ12" s="92"/>
      <c r="QR12" s="92"/>
      <c r="QS12" s="92"/>
      <c r="QT12" s="92"/>
      <c r="QU12" s="92"/>
      <c r="QV12" s="92"/>
      <c r="QW12" s="92"/>
      <c r="QX12" s="92"/>
      <c r="QY12" s="92"/>
    </row>
    <row r="13" spans="1:467" ht="20.100000000000001" customHeight="1">
      <c r="A13" s="461"/>
      <c r="B13" s="498" t="s">
        <v>224</v>
      </c>
      <c r="C13" s="462">
        <f>$L$6*V12/$V$15</f>
        <v>361.71133899901304</v>
      </c>
      <c r="D13" s="462">
        <f>$M$4*W12/$W$15</f>
        <v>1274.2826437984406</v>
      </c>
      <c r="E13" s="462">
        <f t="shared" si="1"/>
        <v>18.886115052161905</v>
      </c>
      <c r="F13" s="470">
        <f t="shared" si="6"/>
        <v>1654.8800978496154</v>
      </c>
      <c r="G13" s="461"/>
      <c r="H13" s="462">
        <f t="shared" si="2"/>
        <v>0</v>
      </c>
      <c r="I13" s="461"/>
      <c r="J13" s="462"/>
      <c r="K13" s="499"/>
      <c r="L13" s="500"/>
      <c r="M13" s="500"/>
      <c r="N13" s="500"/>
      <c r="O13" s="501"/>
      <c r="P13" s="501"/>
      <c r="Q13" s="497"/>
      <c r="R13" s="564"/>
      <c r="S13" s="567" t="s">
        <v>322</v>
      </c>
      <c r="T13" s="369">
        <v>2226.4822350999998</v>
      </c>
      <c r="U13" s="565">
        <f t="shared" si="3"/>
        <v>7.5133108559664562E-3</v>
      </c>
      <c r="V13" s="370">
        <f>T13</f>
        <v>2226.4822350999998</v>
      </c>
      <c r="W13" s="593">
        <v>0</v>
      </c>
      <c r="AA13" s="570">
        <f>T13</f>
        <v>2226.4822350999998</v>
      </c>
      <c r="AB13" s="565">
        <f t="shared" si="0"/>
        <v>1.0651270669389477E-2</v>
      </c>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2"/>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2"/>
      <c r="FV13" s="92"/>
      <c r="FW13" s="92"/>
      <c r="FX13" s="92"/>
      <c r="FY13" s="92"/>
      <c r="FZ13" s="92"/>
      <c r="GA13" s="92"/>
      <c r="GB13" s="92"/>
      <c r="GC13" s="92"/>
      <c r="GD13" s="92"/>
      <c r="GE13" s="92"/>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2"/>
      <c r="HE13" s="92"/>
      <c r="HF13" s="92"/>
      <c r="HG13" s="92"/>
      <c r="HH13" s="92"/>
      <c r="HI13" s="92"/>
      <c r="HJ13" s="92"/>
      <c r="HK13" s="92"/>
      <c r="HL13" s="92"/>
      <c r="HM13" s="92"/>
      <c r="HN13" s="92"/>
      <c r="HO13" s="92"/>
      <c r="HP13" s="92"/>
      <c r="HQ13" s="92"/>
      <c r="HR13" s="92"/>
      <c r="HS13" s="92"/>
      <c r="HT13" s="92"/>
      <c r="HU13" s="92"/>
      <c r="HV13" s="92"/>
      <c r="HW13" s="92"/>
      <c r="HX13" s="92"/>
      <c r="HY13" s="92"/>
      <c r="HZ13" s="92"/>
      <c r="IA13" s="92"/>
      <c r="IB13" s="92"/>
      <c r="IC13" s="92"/>
      <c r="ID13" s="92"/>
      <c r="IE13" s="92"/>
      <c r="IF13" s="92"/>
      <c r="IG13" s="92"/>
      <c r="IH13" s="92"/>
      <c r="II13" s="92"/>
      <c r="IJ13" s="92"/>
      <c r="IK13" s="92"/>
      <c r="IL13" s="92"/>
      <c r="IM13" s="92"/>
      <c r="IN13" s="92"/>
      <c r="IO13" s="92"/>
      <c r="IP13" s="92"/>
      <c r="IQ13" s="92"/>
      <c r="IR13" s="92"/>
      <c r="IS13" s="92"/>
      <c r="IT13" s="92"/>
      <c r="IU13" s="92"/>
      <c r="IV13" s="92"/>
      <c r="IW13" s="92"/>
      <c r="IX13" s="92"/>
      <c r="IY13" s="92"/>
      <c r="IZ13" s="92"/>
      <c r="JA13" s="92"/>
      <c r="JB13" s="92"/>
      <c r="JC13" s="92"/>
      <c r="JD13" s="92"/>
      <c r="JE13" s="92"/>
      <c r="JF13" s="92"/>
      <c r="JG13" s="92"/>
      <c r="JH13" s="92"/>
      <c r="JI13" s="92"/>
      <c r="JJ13" s="92"/>
      <c r="JK13" s="92"/>
      <c r="JL13" s="92"/>
      <c r="JM13" s="92"/>
      <c r="JN13" s="92"/>
      <c r="JO13" s="92"/>
      <c r="JP13" s="92"/>
      <c r="JQ13" s="92"/>
      <c r="JR13" s="92"/>
      <c r="JS13" s="92"/>
      <c r="JT13" s="92"/>
      <c r="JU13" s="92"/>
      <c r="JV13" s="92"/>
      <c r="JW13" s="92"/>
      <c r="JX13" s="92"/>
      <c r="JY13" s="92"/>
      <c r="JZ13" s="92"/>
      <c r="KA13" s="92"/>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2"/>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2"/>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2"/>
      <c r="MY13" s="92"/>
      <c r="MZ13" s="92"/>
      <c r="NA13" s="92"/>
      <c r="NB13" s="92"/>
      <c r="NC13" s="92"/>
      <c r="ND13" s="92"/>
      <c r="NE13" s="92"/>
      <c r="NF13" s="92"/>
      <c r="NG13" s="92"/>
      <c r="NH13" s="92"/>
      <c r="NI13" s="92"/>
      <c r="NJ13" s="92"/>
      <c r="NK13" s="92"/>
      <c r="NL13" s="92"/>
      <c r="NM13" s="92"/>
      <c r="NN13" s="92"/>
      <c r="NO13" s="92"/>
      <c r="NP13" s="92"/>
      <c r="NQ13" s="92"/>
      <c r="NR13" s="92"/>
      <c r="NS13" s="92"/>
      <c r="NT13" s="92"/>
      <c r="NU13" s="92"/>
      <c r="NV13" s="92"/>
      <c r="NW13" s="92"/>
      <c r="NX13" s="92"/>
      <c r="NY13" s="92"/>
      <c r="NZ13" s="92"/>
      <c r="OA13" s="92"/>
      <c r="OB13" s="92"/>
      <c r="OC13" s="92"/>
      <c r="OD13" s="92"/>
      <c r="OE13" s="92"/>
      <c r="OF13" s="92"/>
      <c r="OG13" s="92"/>
      <c r="OH13" s="92"/>
      <c r="OI13" s="92"/>
      <c r="OJ13" s="92"/>
      <c r="OK13" s="92"/>
      <c r="OL13" s="92"/>
      <c r="OM13" s="92"/>
      <c r="ON13" s="92"/>
      <c r="OO13" s="92"/>
      <c r="OP13" s="92"/>
      <c r="OQ13" s="92"/>
      <c r="OR13" s="92"/>
      <c r="OS13" s="92"/>
      <c r="OT13" s="92"/>
      <c r="OU13" s="92"/>
      <c r="OV13" s="92"/>
      <c r="OW13" s="92"/>
      <c r="OX13" s="92"/>
      <c r="OY13" s="92"/>
      <c r="OZ13" s="92"/>
      <c r="PA13" s="92"/>
      <c r="PB13" s="92"/>
      <c r="PC13" s="92"/>
      <c r="PD13" s="92"/>
      <c r="PE13" s="92"/>
      <c r="PF13" s="92"/>
      <c r="PG13" s="92"/>
      <c r="PH13" s="92"/>
      <c r="PI13" s="92"/>
      <c r="PJ13" s="92"/>
      <c r="PK13" s="92"/>
      <c r="PL13" s="92"/>
      <c r="PM13" s="92"/>
      <c r="PN13" s="92"/>
      <c r="PO13" s="92"/>
      <c r="PP13" s="92"/>
      <c r="PQ13" s="92"/>
      <c r="PR13" s="92"/>
      <c r="PS13" s="92"/>
      <c r="PT13" s="92"/>
      <c r="PU13" s="92"/>
      <c r="PV13" s="92"/>
      <c r="PW13" s="92"/>
      <c r="PX13" s="92"/>
      <c r="PY13" s="92"/>
      <c r="PZ13" s="92"/>
      <c r="QA13" s="92"/>
      <c r="QB13" s="92"/>
      <c r="QC13" s="92"/>
      <c r="QD13" s="92"/>
      <c r="QE13" s="92"/>
      <c r="QF13" s="92"/>
      <c r="QG13" s="92"/>
      <c r="QH13" s="92"/>
      <c r="QI13" s="92"/>
      <c r="QJ13" s="92"/>
      <c r="QK13" s="92"/>
      <c r="QL13" s="92"/>
      <c r="QM13" s="92"/>
      <c r="QN13" s="92"/>
      <c r="QO13" s="92"/>
      <c r="QP13" s="92"/>
      <c r="QQ13" s="92"/>
      <c r="QR13" s="92"/>
      <c r="QS13" s="92"/>
      <c r="QT13" s="92"/>
      <c r="QU13" s="92"/>
      <c r="QV13" s="92"/>
      <c r="QW13" s="92"/>
      <c r="QX13" s="92"/>
      <c r="QY13" s="92"/>
    </row>
    <row r="14" spans="1:467" ht="20.100000000000001" customHeight="1">
      <c r="A14" s="461"/>
      <c r="B14" s="498" t="s">
        <v>223</v>
      </c>
      <c r="C14" s="462">
        <f>$L$6*V13/$V$15</f>
        <v>5.2566237814873338</v>
      </c>
      <c r="D14" s="592">
        <f>$M$4*W13/$W$15</f>
        <v>0</v>
      </c>
      <c r="E14" s="462">
        <f t="shared" si="1"/>
        <v>0.27446527332495663</v>
      </c>
      <c r="F14" s="470">
        <f t="shared" si="6"/>
        <v>5.5310890548122904</v>
      </c>
      <c r="G14" s="461"/>
      <c r="H14" s="462">
        <f t="shared" si="2"/>
        <v>0</v>
      </c>
      <c r="I14" s="461"/>
      <c r="J14" s="462"/>
      <c r="K14" s="461"/>
      <c r="L14" s="461"/>
      <c r="M14" s="461"/>
      <c r="N14" s="461"/>
      <c r="O14" s="461"/>
      <c r="P14" s="461"/>
      <c r="Q14" s="465"/>
      <c r="R14" s="564"/>
      <c r="S14" s="567" t="s">
        <v>554</v>
      </c>
      <c r="T14" s="369">
        <v>51376.688963899986</v>
      </c>
      <c r="U14" s="565">
        <f t="shared" si="3"/>
        <v>0.17337171114628033</v>
      </c>
      <c r="V14" s="370">
        <f>T14</f>
        <v>51376.688963899986</v>
      </c>
      <c r="W14" s="593">
        <v>0</v>
      </c>
      <c r="AA14" s="570">
        <f>T14</f>
        <v>51376.688963899986</v>
      </c>
      <c r="AB14" s="565">
        <f t="shared" si="0"/>
        <v>0.24578099552047669</v>
      </c>
      <c r="AC14" s="92"/>
      <c r="AD14" s="92"/>
      <c r="AE14" s="92"/>
      <c r="AF14" s="92"/>
      <c r="AG14" s="92"/>
      <c r="AH14" s="92"/>
      <c r="AI14" s="92"/>
      <c r="AJ14" s="92"/>
      <c r="AK14" s="92"/>
      <c r="AL14" s="92"/>
      <c r="AM14" s="92"/>
      <c r="AN14" s="92"/>
      <c r="AO14" s="92"/>
      <c r="AP14" s="92"/>
      <c r="AQ14" s="92"/>
      <c r="AR14" s="92"/>
      <c r="AS14" s="92"/>
      <c r="AT14" s="92"/>
      <c r="AU14" s="92"/>
      <c r="AV14" s="92"/>
      <c r="AW14" s="92"/>
      <c r="AX14" s="92"/>
      <c r="AY14" s="92"/>
      <c r="AZ14" s="92"/>
      <c r="BA14" s="92"/>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2"/>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2"/>
      <c r="CZ14" s="92"/>
      <c r="DA14" s="92"/>
      <c r="DB14" s="92"/>
      <c r="DC14" s="92"/>
      <c r="DD14" s="92"/>
      <c r="DE14" s="92"/>
      <c r="DF14" s="92"/>
      <c r="DG14" s="92"/>
      <c r="DH14" s="92"/>
      <c r="DI14" s="92"/>
      <c r="DJ14" s="92"/>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2"/>
      <c r="FV14" s="92"/>
      <c r="FW14" s="92"/>
      <c r="FX14" s="92"/>
      <c r="FY14" s="92"/>
      <c r="FZ14" s="92"/>
      <c r="GA14" s="92"/>
      <c r="GB14" s="92"/>
      <c r="GC14" s="92"/>
      <c r="GD14" s="92"/>
      <c r="GE14" s="92"/>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2"/>
      <c r="HE14" s="92"/>
      <c r="HF14" s="92"/>
      <c r="HG14" s="92"/>
      <c r="HH14" s="92"/>
      <c r="HI14" s="92"/>
      <c r="HJ14" s="92"/>
      <c r="HK14" s="92"/>
      <c r="HL14" s="92"/>
      <c r="HM14" s="92"/>
      <c r="HN14" s="92"/>
      <c r="HO14" s="92"/>
      <c r="HP14" s="92"/>
      <c r="HQ14" s="92"/>
      <c r="HR14" s="92"/>
      <c r="HS14" s="92"/>
      <c r="HT14" s="92"/>
      <c r="HU14" s="92"/>
      <c r="HV14" s="92"/>
      <c r="HW14" s="92"/>
      <c r="HX14" s="92"/>
      <c r="HY14" s="92"/>
      <c r="HZ14" s="92"/>
      <c r="IA14" s="92"/>
      <c r="IB14" s="92"/>
      <c r="IC14" s="92"/>
      <c r="ID14" s="92"/>
      <c r="IE14" s="92"/>
      <c r="IF14" s="92"/>
      <c r="IG14" s="92"/>
      <c r="IH14" s="92"/>
      <c r="II14" s="92"/>
      <c r="IJ14" s="92"/>
      <c r="IK14" s="92"/>
      <c r="IL14" s="92"/>
      <c r="IM14" s="92"/>
      <c r="IN14" s="92"/>
      <c r="IO14" s="92"/>
      <c r="IP14" s="92"/>
      <c r="IQ14" s="92"/>
      <c r="IR14" s="92"/>
      <c r="IS14" s="92"/>
      <c r="IT14" s="92"/>
      <c r="IU14" s="92"/>
      <c r="IV14" s="92"/>
      <c r="IW14" s="92"/>
      <c r="IX14" s="92"/>
      <c r="IY14" s="92"/>
      <c r="IZ14" s="92"/>
      <c r="JA14" s="92"/>
      <c r="JB14" s="92"/>
      <c r="JC14" s="92"/>
      <c r="JD14" s="92"/>
      <c r="JE14" s="92"/>
      <c r="JF14" s="92"/>
      <c r="JG14" s="92"/>
      <c r="JH14" s="92"/>
      <c r="JI14" s="92"/>
      <c r="JJ14" s="92"/>
      <c r="JK14" s="92"/>
      <c r="JL14" s="92"/>
      <c r="JM14" s="92"/>
      <c r="JN14" s="92"/>
      <c r="JO14" s="92"/>
      <c r="JP14" s="92"/>
      <c r="JQ14" s="92"/>
      <c r="JR14" s="92"/>
      <c r="JS14" s="92"/>
      <c r="JT14" s="92"/>
      <c r="JU14" s="92"/>
      <c r="JV14" s="92"/>
      <c r="JW14" s="92"/>
      <c r="JX14" s="92"/>
      <c r="JY14" s="92"/>
      <c r="JZ14" s="92"/>
      <c r="KA14" s="92"/>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2"/>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2"/>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2"/>
      <c r="MY14" s="92"/>
      <c r="MZ14" s="92"/>
      <c r="NA14" s="92"/>
      <c r="NB14" s="92"/>
      <c r="NC14" s="92"/>
      <c r="ND14" s="92"/>
      <c r="NE14" s="92"/>
      <c r="NF14" s="92"/>
      <c r="NG14" s="92"/>
      <c r="NH14" s="92"/>
      <c r="NI14" s="92"/>
      <c r="NJ14" s="92"/>
      <c r="NK14" s="92"/>
      <c r="NL14" s="92"/>
      <c r="NM14" s="92"/>
      <c r="NN14" s="92"/>
      <c r="NO14" s="92"/>
      <c r="NP14" s="92"/>
      <c r="NQ14" s="92"/>
      <c r="NR14" s="92"/>
      <c r="NS14" s="92"/>
      <c r="NT14" s="92"/>
      <c r="NU14" s="92"/>
      <c r="NV14" s="92"/>
      <c r="NW14" s="92"/>
      <c r="NX14" s="92"/>
      <c r="NY14" s="92"/>
      <c r="NZ14" s="92"/>
      <c r="OA14" s="92"/>
      <c r="OB14" s="92"/>
      <c r="OC14" s="92"/>
      <c r="OD14" s="92"/>
      <c r="OE14" s="92"/>
      <c r="OF14" s="92"/>
      <c r="OG14" s="92"/>
      <c r="OH14" s="92"/>
      <c r="OI14" s="92"/>
      <c r="OJ14" s="92"/>
      <c r="OK14" s="92"/>
      <c r="OL14" s="92"/>
      <c r="OM14" s="92"/>
      <c r="ON14" s="92"/>
      <c r="OO14" s="92"/>
      <c r="OP14" s="92"/>
      <c r="OQ14" s="92"/>
      <c r="OR14" s="92"/>
      <c r="OS14" s="92"/>
      <c r="OT14" s="92"/>
      <c r="OU14" s="92"/>
      <c r="OV14" s="92"/>
      <c r="OW14" s="92"/>
      <c r="OX14" s="92"/>
      <c r="OY14" s="92"/>
      <c r="OZ14" s="92"/>
      <c r="PA14" s="92"/>
      <c r="PB14" s="92"/>
      <c r="PC14" s="92"/>
      <c r="PD14" s="92"/>
      <c r="PE14" s="92"/>
      <c r="PF14" s="92"/>
      <c r="PG14" s="92"/>
      <c r="PH14" s="92"/>
      <c r="PI14" s="92"/>
      <c r="PJ14" s="92"/>
      <c r="PK14" s="92"/>
      <c r="PL14" s="92"/>
      <c r="PM14" s="92"/>
      <c r="PN14" s="92"/>
      <c r="PO14" s="92"/>
      <c r="PP14" s="92"/>
      <c r="PQ14" s="92"/>
      <c r="PR14" s="92"/>
      <c r="PS14" s="92"/>
      <c r="PT14" s="92"/>
      <c r="PU14" s="92"/>
      <c r="PV14" s="92"/>
      <c r="PW14" s="92"/>
      <c r="PX14" s="92"/>
      <c r="PY14" s="92"/>
      <c r="PZ14" s="92"/>
      <c r="QA14" s="92"/>
      <c r="QB14" s="92"/>
      <c r="QC14" s="92"/>
      <c r="QD14" s="92"/>
      <c r="QE14" s="92"/>
      <c r="QF14" s="92"/>
      <c r="QG14" s="92"/>
      <c r="QH14" s="92"/>
      <c r="QI14" s="92"/>
      <c r="QJ14" s="92"/>
      <c r="QK14" s="92"/>
      <c r="QL14" s="92"/>
      <c r="QM14" s="92"/>
      <c r="QN14" s="92"/>
      <c r="QO14" s="92"/>
      <c r="QP14" s="92"/>
      <c r="QQ14" s="92"/>
      <c r="QR14" s="92"/>
      <c r="QS14" s="92"/>
      <c r="QT14" s="92"/>
      <c r="QU14" s="92"/>
      <c r="QV14" s="92"/>
      <c r="QW14" s="92"/>
      <c r="QX14" s="92"/>
      <c r="QY14" s="92"/>
    </row>
    <row r="15" spans="1:467" ht="20.100000000000001" customHeight="1">
      <c r="A15" s="461"/>
      <c r="B15" s="486" t="s">
        <v>221</v>
      </c>
      <c r="C15" s="462">
        <f t="shared" ref="C15" si="7">$L$6*V14/$V$15</f>
        <v>121.29803721949962</v>
      </c>
      <c r="D15" s="592">
        <f t="shared" ref="D15" si="8">$M$4*W14/$W$15</f>
        <v>0</v>
      </c>
      <c r="E15" s="462">
        <f t="shared" si="1"/>
        <v>6.3333615497609204</v>
      </c>
      <c r="F15" s="470">
        <f t="shared" si="6"/>
        <v>127.63139876926054</v>
      </c>
      <c r="G15" s="461"/>
      <c r="H15" s="462">
        <f t="shared" si="2"/>
        <v>0</v>
      </c>
      <c r="I15" s="461"/>
      <c r="J15" s="462"/>
      <c r="K15" s="461"/>
      <c r="L15" s="461"/>
      <c r="M15" s="461"/>
      <c r="N15" s="461"/>
      <c r="O15" s="461"/>
      <c r="P15" s="461"/>
      <c r="Q15" s="501"/>
      <c r="R15" s="564"/>
      <c r="S15" s="569" t="s">
        <v>7</v>
      </c>
      <c r="T15" s="506">
        <f>SUM(T3:T14)</f>
        <v>296338.36237880535</v>
      </c>
      <c r="U15" s="506">
        <f>SUM(U3:U14)</f>
        <v>1</v>
      </c>
      <c r="V15" s="538">
        <f>SUM(V3:V14)</f>
        <v>206808.70843980071</v>
      </c>
      <c r="W15" s="506">
        <f>SUM(W3:W14)</f>
        <v>156741.14986773071</v>
      </c>
      <c r="AA15" s="506">
        <f>SUM(AA3:AA14)</f>
        <v>209034.42454980069</v>
      </c>
      <c r="AB15" s="506">
        <f>SUM(AB3:AB14)</f>
        <v>1</v>
      </c>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2"/>
      <c r="CZ15" s="92"/>
      <c r="DA15" s="92"/>
      <c r="DB15" s="92"/>
      <c r="DC15" s="92"/>
      <c r="DD15" s="92"/>
      <c r="DE15" s="92"/>
      <c r="DF15" s="92"/>
      <c r="DG15" s="92"/>
      <c r="DH15" s="92"/>
      <c r="DI15" s="92"/>
      <c r="DJ15" s="92"/>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2"/>
      <c r="FV15" s="92"/>
      <c r="FW15" s="92"/>
      <c r="FX15" s="92"/>
      <c r="FY15" s="92"/>
      <c r="FZ15" s="92"/>
      <c r="GA15" s="92"/>
      <c r="GB15" s="92"/>
      <c r="GC15" s="92"/>
      <c r="GD15" s="92"/>
      <c r="GE15" s="92"/>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2"/>
      <c r="HE15" s="92"/>
      <c r="HF15" s="92"/>
      <c r="HG15" s="92"/>
      <c r="HH15" s="92"/>
      <c r="HI15" s="92"/>
      <c r="HJ15" s="92"/>
      <c r="HK15" s="92"/>
      <c r="HL15" s="92"/>
      <c r="HM15" s="92"/>
      <c r="HN15" s="92"/>
      <c r="HO15" s="92"/>
      <c r="HP15" s="92"/>
      <c r="HQ15" s="92"/>
      <c r="HR15" s="92"/>
      <c r="HS15" s="92"/>
      <c r="HT15" s="92"/>
      <c r="HU15" s="92"/>
      <c r="HV15" s="92"/>
      <c r="HW15" s="92"/>
      <c r="HX15" s="92"/>
      <c r="HY15" s="92"/>
      <c r="HZ15" s="92"/>
      <c r="IA15" s="92"/>
      <c r="IB15" s="92"/>
      <c r="IC15" s="92"/>
      <c r="ID15" s="92"/>
      <c r="IE15" s="92"/>
      <c r="IF15" s="92"/>
      <c r="IG15" s="92"/>
      <c r="IH15" s="92"/>
      <c r="II15" s="92"/>
      <c r="IJ15" s="92"/>
      <c r="IK15" s="92"/>
      <c r="IL15" s="92"/>
      <c r="IM15" s="92"/>
      <c r="IN15" s="92"/>
      <c r="IO15" s="92"/>
      <c r="IP15" s="92"/>
      <c r="IQ15" s="92"/>
      <c r="IR15" s="92"/>
      <c r="IS15" s="92"/>
      <c r="IT15" s="92"/>
      <c r="IU15" s="92"/>
      <c r="IV15" s="92"/>
      <c r="IW15" s="92"/>
      <c r="IX15" s="92"/>
      <c r="IY15" s="92"/>
      <c r="IZ15" s="92"/>
      <c r="JA15" s="92"/>
      <c r="JB15" s="92"/>
      <c r="JC15" s="92"/>
      <c r="JD15" s="92"/>
      <c r="JE15" s="92"/>
      <c r="JF15" s="92"/>
      <c r="JG15" s="92"/>
      <c r="JH15" s="92"/>
      <c r="JI15" s="92"/>
      <c r="JJ15" s="92"/>
      <c r="JK15" s="92"/>
      <c r="JL15" s="92"/>
      <c r="JM15" s="92"/>
      <c r="JN15" s="92"/>
      <c r="JO15" s="92"/>
      <c r="JP15" s="92"/>
      <c r="JQ15" s="92"/>
      <c r="JR15" s="92"/>
      <c r="JS15" s="92"/>
      <c r="JT15" s="92"/>
      <c r="JU15" s="92"/>
      <c r="JV15" s="92"/>
      <c r="JW15" s="92"/>
      <c r="JX15" s="92"/>
      <c r="JY15" s="92"/>
      <c r="JZ15" s="92"/>
      <c r="KA15" s="92"/>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2"/>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2"/>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2"/>
      <c r="MY15" s="92"/>
      <c r="MZ15" s="92"/>
      <c r="NA15" s="92"/>
      <c r="NB15" s="92"/>
      <c r="NC15" s="92"/>
      <c r="ND15" s="92"/>
      <c r="NE15" s="92"/>
      <c r="NF15" s="92"/>
      <c r="NG15" s="92"/>
      <c r="NH15" s="92"/>
      <c r="NI15" s="92"/>
      <c r="NJ15" s="92"/>
      <c r="NK15" s="92"/>
      <c r="NL15" s="92"/>
      <c r="NM15" s="92"/>
      <c r="NN15" s="92"/>
      <c r="NO15" s="92"/>
      <c r="NP15" s="92"/>
      <c r="NQ15" s="92"/>
      <c r="NR15" s="92"/>
      <c r="NS15" s="92"/>
      <c r="NT15" s="92"/>
      <c r="NU15" s="92"/>
      <c r="NV15" s="92"/>
      <c r="NW15" s="92"/>
      <c r="NX15" s="92"/>
      <c r="NY15" s="92"/>
      <c r="NZ15" s="92"/>
      <c r="OA15" s="92"/>
      <c r="OB15" s="92"/>
      <c r="OC15" s="92"/>
      <c r="OD15" s="92"/>
      <c r="OE15" s="92"/>
      <c r="OF15" s="92"/>
      <c r="OG15" s="92"/>
      <c r="OH15" s="92"/>
      <c r="OI15" s="92"/>
      <c r="OJ15" s="92"/>
      <c r="OK15" s="92"/>
      <c r="OL15" s="92"/>
      <c r="OM15" s="92"/>
      <c r="ON15" s="92"/>
      <c r="OO15" s="92"/>
      <c r="OP15" s="92"/>
      <c r="OQ15" s="92"/>
      <c r="OR15" s="92"/>
      <c r="OS15" s="92"/>
      <c r="OT15" s="92"/>
      <c r="OU15" s="92"/>
      <c r="OV15" s="92"/>
      <c r="OW15" s="92"/>
      <c r="OX15" s="92"/>
      <c r="OY15" s="92"/>
      <c r="OZ15" s="92"/>
      <c r="PA15" s="92"/>
      <c r="PB15" s="92"/>
      <c r="PC15" s="92"/>
      <c r="PD15" s="92"/>
      <c r="PE15" s="92"/>
      <c r="PF15" s="92"/>
      <c r="PG15" s="92"/>
      <c r="PH15" s="92"/>
      <c r="PI15" s="92"/>
      <c r="PJ15" s="92"/>
      <c r="PK15" s="92"/>
      <c r="PL15" s="92"/>
      <c r="PM15" s="92"/>
      <c r="PN15" s="92"/>
      <c r="PO15" s="92"/>
      <c r="PP15" s="92"/>
      <c r="PQ15" s="92"/>
      <c r="PR15" s="92"/>
      <c r="PS15" s="92"/>
      <c r="PT15" s="92"/>
      <c r="PU15" s="92"/>
      <c r="PV15" s="92"/>
      <c r="PW15" s="92"/>
      <c r="PX15" s="92"/>
      <c r="PY15" s="92"/>
      <c r="PZ15" s="92"/>
      <c r="QA15" s="92"/>
      <c r="QB15" s="92"/>
      <c r="QC15" s="92"/>
      <c r="QD15" s="92"/>
      <c r="QE15" s="92"/>
      <c r="QF15" s="92"/>
      <c r="QG15" s="92"/>
      <c r="QH15" s="92"/>
      <c r="QI15" s="92"/>
      <c r="QJ15" s="92"/>
      <c r="QK15" s="92"/>
      <c r="QL15" s="92"/>
      <c r="QM15" s="92"/>
      <c r="QN15" s="92"/>
      <c r="QO15" s="92"/>
      <c r="QP15" s="92"/>
      <c r="QQ15" s="92"/>
      <c r="QR15" s="92"/>
      <c r="QS15" s="92"/>
      <c r="QT15" s="92"/>
      <c r="QU15" s="92"/>
      <c r="QV15" s="92"/>
      <c r="QW15" s="92"/>
      <c r="QX15" s="92"/>
      <c r="QY15" s="92"/>
    </row>
    <row r="16" spans="1:467" ht="20.100000000000001" customHeight="1">
      <c r="A16" s="461"/>
      <c r="B16" s="464" t="s">
        <v>7</v>
      </c>
      <c r="C16" s="502">
        <f>SUM(C4:C15)</f>
        <v>828.16699999999992</v>
      </c>
      <c r="D16" s="502">
        <f>SUM(D4:D15)</f>
        <v>1303.69</v>
      </c>
      <c r="E16" s="502">
        <f t="shared" ref="E16" si="9">SUM(E4:E15)</f>
        <v>36.530536082770865</v>
      </c>
      <c r="F16" s="470">
        <f t="shared" si="6"/>
        <v>2168.387536082771</v>
      </c>
      <c r="G16" s="461"/>
      <c r="H16" s="502">
        <f>SUM(H4:H15)</f>
        <v>60.542000000000002</v>
      </c>
      <c r="J16" s="462"/>
      <c r="K16" s="469"/>
      <c r="L16" s="469"/>
      <c r="M16" s="469"/>
      <c r="N16" s="469"/>
      <c r="O16" s="482"/>
      <c r="P16" s="487"/>
      <c r="Q16" s="487"/>
      <c r="R16" s="486"/>
      <c r="S16" s="486"/>
      <c r="T16" s="498"/>
      <c r="U16" s="498"/>
      <c r="V16" s="111"/>
      <c r="W16" s="111"/>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92"/>
      <c r="FC16" s="92"/>
      <c r="FD16" s="92"/>
      <c r="FE16" s="92"/>
      <c r="FF16" s="92"/>
      <c r="FG16" s="92"/>
      <c r="FH16" s="92"/>
      <c r="FI16" s="92"/>
      <c r="FJ16" s="92"/>
      <c r="FK16" s="92"/>
      <c r="FL16" s="92"/>
      <c r="FM16" s="92"/>
      <c r="FN16" s="92"/>
      <c r="FO16" s="92"/>
      <c r="FP16" s="92"/>
      <c r="FQ16" s="92"/>
      <c r="FR16" s="92"/>
      <c r="FS16" s="92"/>
      <c r="FT16" s="92"/>
      <c r="FU16" s="92"/>
      <c r="FV16" s="92"/>
      <c r="FW16" s="92"/>
      <c r="FX16" s="92"/>
      <c r="FY16" s="92"/>
      <c r="FZ16" s="92"/>
      <c r="GA16" s="92"/>
      <c r="GB16" s="92"/>
      <c r="GC16" s="92"/>
      <c r="GD16" s="92"/>
      <c r="GE16" s="92"/>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2"/>
      <c r="HE16" s="92"/>
      <c r="HF16" s="92"/>
      <c r="HG16" s="92"/>
      <c r="HH16" s="92"/>
      <c r="HI16" s="92"/>
      <c r="HJ16" s="92"/>
      <c r="HK16" s="92"/>
      <c r="HL16" s="92"/>
      <c r="HM16" s="92"/>
      <c r="HN16" s="92"/>
      <c r="HO16" s="92"/>
      <c r="HP16" s="92"/>
      <c r="HQ16" s="92"/>
      <c r="HR16" s="92"/>
      <c r="HS16" s="92"/>
      <c r="HT16" s="92"/>
      <c r="HU16" s="92"/>
      <c r="HV16" s="92"/>
      <c r="HW16" s="92"/>
      <c r="HX16" s="92"/>
      <c r="HY16" s="92"/>
      <c r="HZ16" s="92"/>
      <c r="IA16" s="92"/>
      <c r="IB16" s="92"/>
      <c r="IC16" s="92"/>
      <c r="ID16" s="92"/>
      <c r="IE16" s="92"/>
      <c r="IF16" s="92"/>
      <c r="IG16" s="92"/>
      <c r="IH16" s="92"/>
      <c r="II16" s="92"/>
      <c r="IJ16" s="92"/>
      <c r="IK16" s="92"/>
      <c r="IL16" s="92"/>
      <c r="IM16" s="92"/>
      <c r="IN16" s="92"/>
      <c r="IO16" s="92"/>
      <c r="IP16" s="92"/>
      <c r="IQ16" s="92"/>
      <c r="IR16" s="92"/>
      <c r="IS16" s="92"/>
      <c r="IT16" s="92"/>
      <c r="IU16" s="92"/>
      <c r="IV16" s="92"/>
      <c r="IW16" s="92"/>
      <c r="IX16" s="92"/>
      <c r="IY16" s="92"/>
      <c r="IZ16" s="92"/>
      <c r="JA16" s="92"/>
      <c r="JB16" s="92"/>
      <c r="JC16" s="92"/>
      <c r="JD16" s="92"/>
      <c r="JE16" s="92"/>
      <c r="JF16" s="92"/>
      <c r="JG16" s="92"/>
      <c r="JH16" s="92"/>
      <c r="JI16" s="92"/>
      <c r="JJ16" s="92"/>
      <c r="JK16" s="92"/>
      <c r="JL16" s="92"/>
      <c r="JM16" s="92"/>
      <c r="JN16" s="92"/>
      <c r="JO16" s="92"/>
      <c r="JP16" s="92"/>
      <c r="JQ16" s="92"/>
      <c r="JR16" s="92"/>
      <c r="JS16" s="92"/>
      <c r="JT16" s="92"/>
      <c r="JU16" s="92"/>
      <c r="JV16" s="92"/>
      <c r="JW16" s="92"/>
      <c r="JX16" s="92"/>
      <c r="JY16" s="92"/>
      <c r="JZ16" s="92"/>
      <c r="KA16" s="92"/>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2"/>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2"/>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2"/>
      <c r="MY16" s="92"/>
      <c r="MZ16" s="92"/>
      <c r="NA16" s="92"/>
      <c r="NB16" s="92"/>
      <c r="NC16" s="92"/>
      <c r="ND16" s="92"/>
      <c r="NE16" s="92"/>
      <c r="NF16" s="92"/>
      <c r="NG16" s="92"/>
      <c r="NH16" s="92"/>
      <c r="NI16" s="92"/>
      <c r="NJ16" s="92"/>
      <c r="NK16" s="92"/>
      <c r="NL16" s="92"/>
      <c r="NM16" s="92"/>
      <c r="NN16" s="92"/>
      <c r="NO16" s="92"/>
      <c r="NP16" s="92"/>
      <c r="NQ16" s="92"/>
      <c r="NR16" s="92"/>
      <c r="NS16" s="92"/>
      <c r="NT16" s="92"/>
      <c r="NU16" s="92"/>
      <c r="NV16" s="92"/>
      <c r="NW16" s="92"/>
      <c r="NX16" s="92"/>
      <c r="NY16" s="92"/>
      <c r="NZ16" s="92"/>
      <c r="OA16" s="92"/>
      <c r="OB16" s="92"/>
      <c r="OC16" s="92"/>
      <c r="OD16" s="92"/>
      <c r="OE16" s="92"/>
      <c r="OF16" s="92"/>
      <c r="OG16" s="92"/>
      <c r="OH16" s="92"/>
      <c r="OI16" s="92"/>
      <c r="OJ16" s="92"/>
      <c r="OK16" s="92"/>
      <c r="OL16" s="92"/>
      <c r="OM16" s="92"/>
      <c r="ON16" s="92"/>
      <c r="OO16" s="92"/>
      <c r="OP16" s="92"/>
      <c r="OQ16" s="92"/>
      <c r="OR16" s="92"/>
      <c r="OS16" s="92"/>
      <c r="OT16" s="92"/>
      <c r="OU16" s="92"/>
      <c r="OV16" s="92"/>
      <c r="OW16" s="92"/>
      <c r="OX16" s="92"/>
      <c r="OY16" s="92"/>
      <c r="OZ16" s="92"/>
      <c r="PA16" s="92"/>
      <c r="PB16" s="92"/>
      <c r="PC16" s="92"/>
      <c r="PD16" s="92"/>
      <c r="PE16" s="92"/>
      <c r="PF16" s="92"/>
      <c r="PG16" s="92"/>
      <c r="PH16" s="92"/>
      <c r="PI16" s="92"/>
      <c r="PJ16" s="92"/>
      <c r="PK16" s="92"/>
      <c r="PL16" s="92"/>
      <c r="PM16" s="92"/>
      <c r="PN16" s="92"/>
      <c r="PO16" s="92"/>
      <c r="PP16" s="92"/>
      <c r="PQ16" s="92"/>
      <c r="PR16" s="92"/>
      <c r="PS16" s="92"/>
      <c r="PT16" s="92"/>
      <c r="PU16" s="92"/>
      <c r="PV16" s="92"/>
      <c r="PW16" s="92"/>
      <c r="PX16" s="92"/>
      <c r="PY16" s="92"/>
      <c r="PZ16" s="92"/>
      <c r="QA16" s="92"/>
      <c r="QB16" s="92"/>
      <c r="QC16" s="92"/>
      <c r="QD16" s="92"/>
      <c r="QE16" s="92"/>
      <c r="QF16" s="92"/>
      <c r="QG16" s="92"/>
      <c r="QH16" s="92"/>
      <c r="QI16" s="92"/>
      <c r="QJ16" s="92"/>
      <c r="QK16" s="92"/>
      <c r="QL16" s="92"/>
      <c r="QM16" s="92"/>
      <c r="QN16" s="92"/>
      <c r="QO16" s="92"/>
      <c r="QP16" s="92"/>
      <c r="QQ16" s="92"/>
      <c r="QR16" s="92"/>
      <c r="QS16" s="92"/>
      <c r="QT16" s="92"/>
      <c r="QU16" s="92"/>
      <c r="QV16" s="92"/>
      <c r="QW16" s="92"/>
      <c r="QX16" s="92"/>
      <c r="QY16" s="92"/>
    </row>
    <row r="17" spans="1:467" ht="20.100000000000001" customHeight="1">
      <c r="A17" s="461"/>
      <c r="B17" s="461"/>
      <c r="C17" s="461"/>
      <c r="D17" s="462"/>
      <c r="E17" s="462"/>
      <c r="F17" s="462"/>
      <c r="G17" s="462"/>
      <c r="H17" s="462"/>
      <c r="I17" s="462"/>
      <c r="J17" s="462"/>
      <c r="K17" s="696" t="s">
        <v>741</v>
      </c>
      <c r="L17" s="696"/>
      <c r="M17" s="696"/>
      <c r="N17" s="696"/>
      <c r="O17" s="696"/>
      <c r="P17" s="696"/>
      <c r="Q17" s="696"/>
      <c r="R17" s="696"/>
      <c r="S17" s="696"/>
      <c r="T17" s="696"/>
      <c r="U17" s="572"/>
      <c r="V17" s="573"/>
      <c r="W17" s="574" t="s">
        <v>742</v>
      </c>
      <c r="X17" s="573"/>
      <c r="Y17" s="573"/>
      <c r="Z17" s="573"/>
      <c r="AA17" s="573"/>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2"/>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2"/>
      <c r="FV17" s="92"/>
      <c r="FW17" s="92"/>
      <c r="FX17" s="92"/>
      <c r="FY17" s="92"/>
      <c r="FZ17" s="92"/>
      <c r="GA17" s="92"/>
      <c r="GB17" s="92"/>
      <c r="GC17" s="92"/>
      <c r="GD17" s="92"/>
      <c r="GE17" s="92"/>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2"/>
      <c r="HE17" s="92"/>
      <c r="HF17" s="92"/>
      <c r="HG17" s="92"/>
      <c r="HH17" s="92"/>
      <c r="HI17" s="92"/>
      <c r="HJ17" s="92"/>
      <c r="HK17" s="92"/>
      <c r="HL17" s="92"/>
      <c r="HM17" s="92"/>
      <c r="HN17" s="92"/>
      <c r="HO17" s="92"/>
      <c r="HP17" s="92"/>
      <c r="HQ17" s="92"/>
      <c r="HR17" s="92"/>
      <c r="HS17" s="92"/>
      <c r="HT17" s="92"/>
      <c r="HU17" s="92"/>
      <c r="HV17" s="92"/>
      <c r="HW17" s="92"/>
      <c r="HX17" s="92"/>
      <c r="HY17" s="92"/>
      <c r="HZ17" s="92"/>
      <c r="IA17" s="92"/>
      <c r="IB17" s="92"/>
      <c r="IC17" s="92"/>
      <c r="ID17" s="92"/>
      <c r="IE17" s="92"/>
      <c r="IF17" s="92"/>
      <c r="IG17" s="92"/>
      <c r="IH17" s="92"/>
      <c r="II17" s="92"/>
      <c r="IJ17" s="92"/>
      <c r="IK17" s="92"/>
      <c r="IL17" s="92"/>
      <c r="IM17" s="92"/>
      <c r="IN17" s="92"/>
      <c r="IO17" s="92"/>
      <c r="IP17" s="92"/>
      <c r="IQ17" s="92"/>
      <c r="IR17" s="92"/>
      <c r="IS17" s="92"/>
      <c r="IT17" s="92"/>
      <c r="IU17" s="92"/>
      <c r="IV17" s="92"/>
      <c r="IW17" s="92"/>
      <c r="IX17" s="92"/>
      <c r="IY17" s="92"/>
      <c r="IZ17" s="92"/>
      <c r="JA17" s="92"/>
      <c r="JB17" s="92"/>
      <c r="JC17" s="92"/>
      <c r="JD17" s="92"/>
      <c r="JE17" s="92"/>
      <c r="JF17" s="92"/>
      <c r="JG17" s="92"/>
      <c r="JH17" s="92"/>
      <c r="JI17" s="92"/>
      <c r="JJ17" s="92"/>
      <c r="JK17" s="92"/>
      <c r="JL17" s="92"/>
      <c r="JM17" s="92"/>
      <c r="JN17" s="92"/>
      <c r="JO17" s="92"/>
      <c r="JP17" s="92"/>
      <c r="JQ17" s="92"/>
      <c r="JR17" s="92"/>
      <c r="JS17" s="92"/>
      <c r="JT17" s="92"/>
      <c r="JU17" s="92"/>
      <c r="JV17" s="92"/>
      <c r="JW17" s="92"/>
      <c r="JX17" s="92"/>
      <c r="JY17" s="92"/>
      <c r="JZ17" s="92"/>
      <c r="KA17" s="92"/>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2"/>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2"/>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2"/>
      <c r="MY17" s="92"/>
      <c r="MZ17" s="92"/>
      <c r="NA17" s="92"/>
      <c r="NB17" s="92"/>
      <c r="NC17" s="92"/>
      <c r="ND17" s="92"/>
      <c r="NE17" s="92"/>
      <c r="NF17" s="92"/>
      <c r="NG17" s="92"/>
      <c r="NH17" s="92"/>
      <c r="NI17" s="92"/>
      <c r="NJ17" s="92"/>
      <c r="NK17" s="92"/>
      <c r="NL17" s="92"/>
      <c r="NM17" s="92"/>
      <c r="NN17" s="92"/>
      <c r="NO17" s="92"/>
      <c r="NP17" s="92"/>
      <c r="NQ17" s="92"/>
      <c r="NR17" s="92"/>
      <c r="NS17" s="92"/>
      <c r="NT17" s="92"/>
      <c r="NU17" s="92"/>
      <c r="NV17" s="92"/>
      <c r="NW17" s="92"/>
      <c r="NX17" s="92"/>
      <c r="NY17" s="92"/>
      <c r="NZ17" s="92"/>
      <c r="OA17" s="92"/>
      <c r="OB17" s="92"/>
      <c r="OC17" s="92"/>
      <c r="OD17" s="92"/>
      <c r="OE17" s="92"/>
      <c r="OF17" s="92"/>
      <c r="OG17" s="92"/>
      <c r="OH17" s="92"/>
      <c r="OI17" s="92"/>
      <c r="OJ17" s="92"/>
      <c r="OK17" s="92"/>
      <c r="OL17" s="92"/>
      <c r="OM17" s="92"/>
      <c r="ON17" s="92"/>
      <c r="OO17" s="92"/>
      <c r="OP17" s="92"/>
      <c r="OQ17" s="92"/>
      <c r="OR17" s="92"/>
      <c r="OS17" s="92"/>
      <c r="OT17" s="92"/>
      <c r="OU17" s="92"/>
      <c r="OV17" s="92"/>
      <c r="OW17" s="92"/>
      <c r="OX17" s="92"/>
      <c r="OY17" s="92"/>
      <c r="OZ17" s="92"/>
      <c r="PA17" s="92"/>
      <c r="PB17" s="92"/>
      <c r="PC17" s="92"/>
      <c r="PD17" s="92"/>
      <c r="PE17" s="92"/>
      <c r="PF17" s="92"/>
      <c r="PG17" s="92"/>
      <c r="PH17" s="92"/>
      <c r="PI17" s="92"/>
      <c r="PJ17" s="92"/>
      <c r="PK17" s="92"/>
      <c r="PL17" s="92"/>
      <c r="PM17" s="92"/>
      <c r="PN17" s="92"/>
      <c r="PO17" s="92"/>
      <c r="PP17" s="92"/>
      <c r="PQ17" s="92"/>
      <c r="PR17" s="92"/>
      <c r="PS17" s="92"/>
      <c r="PT17" s="92"/>
      <c r="PU17" s="92"/>
      <c r="PV17" s="92"/>
      <c r="PW17" s="92"/>
      <c r="PX17" s="92"/>
      <c r="PY17" s="92"/>
      <c r="PZ17" s="92"/>
      <c r="QA17" s="92"/>
      <c r="QB17" s="92"/>
      <c r="QC17" s="92"/>
      <c r="QD17" s="92"/>
      <c r="QE17" s="92"/>
      <c r="QF17" s="92"/>
      <c r="QG17" s="92"/>
      <c r="QH17" s="92"/>
      <c r="QI17" s="92"/>
      <c r="QJ17" s="92"/>
      <c r="QK17" s="92"/>
      <c r="QL17" s="92"/>
      <c r="QM17" s="92"/>
      <c r="QN17" s="92"/>
      <c r="QO17" s="92"/>
      <c r="QP17" s="92"/>
      <c r="QQ17" s="92"/>
      <c r="QR17" s="92"/>
      <c r="QS17" s="92"/>
      <c r="QT17" s="92"/>
      <c r="QU17" s="92"/>
      <c r="QV17" s="92"/>
      <c r="QW17" s="92"/>
      <c r="QX17" s="92"/>
      <c r="QY17" s="92"/>
    </row>
    <row r="18" spans="1:467" ht="30">
      <c r="A18" s="461"/>
      <c r="B18" s="483" t="s">
        <v>643</v>
      </c>
      <c r="C18" s="465" t="s">
        <v>383</v>
      </c>
      <c r="D18" s="465" t="s">
        <v>384</v>
      </c>
      <c r="E18" s="465" t="s">
        <v>172</v>
      </c>
      <c r="F18" s="465" t="s">
        <v>7</v>
      </c>
      <c r="G18" s="461"/>
      <c r="H18" s="465"/>
      <c r="I18" s="462"/>
      <c r="J18" s="462"/>
      <c r="K18" s="575" t="s">
        <v>242</v>
      </c>
      <c r="L18" s="576" t="s">
        <v>419</v>
      </c>
      <c r="M18" s="576" t="s">
        <v>384</v>
      </c>
      <c r="N18" s="576" t="s">
        <v>172</v>
      </c>
      <c r="O18" s="577" t="s">
        <v>386</v>
      </c>
      <c r="P18" s="578"/>
      <c r="Q18" s="575" t="s">
        <v>390</v>
      </c>
      <c r="R18" s="576" t="s">
        <v>419</v>
      </c>
      <c r="S18" s="576" t="s">
        <v>384</v>
      </c>
      <c r="T18" s="576" t="s">
        <v>172</v>
      </c>
      <c r="U18" s="577" t="s">
        <v>386</v>
      </c>
      <c r="V18" s="579"/>
      <c r="W18" s="575" t="s">
        <v>390</v>
      </c>
      <c r="X18" s="576" t="s">
        <v>419</v>
      </c>
      <c r="Y18" s="576" t="s">
        <v>384</v>
      </c>
      <c r="Z18" s="576" t="s">
        <v>172</v>
      </c>
      <c r="AA18" s="577" t="s">
        <v>386</v>
      </c>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c r="IW18" s="92"/>
      <c r="IX18" s="92"/>
      <c r="IY18" s="92"/>
      <c r="IZ18" s="92"/>
      <c r="JA18" s="92"/>
      <c r="JB18" s="92"/>
      <c r="JC18" s="92"/>
      <c r="JD18" s="92"/>
      <c r="JE18" s="92"/>
      <c r="JF18" s="92"/>
      <c r="JG18" s="92"/>
      <c r="JH18" s="92"/>
      <c r="JI18" s="92"/>
      <c r="JJ18" s="92"/>
      <c r="JK18" s="92"/>
      <c r="JL18" s="92"/>
      <c r="JM18" s="92"/>
      <c r="JN18" s="92"/>
      <c r="JO18" s="92"/>
      <c r="JP18" s="92"/>
      <c r="JQ18" s="92"/>
      <c r="JR18" s="92"/>
      <c r="JS18" s="92"/>
      <c r="JT18" s="92"/>
      <c r="JU18" s="92"/>
      <c r="JV18" s="92"/>
      <c r="JW18" s="92"/>
      <c r="JX18" s="92"/>
      <c r="JY18" s="92"/>
      <c r="JZ18" s="92"/>
      <c r="KA18" s="92"/>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2"/>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2"/>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2"/>
      <c r="MY18" s="92"/>
      <c r="MZ18" s="92"/>
      <c r="NA18" s="92"/>
      <c r="NB18" s="92"/>
      <c r="NC18" s="92"/>
      <c r="ND18" s="92"/>
      <c r="NE18" s="92"/>
      <c r="NF18" s="92"/>
      <c r="NG18" s="92"/>
      <c r="NH18" s="92"/>
      <c r="NI18" s="92"/>
      <c r="NJ18" s="92"/>
      <c r="NK18" s="92"/>
      <c r="NL18" s="92"/>
      <c r="NM18" s="92"/>
      <c r="NN18" s="92"/>
      <c r="NO18" s="92"/>
      <c r="NP18" s="92"/>
      <c r="NQ18" s="92"/>
      <c r="NR18" s="92"/>
      <c r="NS18" s="92"/>
      <c r="NT18" s="92"/>
      <c r="NU18" s="92"/>
      <c r="NV18" s="92"/>
      <c r="NW18" s="92"/>
      <c r="NX18" s="92"/>
      <c r="NY18" s="92"/>
      <c r="NZ18" s="92"/>
      <c r="OA18" s="92"/>
      <c r="OB18" s="92"/>
      <c r="OC18" s="92"/>
      <c r="OD18" s="92"/>
      <c r="OE18" s="92"/>
      <c r="OF18" s="92"/>
      <c r="OG18" s="92"/>
      <c r="OH18" s="92"/>
      <c r="OI18" s="92"/>
      <c r="OJ18" s="92"/>
      <c r="OK18" s="92"/>
      <c r="OL18" s="92"/>
      <c r="OM18" s="92"/>
      <c r="ON18" s="92"/>
      <c r="OO18" s="92"/>
      <c r="OP18" s="92"/>
      <c r="OQ18" s="92"/>
      <c r="OR18" s="92"/>
      <c r="OS18" s="92"/>
      <c r="OT18" s="92"/>
      <c r="OU18" s="92"/>
      <c r="OV18" s="92"/>
      <c r="OW18" s="92"/>
      <c r="OX18" s="92"/>
      <c r="OY18" s="92"/>
      <c r="OZ18" s="92"/>
      <c r="PA18" s="92"/>
      <c r="PB18" s="92"/>
      <c r="PC18" s="92"/>
      <c r="PD18" s="92"/>
      <c r="PE18" s="92"/>
      <c r="PF18" s="92"/>
      <c r="PG18" s="92"/>
      <c r="PH18" s="92"/>
      <c r="PI18" s="92"/>
      <c r="PJ18" s="92"/>
      <c r="PK18" s="92"/>
      <c r="PL18" s="92"/>
      <c r="PM18" s="92"/>
      <c r="PN18" s="92"/>
      <c r="PO18" s="92"/>
      <c r="PP18" s="92"/>
      <c r="PQ18" s="92"/>
      <c r="PR18" s="92"/>
      <c r="PS18" s="92"/>
      <c r="PT18" s="92"/>
      <c r="PU18" s="92"/>
      <c r="PV18" s="92"/>
      <c r="PW18" s="92"/>
      <c r="PX18" s="92"/>
      <c r="PY18" s="92"/>
      <c r="PZ18" s="92"/>
      <c r="QA18" s="92"/>
      <c r="QB18" s="92"/>
      <c r="QC18" s="92"/>
      <c r="QD18" s="92"/>
      <c r="QE18" s="92"/>
      <c r="QF18" s="92"/>
      <c r="QG18" s="92"/>
      <c r="QH18" s="92"/>
      <c r="QI18" s="92"/>
      <c r="QJ18" s="92"/>
      <c r="QK18" s="92"/>
      <c r="QL18" s="92"/>
      <c r="QM18" s="92"/>
      <c r="QN18" s="92"/>
      <c r="QO18" s="92"/>
      <c r="QP18" s="92"/>
      <c r="QQ18" s="92"/>
      <c r="QR18" s="92"/>
      <c r="QS18" s="92"/>
      <c r="QT18" s="92"/>
      <c r="QU18" s="92"/>
      <c r="QV18" s="92"/>
      <c r="QW18" s="92"/>
      <c r="QX18" s="92"/>
      <c r="QY18" s="92"/>
    </row>
    <row r="19" spans="1:467" ht="15.75">
      <c r="A19" s="461"/>
      <c r="B19" s="469" t="s">
        <v>218</v>
      </c>
      <c r="C19" s="505">
        <f t="shared" ref="C19:C30" si="10">C4*L35</f>
        <v>0</v>
      </c>
      <c r="D19" s="505">
        <f t="shared" ref="D19:D30" si="11">D4*M35</f>
        <v>0</v>
      </c>
      <c r="E19" s="505">
        <f t="shared" ref="E19:E30" si="12">E4*N35</f>
        <v>138.20949645299913</v>
      </c>
      <c r="F19" s="506">
        <f>SUM(C19:E19)</f>
        <v>138.20949645299913</v>
      </c>
      <c r="G19" s="461"/>
      <c r="H19" s="462"/>
      <c r="I19" s="462"/>
      <c r="J19" s="462"/>
      <c r="K19" s="580" t="s">
        <v>218</v>
      </c>
      <c r="L19" s="581">
        <f t="shared" ref="L19:L29" si="13">R19/R$31</f>
        <v>0</v>
      </c>
      <c r="M19" s="581">
        <f t="shared" ref="M19:M30" si="14">S19/S$31</f>
        <v>0</v>
      </c>
      <c r="N19" s="581">
        <f t="shared" ref="N19:N30" si="15">T19/T$31</f>
        <v>2.5352041033295847E-2</v>
      </c>
      <c r="O19" s="581">
        <f t="shared" ref="O19:O30" si="16">AA19/AA$31</f>
        <v>0</v>
      </c>
      <c r="P19" s="578"/>
      <c r="Q19" s="580" t="s">
        <v>218</v>
      </c>
      <c r="R19" s="580">
        <v>0</v>
      </c>
      <c r="S19" s="580">
        <v>0</v>
      </c>
      <c r="T19" s="580">
        <f t="shared" ref="S19:U30" si="17">Z19</f>
        <v>0.70319009381862674</v>
      </c>
      <c r="U19" s="580">
        <f t="shared" si="17"/>
        <v>0</v>
      </c>
      <c r="V19" s="579"/>
      <c r="W19" s="580" t="s">
        <v>218</v>
      </c>
      <c r="X19" s="580">
        <f>'RESUMEN_SEC ELEC_PJ'!D22</f>
        <v>1.0732627E-2</v>
      </c>
      <c r="Y19" s="580">
        <f>'RESUMEN_SEC ELEC_PJ'!E22</f>
        <v>7.5585340099100008E-4</v>
      </c>
      <c r="Z19" s="580">
        <f>'RESUMEN_SEC ELEC_PJ'!F22</f>
        <v>0.70319009381862674</v>
      </c>
      <c r="AA19" s="580">
        <f>'RESUMEN_SEC ELEC_PJ'!G22</f>
        <v>0</v>
      </c>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c r="IW19" s="92"/>
      <c r="IX19" s="92"/>
      <c r="IY19" s="92"/>
      <c r="IZ19" s="92"/>
      <c r="JA19" s="92"/>
      <c r="JB19" s="92"/>
      <c r="JC19" s="92"/>
      <c r="JD19" s="92"/>
      <c r="JE19" s="92"/>
      <c r="JF19" s="92"/>
      <c r="JG19" s="92"/>
      <c r="JH19" s="92"/>
      <c r="JI19" s="92"/>
      <c r="JJ19" s="92"/>
      <c r="JK19" s="92"/>
      <c r="JL19" s="92"/>
      <c r="JM19" s="92"/>
      <c r="JN19" s="92"/>
      <c r="JO19" s="92"/>
      <c r="JP19" s="92"/>
      <c r="JQ19" s="92"/>
      <c r="JR19" s="92"/>
      <c r="JS19" s="92"/>
      <c r="JT19" s="92"/>
      <c r="JU19" s="92"/>
      <c r="JV19" s="92"/>
      <c r="JW19" s="92"/>
      <c r="JX19" s="92"/>
      <c r="JY19" s="92"/>
      <c r="JZ19" s="92"/>
      <c r="KA19" s="92"/>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2"/>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2"/>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2"/>
      <c r="MY19" s="92"/>
      <c r="MZ19" s="92"/>
      <c r="NA19" s="92"/>
      <c r="NB19" s="92"/>
      <c r="NC19" s="92"/>
      <c r="ND19" s="92"/>
      <c r="NE19" s="92"/>
      <c r="NF19" s="92"/>
      <c r="NG19" s="92"/>
      <c r="NH19" s="92"/>
      <c r="NI19" s="92"/>
      <c r="NJ19" s="92"/>
      <c r="NK19" s="92"/>
      <c r="NL19" s="92"/>
      <c r="NM19" s="92"/>
      <c r="NN19" s="92"/>
      <c r="NO19" s="92"/>
      <c r="NP19" s="92"/>
      <c r="NQ19" s="92"/>
      <c r="NR19" s="92"/>
      <c r="NS19" s="92"/>
      <c r="NT19" s="92"/>
      <c r="NU19" s="92"/>
      <c r="NV19" s="92"/>
      <c r="NW19" s="92"/>
      <c r="NX19" s="92"/>
      <c r="NY19" s="92"/>
      <c r="NZ19" s="92"/>
      <c r="OA19" s="92"/>
      <c r="OB19" s="92"/>
      <c r="OC19" s="92"/>
      <c r="OD19" s="92"/>
      <c r="OE19" s="92"/>
      <c r="OF19" s="92"/>
      <c r="OG19" s="92"/>
      <c r="OH19" s="92"/>
      <c r="OI19" s="92"/>
      <c r="OJ19" s="92"/>
      <c r="OK19" s="92"/>
      <c r="OL19" s="92"/>
      <c r="OM19" s="92"/>
      <c r="ON19" s="92"/>
      <c r="OO19" s="92"/>
      <c r="OP19" s="92"/>
      <c r="OQ19" s="92"/>
      <c r="OR19" s="92"/>
      <c r="OS19" s="92"/>
      <c r="OT19" s="92"/>
      <c r="OU19" s="92"/>
      <c r="OV19" s="92"/>
      <c r="OW19" s="92"/>
      <c r="OX19" s="92"/>
      <c r="OY19" s="92"/>
      <c r="OZ19" s="92"/>
      <c r="PA19" s="92"/>
      <c r="PB19" s="92"/>
      <c r="PC19" s="92"/>
      <c r="PD19" s="92"/>
      <c r="PE19" s="92"/>
      <c r="PF19" s="92"/>
      <c r="PG19" s="92"/>
      <c r="PH19" s="92"/>
      <c r="PI19" s="92"/>
      <c r="PJ19" s="92"/>
      <c r="PK19" s="92"/>
      <c r="PL19" s="92"/>
      <c r="PM19" s="92"/>
      <c r="PN19" s="92"/>
      <c r="PO19" s="92"/>
      <c r="PP19" s="92"/>
      <c r="PQ19" s="92"/>
      <c r="PR19" s="92"/>
      <c r="PS19" s="92"/>
      <c r="PT19" s="92"/>
      <c r="PU19" s="92"/>
      <c r="PV19" s="92"/>
      <c r="PW19" s="92"/>
      <c r="PX19" s="92"/>
      <c r="PY19" s="92"/>
      <c r="PZ19" s="92"/>
      <c r="QA19" s="92"/>
      <c r="QB19" s="92"/>
      <c r="QC19" s="92"/>
      <c r="QD19" s="92"/>
      <c r="QE19" s="92"/>
      <c r="QF19" s="92"/>
      <c r="QG19" s="92"/>
      <c r="QH19" s="92"/>
      <c r="QI19" s="92"/>
      <c r="QJ19" s="92"/>
      <c r="QK19" s="92"/>
      <c r="QL19" s="92"/>
      <c r="QM19" s="92"/>
      <c r="QN19" s="92"/>
      <c r="QO19" s="92"/>
      <c r="QP19" s="92"/>
      <c r="QQ19" s="92"/>
      <c r="QR19" s="92"/>
      <c r="QS19" s="92"/>
      <c r="QT19" s="92"/>
      <c r="QU19" s="92"/>
      <c r="QV19" s="92"/>
      <c r="QW19" s="92"/>
      <c r="QX19" s="92"/>
      <c r="QY19" s="92"/>
    </row>
    <row r="20" spans="1:467" ht="15.75">
      <c r="A20" s="461"/>
      <c r="B20" s="469" t="s">
        <v>219</v>
      </c>
      <c r="C20" s="505">
        <f t="shared" si="10"/>
        <v>0</v>
      </c>
      <c r="D20" s="505">
        <f t="shared" si="11"/>
        <v>0</v>
      </c>
      <c r="E20" s="505">
        <f t="shared" si="12"/>
        <v>20.633661189413424</v>
      </c>
      <c r="F20" s="506">
        <f t="shared" ref="F20:F30" si="18">SUM(C20:E20)</f>
        <v>20.633661189413424</v>
      </c>
      <c r="G20" s="461"/>
      <c r="H20" s="462"/>
      <c r="I20" s="462"/>
      <c r="J20" s="462"/>
      <c r="K20" s="580" t="s">
        <v>219</v>
      </c>
      <c r="L20" s="581">
        <f t="shared" si="13"/>
        <v>0</v>
      </c>
      <c r="M20" s="581">
        <f t="shared" si="14"/>
        <v>0</v>
      </c>
      <c r="N20" s="581">
        <f t="shared" si="15"/>
        <v>3.2262106909108474E-3</v>
      </c>
      <c r="O20" s="581">
        <f t="shared" si="16"/>
        <v>0</v>
      </c>
      <c r="P20" s="578"/>
      <c r="Q20" s="580" t="s">
        <v>219</v>
      </c>
      <c r="R20" s="580">
        <f t="shared" ref="R20:R30" si="19">X20</f>
        <v>0</v>
      </c>
      <c r="S20" s="580">
        <v>0</v>
      </c>
      <c r="T20" s="580">
        <f t="shared" si="17"/>
        <v>8.9485473593260617E-2</v>
      </c>
      <c r="U20" s="580">
        <f t="shared" si="17"/>
        <v>0</v>
      </c>
      <c r="V20" s="579"/>
      <c r="W20" s="580" t="s">
        <v>219</v>
      </c>
      <c r="X20" s="580">
        <f>'RESUMEN_SEC ELEC_PJ'!D23</f>
        <v>0</v>
      </c>
      <c r="Y20" s="580">
        <f>'RESUMEN_SEC ELEC_PJ'!E23</f>
        <v>0.16280829636500002</v>
      </c>
      <c r="Z20" s="580">
        <f>'RESUMEN_SEC ELEC_PJ'!F23</f>
        <v>8.9485473593260617E-2</v>
      </c>
      <c r="AA20" s="580">
        <f>'RESUMEN_SEC ELEC_PJ'!G23</f>
        <v>0</v>
      </c>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c r="IW20" s="92"/>
      <c r="IX20" s="92"/>
      <c r="IY20" s="92"/>
      <c r="IZ20" s="92"/>
      <c r="JA20" s="92"/>
      <c r="JB20" s="92"/>
      <c r="JC20" s="92"/>
      <c r="JD20" s="92"/>
      <c r="JE20" s="92"/>
      <c r="JF20" s="92"/>
      <c r="JG20" s="92"/>
      <c r="JH20" s="92"/>
      <c r="JI20" s="92"/>
      <c r="JJ20" s="92"/>
      <c r="JK20" s="92"/>
      <c r="JL20" s="92"/>
      <c r="JM20" s="92"/>
      <c r="JN20" s="92"/>
      <c r="JO20" s="92"/>
      <c r="JP20" s="92"/>
      <c r="JQ20" s="92"/>
      <c r="JR20" s="92"/>
      <c r="JS20" s="92"/>
      <c r="JT20" s="92"/>
      <c r="JU20" s="92"/>
      <c r="JV20" s="92"/>
      <c r="JW20" s="92"/>
      <c r="JX20" s="92"/>
      <c r="JY20" s="92"/>
      <c r="JZ20" s="92"/>
      <c r="KA20" s="92"/>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2"/>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2"/>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2"/>
      <c r="MY20" s="92"/>
      <c r="MZ20" s="92"/>
      <c r="NA20" s="92"/>
      <c r="NB20" s="92"/>
      <c r="NC20" s="92"/>
      <c r="ND20" s="92"/>
      <c r="NE20" s="92"/>
      <c r="NF20" s="92"/>
      <c r="NG20" s="92"/>
      <c r="NH20" s="92"/>
      <c r="NI20" s="92"/>
      <c r="NJ20" s="92"/>
      <c r="NK20" s="92"/>
      <c r="NL20" s="92"/>
      <c r="NM20" s="92"/>
      <c r="NN20" s="92"/>
      <c r="NO20" s="92"/>
      <c r="NP20" s="92"/>
      <c r="NQ20" s="92"/>
      <c r="NR20" s="92"/>
      <c r="NS20" s="92"/>
      <c r="NT20" s="92"/>
      <c r="NU20" s="92"/>
      <c r="NV20" s="92"/>
      <c r="NW20" s="92"/>
      <c r="NX20" s="92"/>
      <c r="NY20" s="92"/>
      <c r="NZ20" s="92"/>
      <c r="OA20" s="92"/>
      <c r="OB20" s="92"/>
      <c r="OC20" s="92"/>
      <c r="OD20" s="92"/>
      <c r="OE20" s="92"/>
      <c r="OF20" s="92"/>
      <c r="OG20" s="92"/>
      <c r="OH20" s="92"/>
      <c r="OI20" s="92"/>
      <c r="OJ20" s="92"/>
      <c r="OK20" s="92"/>
      <c r="OL20" s="92"/>
      <c r="OM20" s="92"/>
      <c r="ON20" s="92"/>
      <c r="OO20" s="92"/>
      <c r="OP20" s="92"/>
      <c r="OQ20" s="92"/>
      <c r="OR20" s="92"/>
      <c r="OS20" s="92"/>
      <c r="OT20" s="92"/>
      <c r="OU20" s="92"/>
      <c r="OV20" s="92"/>
      <c r="OW20" s="92"/>
      <c r="OX20" s="92"/>
      <c r="OY20" s="92"/>
      <c r="OZ20" s="92"/>
      <c r="PA20" s="92"/>
      <c r="PB20" s="92"/>
      <c r="PC20" s="92"/>
      <c r="PD20" s="92"/>
      <c r="PE20" s="92"/>
      <c r="PF20" s="92"/>
      <c r="PG20" s="92"/>
      <c r="PH20" s="92"/>
      <c r="PI20" s="92"/>
      <c r="PJ20" s="92"/>
      <c r="PK20" s="92"/>
      <c r="PL20" s="92"/>
      <c r="PM20" s="92"/>
      <c r="PN20" s="92"/>
      <c r="PO20" s="92"/>
      <c r="PP20" s="92"/>
      <c r="PQ20" s="92"/>
      <c r="PR20" s="92"/>
      <c r="PS20" s="92"/>
      <c r="PT20" s="92"/>
      <c r="PU20" s="92"/>
      <c r="PV20" s="92"/>
      <c r="PW20" s="92"/>
      <c r="PX20" s="92"/>
      <c r="PY20" s="92"/>
      <c r="PZ20" s="92"/>
      <c r="QA20" s="92"/>
      <c r="QB20" s="92"/>
      <c r="QC20" s="92"/>
      <c r="QD20" s="92"/>
      <c r="QE20" s="92"/>
      <c r="QF20" s="92"/>
      <c r="QG20" s="92"/>
      <c r="QH20" s="92"/>
      <c r="QI20" s="92"/>
      <c r="QJ20" s="92"/>
      <c r="QK20" s="92"/>
      <c r="QL20" s="92"/>
      <c r="QM20" s="92"/>
      <c r="QN20" s="92"/>
      <c r="QO20" s="92"/>
      <c r="QP20" s="92"/>
      <c r="QQ20" s="92"/>
      <c r="QR20" s="92"/>
      <c r="QS20" s="92"/>
      <c r="QT20" s="92"/>
      <c r="QU20" s="92"/>
      <c r="QV20" s="92"/>
      <c r="QW20" s="92"/>
      <c r="QX20" s="92"/>
      <c r="QY20" s="92"/>
    </row>
    <row r="21" spans="1:467" ht="15.75">
      <c r="A21" s="461"/>
      <c r="B21" s="469" t="s">
        <v>171</v>
      </c>
      <c r="C21" s="505">
        <f t="shared" si="10"/>
        <v>0</v>
      </c>
      <c r="D21" s="505">
        <f t="shared" si="11"/>
        <v>0</v>
      </c>
      <c r="E21" s="505">
        <f t="shared" si="12"/>
        <v>29.929304494041396</v>
      </c>
      <c r="F21" s="506">
        <f t="shared" si="18"/>
        <v>29.929304494041396</v>
      </c>
      <c r="G21" s="461"/>
      <c r="H21" s="462"/>
      <c r="I21" s="462"/>
      <c r="J21" s="462"/>
      <c r="K21" s="580" t="s">
        <v>171</v>
      </c>
      <c r="L21" s="581">
        <f t="shared" si="13"/>
        <v>0</v>
      </c>
      <c r="M21" s="581">
        <f t="shared" si="14"/>
        <v>0</v>
      </c>
      <c r="N21" s="581">
        <f t="shared" si="15"/>
        <v>6.0740080727540155E-2</v>
      </c>
      <c r="O21" s="581">
        <f t="shared" si="16"/>
        <v>0</v>
      </c>
      <c r="P21" s="578"/>
      <c r="Q21" s="580" t="s">
        <v>171</v>
      </c>
      <c r="R21" s="580">
        <f t="shared" si="19"/>
        <v>0</v>
      </c>
      <c r="S21" s="580">
        <f t="shared" si="17"/>
        <v>0</v>
      </c>
      <c r="T21" s="580">
        <f t="shared" si="17"/>
        <v>1.6847488929690031</v>
      </c>
      <c r="U21" s="580">
        <f t="shared" si="17"/>
        <v>0</v>
      </c>
      <c r="V21" s="579"/>
      <c r="W21" s="580" t="s">
        <v>171</v>
      </c>
      <c r="X21" s="580">
        <f>'RESUMEN_SEC ELEC_PJ'!D24</f>
        <v>0</v>
      </c>
      <c r="Y21" s="580">
        <f>'RESUMEN_SEC ELEC_PJ'!E24</f>
        <v>0</v>
      </c>
      <c r="Z21" s="580">
        <f>'RESUMEN_SEC ELEC_PJ'!F24</f>
        <v>1.6847488929690031</v>
      </c>
      <c r="AA21" s="580">
        <f>'RESUMEN_SEC ELEC_PJ'!G24</f>
        <v>0</v>
      </c>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92"/>
      <c r="FC21" s="92"/>
      <c r="FD21" s="92"/>
      <c r="FE21" s="92"/>
      <c r="FF21" s="92"/>
      <c r="FG21" s="92"/>
      <c r="FH21" s="92"/>
      <c r="FI21" s="92"/>
      <c r="FJ21" s="92"/>
      <c r="FK21" s="92"/>
      <c r="FL21" s="92"/>
      <c r="FM21" s="92"/>
      <c r="FN21" s="92"/>
      <c r="FO21" s="92"/>
      <c r="FP21" s="92"/>
      <c r="FQ21" s="92"/>
      <c r="FR21" s="92"/>
      <c r="FS21" s="92"/>
      <c r="FT21" s="92"/>
      <c r="FU21" s="92"/>
      <c r="FV21" s="92"/>
      <c r="FW21" s="92"/>
      <c r="FX21" s="92"/>
      <c r="FY21" s="92"/>
      <c r="FZ21" s="92"/>
      <c r="GA21" s="92"/>
      <c r="GB21" s="92"/>
      <c r="GC21" s="92"/>
      <c r="GD21" s="92"/>
      <c r="GE21" s="92"/>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2"/>
      <c r="HE21" s="92"/>
      <c r="HF21" s="92"/>
      <c r="HG21" s="92"/>
      <c r="HH21" s="92"/>
      <c r="HI21" s="92"/>
      <c r="HJ21" s="92"/>
      <c r="HK21" s="92"/>
      <c r="HL21" s="92"/>
      <c r="HM21" s="92"/>
      <c r="HN21" s="92"/>
      <c r="HO21" s="92"/>
      <c r="HP21" s="92"/>
      <c r="HQ21" s="92"/>
      <c r="HR21" s="92"/>
      <c r="HS21" s="92"/>
      <c r="HT21" s="92"/>
      <c r="HU21" s="92"/>
      <c r="HV21" s="92"/>
      <c r="HW21" s="92"/>
      <c r="HX21" s="92"/>
      <c r="HY21" s="92"/>
      <c r="HZ21" s="92"/>
      <c r="IA21" s="92"/>
      <c r="IB21" s="92"/>
      <c r="IC21" s="92"/>
      <c r="ID21" s="92"/>
      <c r="IE21" s="92"/>
      <c r="IF21" s="92"/>
      <c r="IG21" s="92"/>
      <c r="IH21" s="92"/>
      <c r="II21" s="92"/>
      <c r="IJ21" s="92"/>
      <c r="IK21" s="92"/>
      <c r="IL21" s="92"/>
      <c r="IM21" s="92"/>
      <c r="IN21" s="92"/>
      <c r="IO21" s="92"/>
      <c r="IP21" s="92"/>
      <c r="IQ21" s="92"/>
      <c r="IR21" s="92"/>
      <c r="IS21" s="92"/>
      <c r="IT21" s="92"/>
      <c r="IU21" s="92"/>
      <c r="IV21" s="92"/>
      <c r="IW21" s="92"/>
      <c r="IX21" s="92"/>
      <c r="IY21" s="92"/>
      <c r="IZ21" s="92"/>
      <c r="JA21" s="92"/>
      <c r="JB21" s="92"/>
      <c r="JC21" s="92"/>
      <c r="JD21" s="92"/>
      <c r="JE21" s="92"/>
      <c r="JF21" s="92"/>
      <c r="JG21" s="92"/>
      <c r="JH21" s="92"/>
      <c r="JI21" s="92"/>
      <c r="JJ21" s="92"/>
      <c r="JK21" s="92"/>
      <c r="JL21" s="92"/>
      <c r="JM21" s="92"/>
      <c r="JN21" s="92"/>
      <c r="JO21" s="92"/>
      <c r="JP21" s="92"/>
      <c r="JQ21" s="92"/>
      <c r="JR21" s="92"/>
      <c r="JS21" s="92"/>
      <c r="JT21" s="92"/>
      <c r="JU21" s="92"/>
      <c r="JV21" s="92"/>
      <c r="JW21" s="92"/>
      <c r="JX21" s="92"/>
      <c r="JY21" s="92"/>
      <c r="JZ21" s="92"/>
      <c r="KA21" s="92"/>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2"/>
      <c r="LA21" s="92"/>
      <c r="LB21" s="92"/>
      <c r="LC21" s="92"/>
      <c r="LD21" s="92"/>
      <c r="LE21" s="92"/>
      <c r="LF21" s="92"/>
      <c r="LG21" s="92"/>
      <c r="LH21" s="92"/>
      <c r="LI21" s="92"/>
      <c r="LJ21" s="92"/>
      <c r="LK21" s="92"/>
      <c r="LL21" s="92"/>
      <c r="LM21" s="92"/>
      <c r="LN21" s="92"/>
      <c r="LO21" s="92"/>
      <c r="LP21" s="92"/>
      <c r="LQ21" s="92"/>
      <c r="LR21" s="92"/>
      <c r="LS21" s="92"/>
      <c r="LT21" s="92"/>
      <c r="LU21" s="92"/>
      <c r="LV21" s="92"/>
      <c r="LW21" s="92"/>
      <c r="LX21" s="92"/>
      <c r="LY21" s="92"/>
      <c r="LZ21" s="92"/>
      <c r="MA21" s="92"/>
      <c r="MB21" s="92"/>
      <c r="MC21" s="92"/>
      <c r="MD21" s="92"/>
      <c r="ME21" s="92"/>
      <c r="MF21" s="92"/>
      <c r="MG21" s="92"/>
      <c r="MH21" s="92"/>
      <c r="MI21" s="92"/>
      <c r="MJ21" s="92"/>
      <c r="MK21" s="92"/>
      <c r="ML21" s="92"/>
      <c r="MM21" s="92"/>
      <c r="MN21" s="92"/>
      <c r="MO21" s="92"/>
      <c r="MP21" s="92"/>
      <c r="MQ21" s="92"/>
      <c r="MR21" s="92"/>
      <c r="MS21" s="92"/>
      <c r="MT21" s="92"/>
      <c r="MU21" s="92"/>
      <c r="MV21" s="92"/>
      <c r="MW21" s="92"/>
      <c r="MX21" s="92"/>
      <c r="MY21" s="92"/>
      <c r="MZ21" s="92"/>
      <c r="NA21" s="92"/>
      <c r="NB21" s="92"/>
      <c r="NC21" s="92"/>
      <c r="ND21" s="92"/>
      <c r="NE21" s="92"/>
      <c r="NF21" s="92"/>
      <c r="NG21" s="92"/>
      <c r="NH21" s="92"/>
      <c r="NI21" s="92"/>
      <c r="NJ21" s="92"/>
      <c r="NK21" s="92"/>
      <c r="NL21" s="92"/>
      <c r="NM21" s="92"/>
      <c r="NN21" s="92"/>
      <c r="NO21" s="92"/>
      <c r="NP21" s="92"/>
      <c r="NQ21" s="92"/>
      <c r="NR21" s="92"/>
      <c r="NS21" s="92"/>
      <c r="NT21" s="92"/>
      <c r="NU21" s="92"/>
      <c r="NV21" s="92"/>
      <c r="NW21" s="92"/>
      <c r="NX21" s="92"/>
      <c r="NY21" s="92"/>
      <c r="NZ21" s="92"/>
      <c r="OA21" s="92"/>
      <c r="OB21" s="92"/>
      <c r="OC21" s="92"/>
      <c r="OD21" s="92"/>
      <c r="OE21" s="92"/>
      <c r="OF21" s="92"/>
      <c r="OG21" s="92"/>
      <c r="OH21" s="92"/>
      <c r="OI21" s="92"/>
      <c r="OJ21" s="92"/>
      <c r="OK21" s="92"/>
      <c r="OL21" s="92"/>
      <c r="OM21" s="92"/>
      <c r="ON21" s="92"/>
      <c r="OO21" s="92"/>
      <c r="OP21" s="92"/>
      <c r="OQ21" s="92"/>
      <c r="OR21" s="92"/>
      <c r="OS21" s="92"/>
      <c r="OT21" s="92"/>
      <c r="OU21" s="92"/>
      <c r="OV21" s="92"/>
      <c r="OW21" s="92"/>
      <c r="OX21" s="92"/>
      <c r="OY21" s="92"/>
      <c r="OZ21" s="92"/>
      <c r="PA21" s="92"/>
      <c r="PB21" s="92"/>
      <c r="PC21" s="92"/>
      <c r="PD21" s="92"/>
      <c r="PE21" s="92"/>
      <c r="PF21" s="92"/>
      <c r="PG21" s="92"/>
      <c r="PH21" s="92"/>
      <c r="PI21" s="92"/>
      <c r="PJ21" s="92"/>
      <c r="PK21" s="92"/>
      <c r="PL21" s="92"/>
      <c r="PM21" s="92"/>
      <c r="PN21" s="92"/>
      <c r="PO21" s="92"/>
      <c r="PP21" s="92"/>
      <c r="PQ21" s="92"/>
      <c r="PR21" s="92"/>
      <c r="PS21" s="92"/>
      <c r="PT21" s="92"/>
      <c r="PU21" s="92"/>
      <c r="PV21" s="92"/>
      <c r="PW21" s="92"/>
      <c r="PX21" s="92"/>
      <c r="PY21" s="92"/>
      <c r="PZ21" s="92"/>
      <c r="QA21" s="92"/>
      <c r="QB21" s="92"/>
      <c r="QC21" s="92"/>
      <c r="QD21" s="92"/>
      <c r="QE21" s="92"/>
      <c r="QF21" s="92"/>
      <c r="QG21" s="92"/>
      <c r="QH21" s="92"/>
      <c r="QI21" s="92"/>
      <c r="QJ21" s="92"/>
      <c r="QK21" s="92"/>
      <c r="QL21" s="92"/>
      <c r="QM21" s="92"/>
      <c r="QN21" s="92"/>
      <c r="QO21" s="92"/>
      <c r="QP21" s="92"/>
      <c r="QQ21" s="92"/>
      <c r="QR21" s="92"/>
      <c r="QS21" s="92"/>
      <c r="QT21" s="92"/>
      <c r="QU21" s="92"/>
      <c r="QV21" s="92"/>
      <c r="QW21" s="92"/>
      <c r="QX21" s="92"/>
      <c r="QY21" s="92"/>
    </row>
    <row r="22" spans="1:467" ht="15.75">
      <c r="A22" s="461"/>
      <c r="B22" s="469" t="s">
        <v>11</v>
      </c>
      <c r="C22" s="505">
        <f t="shared" si="10"/>
        <v>0</v>
      </c>
      <c r="D22" s="505">
        <f t="shared" si="11"/>
        <v>0</v>
      </c>
      <c r="E22" s="505">
        <f t="shared" si="12"/>
        <v>9.6114825685804955E-2</v>
      </c>
      <c r="F22" s="506">
        <f t="shared" si="18"/>
        <v>9.6114825685804955E-2</v>
      </c>
      <c r="G22" s="461"/>
      <c r="H22" s="462"/>
      <c r="I22" s="462"/>
      <c r="J22" s="462"/>
      <c r="K22" s="580" t="s">
        <v>11</v>
      </c>
      <c r="L22" s="581">
        <f t="shared" si="13"/>
        <v>0</v>
      </c>
      <c r="M22" s="581">
        <f t="shared" si="14"/>
        <v>0</v>
      </c>
      <c r="N22" s="581">
        <f t="shared" si="15"/>
        <v>1.6476059068304514E-6</v>
      </c>
      <c r="O22" s="581">
        <f t="shared" si="16"/>
        <v>0</v>
      </c>
      <c r="P22" s="578"/>
      <c r="Q22" s="580" t="s">
        <v>11</v>
      </c>
      <c r="R22" s="580">
        <f t="shared" si="19"/>
        <v>0</v>
      </c>
      <c r="S22" s="580">
        <f t="shared" si="17"/>
        <v>0</v>
      </c>
      <c r="T22" s="580">
        <f t="shared" si="17"/>
        <v>4.569967959102855E-5</v>
      </c>
      <c r="U22" s="580">
        <f t="shared" si="17"/>
        <v>0</v>
      </c>
      <c r="V22" s="579"/>
      <c r="W22" s="580" t="s">
        <v>11</v>
      </c>
      <c r="X22" s="580">
        <f>'RESUMEN_SEC ELEC_PJ'!D25</f>
        <v>0</v>
      </c>
      <c r="Y22" s="580">
        <f>'RESUMEN_SEC ELEC_PJ'!E25</f>
        <v>0</v>
      </c>
      <c r="Z22" s="580">
        <f>'RESUMEN_SEC ELEC_PJ'!F25</f>
        <v>4.569967959102855E-5</v>
      </c>
      <c r="AA22" s="580">
        <f>'RESUMEN_SEC ELEC_PJ'!G25</f>
        <v>0</v>
      </c>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92"/>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2"/>
      <c r="CZ22" s="92"/>
      <c r="DA22" s="92"/>
      <c r="DB22" s="92"/>
      <c r="DC22" s="92"/>
      <c r="DD22" s="92"/>
      <c r="DE22" s="92"/>
      <c r="DF22" s="92"/>
      <c r="DG22" s="92"/>
      <c r="DH22" s="92"/>
      <c r="DI22" s="92"/>
      <c r="DJ22" s="92"/>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2"/>
      <c r="FV22" s="92"/>
      <c r="FW22" s="92"/>
      <c r="FX22" s="92"/>
      <c r="FY22" s="92"/>
      <c r="FZ22" s="92"/>
      <c r="GA22" s="92"/>
      <c r="GB22" s="92"/>
      <c r="GC22" s="92"/>
      <c r="GD22" s="92"/>
      <c r="GE22" s="92"/>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2"/>
      <c r="HE22" s="92"/>
      <c r="HF22" s="92"/>
      <c r="HG22" s="92"/>
      <c r="HH22" s="92"/>
      <c r="HI22" s="92"/>
      <c r="HJ22" s="92"/>
      <c r="HK22" s="92"/>
      <c r="HL22" s="92"/>
      <c r="HM22" s="92"/>
      <c r="HN22" s="92"/>
      <c r="HO22" s="92"/>
      <c r="HP22" s="92"/>
      <c r="HQ22" s="92"/>
      <c r="HR22" s="92"/>
      <c r="HS22" s="92"/>
      <c r="HT22" s="92"/>
      <c r="HU22" s="92"/>
      <c r="HV22" s="92"/>
      <c r="HW22" s="92"/>
      <c r="HX22" s="92"/>
      <c r="HY22" s="92"/>
      <c r="HZ22" s="92"/>
      <c r="IA22" s="92"/>
      <c r="IB22" s="92"/>
      <c r="IC22" s="92"/>
      <c r="ID22" s="92"/>
      <c r="IE22" s="92"/>
      <c r="IF22" s="92"/>
      <c r="IG22" s="92"/>
      <c r="IH22" s="92"/>
      <c r="II22" s="92"/>
      <c r="IJ22" s="92"/>
      <c r="IK22" s="92"/>
      <c r="IL22" s="92"/>
      <c r="IM22" s="92"/>
      <c r="IN22" s="92"/>
      <c r="IO22" s="92"/>
      <c r="IP22" s="92"/>
      <c r="IQ22" s="92"/>
      <c r="IR22" s="92"/>
      <c r="IS22" s="92"/>
      <c r="IT22" s="92"/>
      <c r="IU22" s="92"/>
      <c r="IV22" s="92"/>
      <c r="IW22" s="92"/>
      <c r="IX22" s="92"/>
      <c r="IY22" s="92"/>
      <c r="IZ22" s="92"/>
      <c r="JA22" s="92"/>
      <c r="JB22" s="92"/>
      <c r="JC22" s="92"/>
      <c r="JD22" s="92"/>
      <c r="JE22" s="92"/>
      <c r="JF22" s="92"/>
      <c r="JG22" s="92"/>
      <c r="JH22" s="92"/>
      <c r="JI22" s="92"/>
      <c r="JJ22" s="92"/>
      <c r="JK22" s="92"/>
      <c r="JL22" s="92"/>
      <c r="JM22" s="92"/>
      <c r="JN22" s="92"/>
      <c r="JO22" s="92"/>
      <c r="JP22" s="92"/>
      <c r="JQ22" s="92"/>
      <c r="JR22" s="92"/>
      <c r="JS22" s="92"/>
      <c r="JT22" s="92"/>
      <c r="JU22" s="92"/>
      <c r="JV22" s="92"/>
      <c r="JW22" s="92"/>
      <c r="JX22" s="92"/>
      <c r="JY22" s="92"/>
      <c r="JZ22" s="92"/>
      <c r="KA22" s="92"/>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2"/>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2"/>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2"/>
      <c r="MY22" s="92"/>
      <c r="MZ22" s="92"/>
      <c r="NA22" s="92"/>
      <c r="NB22" s="92"/>
      <c r="NC22" s="92"/>
      <c r="ND22" s="92"/>
      <c r="NE22" s="92"/>
      <c r="NF22" s="92"/>
      <c r="NG22" s="92"/>
      <c r="NH22" s="92"/>
      <c r="NI22" s="92"/>
      <c r="NJ22" s="92"/>
      <c r="NK22" s="92"/>
      <c r="NL22" s="92"/>
      <c r="NM22" s="92"/>
      <c r="NN22" s="92"/>
      <c r="NO22" s="92"/>
      <c r="NP22" s="92"/>
      <c r="NQ22" s="92"/>
      <c r="NR22" s="92"/>
      <c r="NS22" s="92"/>
      <c r="NT22" s="92"/>
      <c r="NU22" s="92"/>
      <c r="NV22" s="92"/>
      <c r="NW22" s="92"/>
      <c r="NX22" s="92"/>
      <c r="NY22" s="92"/>
      <c r="NZ22" s="92"/>
      <c r="OA22" s="92"/>
      <c r="OB22" s="92"/>
      <c r="OC22" s="92"/>
      <c r="OD22" s="92"/>
      <c r="OE22" s="92"/>
      <c r="OF22" s="92"/>
      <c r="OG22" s="92"/>
      <c r="OH22" s="92"/>
      <c r="OI22" s="92"/>
      <c r="OJ22" s="92"/>
      <c r="OK22" s="92"/>
      <c r="OL22" s="92"/>
      <c r="OM22" s="92"/>
      <c r="ON22" s="92"/>
      <c r="OO22" s="92"/>
      <c r="OP22" s="92"/>
      <c r="OQ22" s="92"/>
      <c r="OR22" s="92"/>
      <c r="OS22" s="92"/>
      <c r="OT22" s="92"/>
      <c r="OU22" s="92"/>
      <c r="OV22" s="92"/>
      <c r="OW22" s="92"/>
      <c r="OX22" s="92"/>
      <c r="OY22" s="92"/>
      <c r="OZ22" s="92"/>
      <c r="PA22" s="92"/>
      <c r="PB22" s="92"/>
      <c r="PC22" s="92"/>
      <c r="PD22" s="92"/>
      <c r="PE22" s="92"/>
      <c r="PF22" s="92"/>
      <c r="PG22" s="92"/>
      <c r="PH22" s="92"/>
      <c r="PI22" s="92"/>
      <c r="PJ22" s="92"/>
      <c r="PK22" s="92"/>
      <c r="PL22" s="92"/>
      <c r="PM22" s="92"/>
      <c r="PN22" s="92"/>
      <c r="PO22" s="92"/>
      <c r="PP22" s="92"/>
      <c r="PQ22" s="92"/>
      <c r="PR22" s="92"/>
      <c r="PS22" s="92"/>
      <c r="PT22" s="92"/>
      <c r="PU22" s="92"/>
      <c r="PV22" s="92"/>
      <c r="PW22" s="92"/>
      <c r="PX22" s="92"/>
      <c r="PY22" s="92"/>
      <c r="PZ22" s="92"/>
      <c r="QA22" s="92"/>
      <c r="QB22" s="92"/>
      <c r="QC22" s="92"/>
      <c r="QD22" s="92"/>
      <c r="QE22" s="92"/>
      <c r="QF22" s="92"/>
      <c r="QG22" s="92"/>
      <c r="QH22" s="92"/>
      <c r="QI22" s="92"/>
      <c r="QJ22" s="92"/>
      <c r="QK22" s="92"/>
      <c r="QL22" s="92"/>
      <c r="QM22" s="92"/>
      <c r="QN22" s="92"/>
      <c r="QO22" s="92"/>
      <c r="QP22" s="92"/>
      <c r="QQ22" s="92"/>
      <c r="QR22" s="92"/>
      <c r="QS22" s="92"/>
      <c r="QT22" s="92"/>
      <c r="QU22" s="92"/>
      <c r="QV22" s="92"/>
      <c r="QW22" s="92"/>
      <c r="QX22" s="92"/>
      <c r="QY22" s="92"/>
    </row>
    <row r="23" spans="1:467" ht="15.75">
      <c r="A23" s="461"/>
      <c r="B23" s="482" t="s">
        <v>220</v>
      </c>
      <c r="C23" s="505">
        <f t="shared" si="10"/>
        <v>0</v>
      </c>
      <c r="D23" s="505">
        <f>D8*M39</f>
        <v>444.29591150421123</v>
      </c>
      <c r="E23" s="505">
        <f t="shared" si="12"/>
        <v>10.974833229647974</v>
      </c>
      <c r="F23" s="506">
        <f t="shared" si="18"/>
        <v>455.2707447338592</v>
      </c>
      <c r="G23" s="461"/>
      <c r="H23" s="462"/>
      <c r="I23" s="462"/>
      <c r="J23" s="462"/>
      <c r="K23" s="582" t="s">
        <v>220</v>
      </c>
      <c r="L23" s="581">
        <f t="shared" si="13"/>
        <v>5.1455583601704248E-2</v>
      </c>
      <c r="M23" s="581">
        <f t="shared" si="14"/>
        <v>0.12698112295902433</v>
      </c>
      <c r="N23" s="581">
        <f t="shared" si="15"/>
        <v>0.11845255328920584</v>
      </c>
      <c r="O23" s="581">
        <f t="shared" si="16"/>
        <v>0</v>
      </c>
      <c r="P23" s="578"/>
      <c r="Q23" s="582" t="s">
        <v>220</v>
      </c>
      <c r="R23" s="580">
        <f>X23</f>
        <v>425.34769185223041</v>
      </c>
      <c r="S23" s="580">
        <f t="shared" si="17"/>
        <v>172.79084386292621</v>
      </c>
      <c r="T23" s="580">
        <f t="shared" si="17"/>
        <v>3.2855209547467332</v>
      </c>
      <c r="U23" s="580">
        <f t="shared" si="17"/>
        <v>0</v>
      </c>
      <c r="V23" s="579"/>
      <c r="W23" s="582" t="s">
        <v>220</v>
      </c>
      <c r="X23" s="580">
        <f>'RESUMEN_SEC ELEC_PJ'!D26</f>
        <v>425.34769185223041</v>
      </c>
      <c r="Y23" s="580">
        <f>'RESUMEN_SEC ELEC_PJ'!E26</f>
        <v>172.79084386292621</v>
      </c>
      <c r="Z23" s="580">
        <f>'RESUMEN_SEC ELEC_PJ'!F26</f>
        <v>3.2855209547467332</v>
      </c>
      <c r="AA23" s="580">
        <f>'RESUMEN_SEC ELEC_PJ'!G26</f>
        <v>0</v>
      </c>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c r="IW23" s="92"/>
      <c r="IX23" s="92"/>
      <c r="IY23" s="92"/>
      <c r="IZ23" s="92"/>
      <c r="JA23" s="92"/>
      <c r="JB23" s="92"/>
      <c r="JC23" s="92"/>
      <c r="JD23" s="92"/>
      <c r="JE23" s="92"/>
      <c r="JF23" s="92"/>
      <c r="JG23" s="92"/>
      <c r="JH23" s="92"/>
      <c r="JI23" s="92"/>
      <c r="JJ23" s="92"/>
      <c r="JK23" s="92"/>
      <c r="JL23" s="92"/>
      <c r="JM23" s="92"/>
      <c r="JN23" s="92"/>
      <c r="JO23" s="92"/>
      <c r="JP23" s="92"/>
      <c r="JQ23" s="92"/>
      <c r="JR23" s="92"/>
      <c r="JS23" s="92"/>
      <c r="JT23" s="92"/>
      <c r="JU23" s="92"/>
      <c r="JV23" s="92"/>
      <c r="JW23" s="92"/>
      <c r="JX23" s="92"/>
      <c r="JY23" s="92"/>
      <c r="JZ23" s="92"/>
      <c r="KA23" s="92"/>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2"/>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2"/>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2"/>
      <c r="MY23" s="92"/>
      <c r="MZ23" s="92"/>
      <c r="NA23" s="92"/>
      <c r="NB23" s="92"/>
      <c r="NC23" s="92"/>
      <c r="ND23" s="92"/>
      <c r="NE23" s="92"/>
      <c r="NF23" s="92"/>
      <c r="NG23" s="92"/>
      <c r="NH23" s="92"/>
      <c r="NI23" s="92"/>
      <c r="NJ23" s="92"/>
      <c r="NK23" s="92"/>
      <c r="NL23" s="92"/>
      <c r="NM23" s="92"/>
      <c r="NN23" s="92"/>
      <c r="NO23" s="92"/>
      <c r="NP23" s="92"/>
      <c r="NQ23" s="92"/>
      <c r="NR23" s="92"/>
      <c r="NS23" s="92"/>
      <c r="NT23" s="92"/>
      <c r="NU23" s="92"/>
      <c r="NV23" s="92"/>
      <c r="NW23" s="92"/>
      <c r="NX23" s="92"/>
      <c r="NY23" s="92"/>
      <c r="NZ23" s="92"/>
      <c r="OA23" s="92"/>
      <c r="OB23" s="92"/>
      <c r="OC23" s="92"/>
      <c r="OD23" s="92"/>
      <c r="OE23" s="92"/>
      <c r="OF23" s="92"/>
      <c r="OG23" s="92"/>
      <c r="OH23" s="92"/>
      <c r="OI23" s="92"/>
      <c r="OJ23" s="92"/>
      <c r="OK23" s="92"/>
      <c r="OL23" s="92"/>
      <c r="OM23" s="92"/>
      <c r="ON23" s="92"/>
      <c r="OO23" s="92"/>
      <c r="OP23" s="92"/>
      <c r="OQ23" s="92"/>
      <c r="OR23" s="92"/>
      <c r="OS23" s="92"/>
      <c r="OT23" s="92"/>
      <c r="OU23" s="92"/>
      <c r="OV23" s="92"/>
      <c r="OW23" s="92"/>
      <c r="OX23" s="92"/>
      <c r="OY23" s="92"/>
      <c r="OZ23" s="92"/>
      <c r="PA23" s="92"/>
      <c r="PB23" s="92"/>
      <c r="PC23" s="92"/>
      <c r="PD23" s="92"/>
      <c r="PE23" s="92"/>
      <c r="PF23" s="92"/>
      <c r="PG23" s="92"/>
      <c r="PH23" s="92"/>
      <c r="PI23" s="92"/>
      <c r="PJ23" s="92"/>
      <c r="PK23" s="92"/>
      <c r="PL23" s="92"/>
      <c r="PM23" s="92"/>
      <c r="PN23" s="92"/>
      <c r="PO23" s="92"/>
      <c r="PP23" s="92"/>
      <c r="PQ23" s="92"/>
      <c r="PR23" s="92"/>
      <c r="PS23" s="92"/>
      <c r="PT23" s="92"/>
      <c r="PU23" s="92"/>
      <c r="PV23" s="92"/>
      <c r="PW23" s="92"/>
      <c r="PX23" s="92"/>
      <c r="PY23" s="92"/>
      <c r="PZ23" s="92"/>
      <c r="QA23" s="92"/>
      <c r="QB23" s="92"/>
      <c r="QC23" s="92"/>
      <c r="QD23" s="92"/>
      <c r="QE23" s="92"/>
      <c r="QF23" s="92"/>
      <c r="QG23" s="92"/>
      <c r="QH23" s="92"/>
      <c r="QI23" s="92"/>
      <c r="QJ23" s="92"/>
      <c r="QK23" s="92"/>
      <c r="QL23" s="92"/>
      <c r="QM23" s="92"/>
      <c r="QN23" s="92"/>
      <c r="QO23" s="92"/>
      <c r="QP23" s="92"/>
      <c r="QQ23" s="92"/>
      <c r="QR23" s="92"/>
      <c r="QS23" s="92"/>
      <c r="QT23" s="92"/>
      <c r="QU23" s="92"/>
      <c r="QV23" s="92"/>
      <c r="QW23" s="92"/>
      <c r="QX23" s="92"/>
      <c r="QY23" s="92"/>
    </row>
    <row r="24" spans="1:467" ht="15.75">
      <c r="A24" s="461"/>
      <c r="B24" s="487" t="s">
        <v>365</v>
      </c>
      <c r="C24" s="505">
        <f t="shared" si="10"/>
        <v>0</v>
      </c>
      <c r="D24" s="505">
        <f t="shared" si="11"/>
        <v>261.4806373332159</v>
      </c>
      <c r="E24" s="505">
        <f t="shared" si="12"/>
        <v>6.4589979633132568</v>
      </c>
      <c r="F24" s="506">
        <f t="shared" si="18"/>
        <v>267.93963529652916</v>
      </c>
      <c r="G24" s="461"/>
      <c r="H24" s="462"/>
      <c r="I24" s="462"/>
      <c r="J24" s="462"/>
      <c r="K24" s="579" t="s">
        <v>365</v>
      </c>
      <c r="L24" s="581">
        <f t="shared" si="13"/>
        <v>0</v>
      </c>
      <c r="M24" s="581">
        <f t="shared" si="14"/>
        <v>0</v>
      </c>
      <c r="N24" s="581">
        <f t="shared" si="15"/>
        <v>0</v>
      </c>
      <c r="O24" s="581">
        <f t="shared" si="16"/>
        <v>1</v>
      </c>
      <c r="P24" s="578"/>
      <c r="Q24" s="579" t="s">
        <v>365</v>
      </c>
      <c r="R24" s="580">
        <f t="shared" si="19"/>
        <v>0</v>
      </c>
      <c r="S24" s="580">
        <f t="shared" si="17"/>
        <v>0</v>
      </c>
      <c r="T24" s="580">
        <f t="shared" si="17"/>
        <v>0</v>
      </c>
      <c r="U24" s="580">
        <f t="shared" si="17"/>
        <v>126.45347756049459</v>
      </c>
      <c r="V24" s="579"/>
      <c r="W24" s="579" t="s">
        <v>365</v>
      </c>
      <c r="X24" s="580">
        <f>'RESUMEN_SEC ELEC_PJ'!D27</f>
        <v>0</v>
      </c>
      <c r="Y24" s="580">
        <f>'RESUMEN_SEC ELEC_PJ'!E27</f>
        <v>0</v>
      </c>
      <c r="Z24" s="580">
        <f>'RESUMEN_SEC ELEC_PJ'!F27</f>
        <v>0</v>
      </c>
      <c r="AA24" s="580">
        <f>'RESUMEN_SEC ELEC_PJ'!G27</f>
        <v>126.45347756049459</v>
      </c>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c r="IW24" s="92"/>
      <c r="IX24" s="92"/>
      <c r="IY24" s="92"/>
      <c r="IZ24" s="92"/>
      <c r="JA24" s="92"/>
      <c r="JB24" s="92"/>
      <c r="JC24" s="92"/>
      <c r="JD24" s="92"/>
      <c r="JE24" s="92"/>
      <c r="JF24" s="92"/>
      <c r="JG24" s="92"/>
      <c r="JH24" s="92"/>
      <c r="JI24" s="92"/>
      <c r="JJ24" s="92"/>
      <c r="JK24" s="92"/>
      <c r="JL24" s="92"/>
      <c r="JM24" s="92"/>
      <c r="JN24" s="92"/>
      <c r="JO24" s="92"/>
      <c r="JP24" s="92"/>
      <c r="JQ24" s="92"/>
      <c r="JR24" s="92"/>
      <c r="JS24" s="92"/>
      <c r="JT24" s="92"/>
      <c r="JU24" s="92"/>
      <c r="JV24" s="92"/>
      <c r="JW24" s="92"/>
      <c r="JX24" s="92"/>
      <c r="JY24" s="92"/>
      <c r="JZ24" s="92"/>
      <c r="KA24" s="92"/>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2"/>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2"/>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2"/>
      <c r="MY24" s="92"/>
      <c r="MZ24" s="92"/>
      <c r="NA24" s="92"/>
      <c r="NB24" s="92"/>
      <c r="NC24" s="92"/>
      <c r="ND24" s="92"/>
      <c r="NE24" s="92"/>
      <c r="NF24" s="92"/>
      <c r="NG24" s="92"/>
      <c r="NH24" s="92"/>
      <c r="NI24" s="92"/>
      <c r="NJ24" s="92"/>
      <c r="NK24" s="92"/>
      <c r="NL24" s="92"/>
      <c r="NM24" s="92"/>
      <c r="NN24" s="92"/>
      <c r="NO24" s="92"/>
      <c r="NP24" s="92"/>
      <c r="NQ24" s="92"/>
      <c r="NR24" s="92"/>
      <c r="NS24" s="92"/>
      <c r="NT24" s="92"/>
      <c r="NU24" s="92"/>
      <c r="NV24" s="92"/>
      <c r="NW24" s="92"/>
      <c r="NX24" s="92"/>
      <c r="NY24" s="92"/>
      <c r="NZ24" s="92"/>
      <c r="OA24" s="92"/>
      <c r="OB24" s="92"/>
      <c r="OC24" s="92"/>
      <c r="OD24" s="92"/>
      <c r="OE24" s="92"/>
      <c r="OF24" s="92"/>
      <c r="OG24" s="92"/>
      <c r="OH24" s="92"/>
      <c r="OI24" s="92"/>
      <c r="OJ24" s="92"/>
      <c r="OK24" s="92"/>
      <c r="OL24" s="92"/>
      <c r="OM24" s="92"/>
      <c r="ON24" s="92"/>
      <c r="OO24" s="92"/>
      <c r="OP24" s="92"/>
      <c r="OQ24" s="92"/>
      <c r="OR24" s="92"/>
      <c r="OS24" s="92"/>
      <c r="OT24" s="92"/>
      <c r="OU24" s="92"/>
      <c r="OV24" s="92"/>
      <c r="OW24" s="92"/>
      <c r="OX24" s="92"/>
      <c r="OY24" s="92"/>
      <c r="OZ24" s="92"/>
      <c r="PA24" s="92"/>
      <c r="PB24" s="92"/>
      <c r="PC24" s="92"/>
      <c r="PD24" s="92"/>
      <c r="PE24" s="92"/>
      <c r="PF24" s="92"/>
      <c r="PG24" s="92"/>
      <c r="PH24" s="92"/>
      <c r="PI24" s="92"/>
      <c r="PJ24" s="92"/>
      <c r="PK24" s="92"/>
      <c r="PL24" s="92"/>
      <c r="PM24" s="92"/>
      <c r="PN24" s="92"/>
      <c r="PO24" s="92"/>
      <c r="PP24" s="92"/>
      <c r="PQ24" s="92"/>
      <c r="PR24" s="92"/>
      <c r="PS24" s="92"/>
      <c r="PT24" s="92"/>
      <c r="PU24" s="92"/>
      <c r="PV24" s="92"/>
      <c r="PW24" s="92"/>
      <c r="PX24" s="92"/>
      <c r="PY24" s="92"/>
      <c r="PZ24" s="92"/>
      <c r="QA24" s="92"/>
      <c r="QB24" s="92"/>
      <c r="QC24" s="92"/>
      <c r="QD24" s="92"/>
      <c r="QE24" s="92"/>
      <c r="QF24" s="92"/>
      <c r="QG24" s="92"/>
      <c r="QH24" s="92"/>
      <c r="QI24" s="92"/>
      <c r="QJ24" s="92"/>
      <c r="QK24" s="92"/>
      <c r="QL24" s="92"/>
      <c r="QM24" s="92"/>
      <c r="QN24" s="92"/>
      <c r="QO24" s="92"/>
      <c r="QP24" s="92"/>
      <c r="QQ24" s="92"/>
      <c r="QR24" s="92"/>
      <c r="QS24" s="92"/>
      <c r="QT24" s="92"/>
      <c r="QU24" s="92"/>
      <c r="QV24" s="92"/>
      <c r="QW24" s="92"/>
      <c r="QX24" s="92"/>
      <c r="QY24" s="92"/>
    </row>
    <row r="25" spans="1:467" ht="15.75">
      <c r="A25" s="461"/>
      <c r="B25" s="487" t="s">
        <v>366</v>
      </c>
      <c r="C25" s="505">
        <f t="shared" si="10"/>
        <v>0</v>
      </c>
      <c r="D25" s="505">
        <f t="shared" si="11"/>
        <v>0</v>
      </c>
      <c r="E25" s="505">
        <f t="shared" si="12"/>
        <v>2.8287900035953197E-3</v>
      </c>
      <c r="F25" s="506">
        <f t="shared" si="18"/>
        <v>2.8287900035953197E-3</v>
      </c>
      <c r="G25" s="461"/>
      <c r="H25" s="462"/>
      <c r="I25" s="462"/>
      <c r="J25" s="462"/>
      <c r="K25" s="579" t="s">
        <v>366</v>
      </c>
      <c r="L25" s="581">
        <f t="shared" si="13"/>
        <v>0</v>
      </c>
      <c r="M25" s="581">
        <f t="shared" si="14"/>
        <v>0</v>
      </c>
      <c r="N25" s="581">
        <f t="shared" si="15"/>
        <v>0</v>
      </c>
      <c r="O25" s="581">
        <f t="shared" si="16"/>
        <v>0</v>
      </c>
      <c r="P25" s="578"/>
      <c r="Q25" s="579" t="s">
        <v>366</v>
      </c>
      <c r="R25" s="580">
        <f t="shared" si="19"/>
        <v>0</v>
      </c>
      <c r="S25" s="580">
        <f t="shared" si="17"/>
        <v>0</v>
      </c>
      <c r="T25" s="580">
        <f t="shared" si="17"/>
        <v>0</v>
      </c>
      <c r="U25" s="580">
        <f t="shared" si="17"/>
        <v>0</v>
      </c>
      <c r="V25" s="579"/>
      <c r="W25" s="579" t="s">
        <v>366</v>
      </c>
      <c r="X25" s="580">
        <f>'RESUMEN_SEC ELEC_PJ'!D28</f>
        <v>0</v>
      </c>
      <c r="Y25" s="580">
        <f>'RESUMEN_SEC ELEC_PJ'!E28</f>
        <v>0</v>
      </c>
      <c r="Z25" s="580">
        <f>'RESUMEN_SEC ELEC_PJ'!F28</f>
        <v>0</v>
      </c>
      <c r="AA25" s="580">
        <f>'RESUMEN_SEC ELEC_PJ'!G28</f>
        <v>0</v>
      </c>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c r="IW25" s="92"/>
      <c r="IX25" s="92"/>
      <c r="IY25" s="92"/>
      <c r="IZ25" s="92"/>
      <c r="JA25" s="92"/>
      <c r="JB25" s="92"/>
      <c r="JC25" s="92"/>
      <c r="JD25" s="92"/>
      <c r="JE25" s="92"/>
      <c r="JF25" s="92"/>
      <c r="JG25" s="92"/>
      <c r="JH25" s="92"/>
      <c r="JI25" s="92"/>
      <c r="JJ25" s="92"/>
      <c r="JK25" s="92"/>
      <c r="JL25" s="92"/>
      <c r="JM25" s="92"/>
      <c r="JN25" s="92"/>
      <c r="JO25" s="92"/>
      <c r="JP25" s="92"/>
      <c r="JQ25" s="92"/>
      <c r="JR25" s="92"/>
      <c r="JS25" s="92"/>
      <c r="JT25" s="92"/>
      <c r="JU25" s="92"/>
      <c r="JV25" s="92"/>
      <c r="JW25" s="92"/>
      <c r="JX25" s="92"/>
      <c r="JY25" s="92"/>
      <c r="JZ25" s="92"/>
      <c r="KA25" s="92"/>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2"/>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2"/>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2"/>
      <c r="MY25" s="92"/>
      <c r="MZ25" s="92"/>
      <c r="NA25" s="92"/>
      <c r="NB25" s="92"/>
      <c r="NC25" s="92"/>
      <c r="ND25" s="92"/>
      <c r="NE25" s="92"/>
      <c r="NF25" s="92"/>
      <c r="NG25" s="92"/>
      <c r="NH25" s="92"/>
      <c r="NI25" s="92"/>
      <c r="NJ25" s="92"/>
      <c r="NK25" s="92"/>
      <c r="NL25" s="92"/>
      <c r="NM25" s="92"/>
      <c r="NN25" s="92"/>
      <c r="NO25" s="92"/>
      <c r="NP25" s="92"/>
      <c r="NQ25" s="92"/>
      <c r="NR25" s="92"/>
      <c r="NS25" s="92"/>
      <c r="NT25" s="92"/>
      <c r="NU25" s="92"/>
      <c r="NV25" s="92"/>
      <c r="NW25" s="92"/>
      <c r="NX25" s="92"/>
      <c r="NY25" s="92"/>
      <c r="NZ25" s="92"/>
      <c r="OA25" s="92"/>
      <c r="OB25" s="92"/>
      <c r="OC25" s="92"/>
      <c r="OD25" s="92"/>
      <c r="OE25" s="92"/>
      <c r="OF25" s="92"/>
      <c r="OG25" s="92"/>
      <c r="OH25" s="92"/>
      <c r="OI25" s="92"/>
      <c r="OJ25" s="92"/>
      <c r="OK25" s="92"/>
      <c r="OL25" s="92"/>
      <c r="OM25" s="92"/>
      <c r="ON25" s="92"/>
      <c r="OO25" s="92"/>
      <c r="OP25" s="92"/>
      <c r="OQ25" s="92"/>
      <c r="OR25" s="92"/>
      <c r="OS25" s="92"/>
      <c r="OT25" s="92"/>
      <c r="OU25" s="92"/>
      <c r="OV25" s="92"/>
      <c r="OW25" s="92"/>
      <c r="OX25" s="92"/>
      <c r="OY25" s="92"/>
      <c r="OZ25" s="92"/>
      <c r="PA25" s="92"/>
      <c r="PB25" s="92"/>
      <c r="PC25" s="92"/>
      <c r="PD25" s="92"/>
      <c r="PE25" s="92"/>
      <c r="PF25" s="92"/>
      <c r="PG25" s="92"/>
      <c r="PH25" s="92"/>
      <c r="PI25" s="92"/>
      <c r="PJ25" s="92"/>
      <c r="PK25" s="92"/>
      <c r="PL25" s="92"/>
      <c r="PM25" s="92"/>
      <c r="PN25" s="92"/>
      <c r="PO25" s="92"/>
      <c r="PP25" s="92"/>
      <c r="PQ25" s="92"/>
      <c r="PR25" s="92"/>
      <c r="PS25" s="92"/>
      <c r="PT25" s="92"/>
      <c r="PU25" s="92"/>
      <c r="PV25" s="92"/>
      <c r="PW25" s="92"/>
      <c r="PX25" s="92"/>
      <c r="PY25" s="92"/>
      <c r="PZ25" s="92"/>
      <c r="QA25" s="92"/>
      <c r="QB25" s="92"/>
      <c r="QC25" s="92"/>
      <c r="QD25" s="92"/>
      <c r="QE25" s="92"/>
      <c r="QF25" s="92"/>
      <c r="QG25" s="92"/>
      <c r="QH25" s="92"/>
      <c r="QI25" s="92"/>
      <c r="QJ25" s="92"/>
      <c r="QK25" s="92"/>
      <c r="QL25" s="92"/>
      <c r="QM25" s="92"/>
      <c r="QN25" s="92"/>
      <c r="QO25" s="92"/>
      <c r="QP25" s="92"/>
      <c r="QQ25" s="92"/>
      <c r="QR25" s="92"/>
      <c r="QS25" s="92"/>
      <c r="QT25" s="92"/>
      <c r="QU25" s="92"/>
      <c r="QV25" s="92"/>
      <c r="QW25" s="92"/>
      <c r="QX25" s="92"/>
      <c r="QY25" s="92"/>
    </row>
    <row r="26" spans="1:467" ht="15.75">
      <c r="A26" s="461"/>
      <c r="B26" s="486" t="s">
        <v>187</v>
      </c>
      <c r="C26" s="505">
        <f t="shared" si="10"/>
        <v>0</v>
      </c>
      <c r="D26" s="505">
        <f t="shared" si="11"/>
        <v>0</v>
      </c>
      <c r="E26" s="505">
        <f t="shared" si="12"/>
        <v>58.184240370059157</v>
      </c>
      <c r="F26" s="506">
        <f t="shared" si="18"/>
        <v>58.184240370059157</v>
      </c>
      <c r="G26" s="461"/>
      <c r="H26" s="462"/>
      <c r="I26" s="462"/>
      <c r="J26" s="462"/>
      <c r="K26" s="583" t="s">
        <v>187</v>
      </c>
      <c r="L26" s="581">
        <f t="shared" si="13"/>
        <v>0</v>
      </c>
      <c r="M26" s="581">
        <f t="shared" si="14"/>
        <v>0</v>
      </c>
      <c r="N26" s="581">
        <f t="shared" si="15"/>
        <v>4.3961546965884786E-2</v>
      </c>
      <c r="O26" s="581">
        <f t="shared" si="16"/>
        <v>0</v>
      </c>
      <c r="P26" s="578"/>
      <c r="Q26" s="583" t="s">
        <v>187</v>
      </c>
      <c r="R26" s="580">
        <f t="shared" si="19"/>
        <v>0</v>
      </c>
      <c r="S26" s="580">
        <f t="shared" si="17"/>
        <v>0</v>
      </c>
      <c r="T26" s="580">
        <f t="shared" si="17"/>
        <v>1.2193623501458042</v>
      </c>
      <c r="U26" s="580">
        <f t="shared" si="17"/>
        <v>0</v>
      </c>
      <c r="V26" s="579"/>
      <c r="W26" s="583" t="s">
        <v>187</v>
      </c>
      <c r="X26" s="580">
        <f>'RESUMEN_SEC ELEC_PJ'!D29</f>
        <v>0</v>
      </c>
      <c r="Y26" s="580">
        <f>'RESUMEN_SEC ELEC_PJ'!E29</f>
        <v>0</v>
      </c>
      <c r="Z26" s="580">
        <f>'RESUMEN_SEC ELEC_PJ'!F29</f>
        <v>1.2193623501458042</v>
      </c>
      <c r="AA26" s="580">
        <f>'RESUMEN_SEC ELEC_PJ'!G29</f>
        <v>0</v>
      </c>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92"/>
      <c r="AZ26" s="92"/>
      <c r="BA26" s="92"/>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2"/>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2"/>
      <c r="CZ26" s="92"/>
      <c r="DA26" s="92"/>
      <c r="DB26" s="92"/>
      <c r="DC26" s="92"/>
      <c r="DD26" s="92"/>
      <c r="DE26" s="92"/>
      <c r="DF26" s="92"/>
      <c r="DG26" s="92"/>
      <c r="DH26" s="92"/>
      <c r="DI26" s="92"/>
      <c r="DJ26" s="92"/>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2"/>
      <c r="FV26" s="92"/>
      <c r="FW26" s="92"/>
      <c r="FX26" s="92"/>
      <c r="FY26" s="92"/>
      <c r="FZ26" s="92"/>
      <c r="GA26" s="92"/>
      <c r="GB26" s="92"/>
      <c r="GC26" s="92"/>
      <c r="GD26" s="92"/>
      <c r="GE26" s="92"/>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2"/>
      <c r="HE26" s="92"/>
      <c r="HF26" s="92"/>
      <c r="HG26" s="92"/>
      <c r="HH26" s="92"/>
      <c r="HI26" s="92"/>
      <c r="HJ26" s="92"/>
      <c r="HK26" s="92"/>
      <c r="HL26" s="92"/>
      <c r="HM26" s="92"/>
      <c r="HN26" s="92"/>
      <c r="HO26" s="92"/>
      <c r="HP26" s="92"/>
      <c r="HQ26" s="92"/>
      <c r="HR26" s="92"/>
      <c r="HS26" s="92"/>
      <c r="HT26" s="92"/>
      <c r="HU26" s="92"/>
      <c r="HV26" s="92"/>
      <c r="HW26" s="92"/>
      <c r="HX26" s="92"/>
      <c r="HY26" s="92"/>
      <c r="HZ26" s="92"/>
      <c r="IA26" s="92"/>
      <c r="IB26" s="92"/>
      <c r="IC26" s="92"/>
      <c r="ID26" s="92"/>
      <c r="IE26" s="92"/>
      <c r="IF26" s="92"/>
      <c r="IG26" s="92"/>
      <c r="IH26" s="92"/>
      <c r="II26" s="92"/>
      <c r="IJ26" s="92"/>
      <c r="IK26" s="92"/>
      <c r="IL26" s="92"/>
      <c r="IM26" s="92"/>
      <c r="IN26" s="92"/>
      <c r="IO26" s="92"/>
      <c r="IP26" s="92"/>
      <c r="IQ26" s="92"/>
      <c r="IR26" s="92"/>
      <c r="IS26" s="92"/>
      <c r="IT26" s="92"/>
      <c r="IU26" s="92"/>
      <c r="IV26" s="92"/>
      <c r="IW26" s="92"/>
      <c r="IX26" s="92"/>
      <c r="IY26" s="92"/>
      <c r="IZ26" s="92"/>
      <c r="JA26" s="92"/>
      <c r="JB26" s="92"/>
      <c r="JC26" s="92"/>
      <c r="JD26" s="92"/>
      <c r="JE26" s="92"/>
      <c r="JF26" s="92"/>
      <c r="JG26" s="92"/>
      <c r="JH26" s="92"/>
      <c r="JI26" s="92"/>
      <c r="JJ26" s="92"/>
      <c r="JK26" s="92"/>
      <c r="JL26" s="92"/>
      <c r="JM26" s="92"/>
      <c r="JN26" s="92"/>
      <c r="JO26" s="92"/>
      <c r="JP26" s="92"/>
      <c r="JQ26" s="92"/>
      <c r="JR26" s="92"/>
      <c r="JS26" s="92"/>
      <c r="JT26" s="92"/>
      <c r="JU26" s="92"/>
      <c r="JV26" s="92"/>
      <c r="JW26" s="92"/>
      <c r="JX26" s="92"/>
      <c r="JY26" s="92"/>
      <c r="JZ26" s="92"/>
      <c r="KA26" s="92"/>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2"/>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2"/>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2"/>
      <c r="MY26" s="92"/>
      <c r="MZ26" s="92"/>
      <c r="NA26" s="92"/>
      <c r="NB26" s="92"/>
      <c r="NC26" s="92"/>
      <c r="ND26" s="92"/>
      <c r="NE26" s="92"/>
      <c r="NF26" s="92"/>
      <c r="NG26" s="92"/>
      <c r="NH26" s="92"/>
      <c r="NI26" s="92"/>
      <c r="NJ26" s="92"/>
      <c r="NK26" s="92"/>
      <c r="NL26" s="92"/>
      <c r="NM26" s="92"/>
      <c r="NN26" s="92"/>
      <c r="NO26" s="92"/>
      <c r="NP26" s="92"/>
      <c r="NQ26" s="92"/>
      <c r="NR26" s="92"/>
      <c r="NS26" s="92"/>
      <c r="NT26" s="92"/>
      <c r="NU26" s="92"/>
      <c r="NV26" s="92"/>
      <c r="NW26" s="92"/>
      <c r="NX26" s="92"/>
      <c r="NY26" s="92"/>
      <c r="NZ26" s="92"/>
      <c r="OA26" s="92"/>
      <c r="OB26" s="92"/>
      <c r="OC26" s="92"/>
      <c r="OD26" s="92"/>
      <c r="OE26" s="92"/>
      <c r="OF26" s="92"/>
      <c r="OG26" s="92"/>
      <c r="OH26" s="92"/>
      <c r="OI26" s="92"/>
      <c r="OJ26" s="92"/>
      <c r="OK26" s="92"/>
      <c r="OL26" s="92"/>
      <c r="OM26" s="92"/>
      <c r="ON26" s="92"/>
      <c r="OO26" s="92"/>
      <c r="OP26" s="92"/>
      <c r="OQ26" s="92"/>
      <c r="OR26" s="92"/>
      <c r="OS26" s="92"/>
      <c r="OT26" s="92"/>
      <c r="OU26" s="92"/>
      <c r="OV26" s="92"/>
      <c r="OW26" s="92"/>
      <c r="OX26" s="92"/>
      <c r="OY26" s="92"/>
      <c r="OZ26" s="92"/>
      <c r="PA26" s="92"/>
      <c r="PB26" s="92"/>
      <c r="PC26" s="92"/>
      <c r="PD26" s="92"/>
      <c r="PE26" s="92"/>
      <c r="PF26" s="92"/>
      <c r="PG26" s="92"/>
      <c r="PH26" s="92"/>
      <c r="PI26" s="92"/>
      <c r="PJ26" s="92"/>
      <c r="PK26" s="92"/>
      <c r="PL26" s="92"/>
      <c r="PM26" s="92"/>
      <c r="PN26" s="92"/>
      <c r="PO26" s="92"/>
      <c r="PP26" s="92"/>
      <c r="PQ26" s="92"/>
      <c r="PR26" s="92"/>
      <c r="PS26" s="92"/>
      <c r="PT26" s="92"/>
      <c r="PU26" s="92"/>
      <c r="PV26" s="92"/>
      <c r="PW26" s="92"/>
      <c r="PX26" s="92"/>
      <c r="PY26" s="92"/>
      <c r="PZ26" s="92"/>
      <c r="QA26" s="92"/>
      <c r="QB26" s="92"/>
      <c r="QC26" s="92"/>
      <c r="QD26" s="92"/>
      <c r="QE26" s="92"/>
      <c r="QF26" s="92"/>
      <c r="QG26" s="92"/>
      <c r="QH26" s="92"/>
      <c r="QI26" s="92"/>
      <c r="QJ26" s="92"/>
      <c r="QK26" s="92"/>
      <c r="QL26" s="92"/>
      <c r="QM26" s="92"/>
      <c r="QN26" s="92"/>
      <c r="QO26" s="92"/>
      <c r="QP26" s="92"/>
      <c r="QQ26" s="92"/>
      <c r="QR26" s="92"/>
      <c r="QS26" s="92"/>
      <c r="QT26" s="92"/>
      <c r="QU26" s="92"/>
      <c r="QV26" s="92"/>
      <c r="QW26" s="92"/>
      <c r="QX26" s="92"/>
      <c r="QY26" s="92"/>
    </row>
    <row r="27" spans="1:467" ht="15.75">
      <c r="A27" s="461"/>
      <c r="B27" s="486" t="s">
        <v>222</v>
      </c>
      <c r="C27" s="505">
        <f>C12*L43</f>
        <v>32290.595000000001</v>
      </c>
      <c r="D27" s="505">
        <f t="shared" si="11"/>
        <v>0</v>
      </c>
      <c r="E27" s="505">
        <f t="shared" si="12"/>
        <v>176.97429098575947</v>
      </c>
      <c r="F27" s="506">
        <f t="shared" si="18"/>
        <v>32467.569290985761</v>
      </c>
      <c r="G27" s="461"/>
      <c r="H27" s="462"/>
      <c r="I27" s="462"/>
      <c r="J27" s="462"/>
      <c r="K27" s="583" t="s">
        <v>222</v>
      </c>
      <c r="L27" s="581">
        <f t="shared" si="13"/>
        <v>4.7929654594432106E-3</v>
      </c>
      <c r="M27" s="581">
        <f t="shared" si="14"/>
        <v>0</v>
      </c>
      <c r="N27" s="581">
        <f>T27/T$31</f>
        <v>0.30929267012213774</v>
      </c>
      <c r="O27" s="581">
        <f t="shared" si="16"/>
        <v>0</v>
      </c>
      <c r="P27" s="578"/>
      <c r="Q27" s="583" t="s">
        <v>222</v>
      </c>
      <c r="R27" s="580">
        <f t="shared" si="19"/>
        <v>39.620127741280001</v>
      </c>
      <c r="S27" s="580">
        <f t="shared" si="17"/>
        <v>0</v>
      </c>
      <c r="T27" s="580">
        <f t="shared" si="17"/>
        <v>8.5788572776037739</v>
      </c>
      <c r="U27" s="580">
        <f t="shared" si="17"/>
        <v>0</v>
      </c>
      <c r="V27" s="579"/>
      <c r="W27" s="583" t="s">
        <v>222</v>
      </c>
      <c r="X27" s="580">
        <f>'RESUMEN_SEC ELEC_PJ'!D30</f>
        <v>39.620127741280001</v>
      </c>
      <c r="Y27" s="580">
        <f>'RESUMEN_SEC ELEC_PJ'!E30</f>
        <v>0</v>
      </c>
      <c r="Z27" s="580">
        <f>'RESUMEN_SEC ELEC_PJ'!F30</f>
        <v>8.5788572776037739</v>
      </c>
      <c r="AA27" s="580">
        <f>'RESUMEN_SEC ELEC_PJ'!G30</f>
        <v>0</v>
      </c>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c r="IW27" s="92"/>
      <c r="IX27" s="92"/>
      <c r="IY27" s="92"/>
      <c r="IZ27" s="92"/>
      <c r="JA27" s="92"/>
      <c r="JB27" s="92"/>
      <c r="JC27" s="92"/>
      <c r="JD27" s="92"/>
      <c r="JE27" s="92"/>
      <c r="JF27" s="92"/>
      <c r="JG27" s="92"/>
      <c r="JH27" s="92"/>
      <c r="JI27" s="92"/>
      <c r="JJ27" s="92"/>
      <c r="JK27" s="92"/>
      <c r="JL27" s="92"/>
      <c r="JM27" s="92"/>
      <c r="JN27" s="92"/>
      <c r="JO27" s="92"/>
      <c r="JP27" s="92"/>
      <c r="JQ27" s="92"/>
      <c r="JR27" s="92"/>
      <c r="JS27" s="92"/>
      <c r="JT27" s="92"/>
      <c r="JU27" s="92"/>
      <c r="JV27" s="92"/>
      <c r="JW27" s="92"/>
      <c r="JX27" s="92"/>
      <c r="JY27" s="92"/>
      <c r="JZ27" s="92"/>
      <c r="KA27" s="92"/>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2"/>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2"/>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2"/>
      <c r="MY27" s="92"/>
      <c r="MZ27" s="92"/>
      <c r="NA27" s="92"/>
      <c r="NB27" s="92"/>
      <c r="NC27" s="92"/>
      <c r="ND27" s="92"/>
      <c r="NE27" s="92"/>
      <c r="NF27" s="92"/>
      <c r="NG27" s="92"/>
      <c r="NH27" s="92"/>
      <c r="NI27" s="92"/>
      <c r="NJ27" s="92"/>
      <c r="NK27" s="92"/>
      <c r="NL27" s="92"/>
      <c r="NM27" s="92"/>
      <c r="NN27" s="92"/>
      <c r="NO27" s="92"/>
      <c r="NP27" s="92"/>
      <c r="NQ27" s="92"/>
      <c r="NR27" s="92"/>
      <c r="NS27" s="92"/>
      <c r="NT27" s="92"/>
      <c r="NU27" s="92"/>
      <c r="NV27" s="92"/>
      <c r="NW27" s="92"/>
      <c r="NX27" s="92"/>
      <c r="NY27" s="92"/>
      <c r="NZ27" s="92"/>
      <c r="OA27" s="92"/>
      <c r="OB27" s="92"/>
      <c r="OC27" s="92"/>
      <c r="OD27" s="92"/>
      <c r="OE27" s="92"/>
      <c r="OF27" s="92"/>
      <c r="OG27" s="92"/>
      <c r="OH27" s="92"/>
      <c r="OI27" s="92"/>
      <c r="OJ27" s="92"/>
      <c r="OK27" s="92"/>
      <c r="OL27" s="92"/>
      <c r="OM27" s="92"/>
      <c r="ON27" s="92"/>
      <c r="OO27" s="92"/>
      <c r="OP27" s="92"/>
      <c r="OQ27" s="92"/>
      <c r="OR27" s="92"/>
      <c r="OS27" s="92"/>
      <c r="OT27" s="92"/>
      <c r="OU27" s="92"/>
      <c r="OV27" s="92"/>
      <c r="OW27" s="92"/>
      <c r="OX27" s="92"/>
      <c r="OY27" s="92"/>
      <c r="OZ27" s="92"/>
      <c r="PA27" s="92"/>
      <c r="PB27" s="92"/>
      <c r="PC27" s="92"/>
      <c r="PD27" s="92"/>
      <c r="PE27" s="92"/>
      <c r="PF27" s="92"/>
      <c r="PG27" s="92"/>
      <c r="PH27" s="92"/>
      <c r="PI27" s="92"/>
      <c r="PJ27" s="92"/>
      <c r="PK27" s="92"/>
      <c r="PL27" s="92"/>
      <c r="PM27" s="92"/>
      <c r="PN27" s="92"/>
      <c r="PO27" s="92"/>
      <c r="PP27" s="92"/>
      <c r="PQ27" s="92"/>
      <c r="PR27" s="92"/>
      <c r="PS27" s="92"/>
      <c r="PT27" s="92"/>
      <c r="PU27" s="92"/>
      <c r="PV27" s="92"/>
      <c r="PW27" s="92"/>
      <c r="PX27" s="92"/>
      <c r="PY27" s="92"/>
      <c r="PZ27" s="92"/>
      <c r="QA27" s="92"/>
      <c r="QB27" s="92"/>
      <c r="QC27" s="92"/>
      <c r="QD27" s="92"/>
      <c r="QE27" s="92"/>
      <c r="QF27" s="92"/>
      <c r="QG27" s="92"/>
      <c r="QH27" s="92"/>
      <c r="QI27" s="92"/>
      <c r="QJ27" s="92"/>
      <c r="QK27" s="92"/>
      <c r="QL27" s="92"/>
      <c r="QM27" s="92"/>
      <c r="QN27" s="92"/>
      <c r="QO27" s="92"/>
      <c r="QP27" s="92"/>
      <c r="QQ27" s="92"/>
      <c r="QR27" s="92"/>
      <c r="QS27" s="92"/>
      <c r="QT27" s="92"/>
      <c r="QU27" s="92"/>
      <c r="QV27" s="92"/>
      <c r="QW27" s="92"/>
      <c r="QX27" s="92"/>
      <c r="QY27" s="92"/>
    </row>
    <row r="28" spans="1:467" ht="15.75">
      <c r="A28" s="461"/>
      <c r="B28" s="498" t="s">
        <v>224</v>
      </c>
      <c r="C28" s="505">
        <f t="shared" si="10"/>
        <v>34362.577204906236</v>
      </c>
      <c r="D28" s="505">
        <f t="shared" si="11"/>
        <v>30582.783451162577</v>
      </c>
      <c r="E28" s="505">
        <f t="shared" si="12"/>
        <v>755.44460208647615</v>
      </c>
      <c r="F28" s="506">
        <f t="shared" si="18"/>
        <v>65700.805258155291</v>
      </c>
      <c r="G28" s="461"/>
      <c r="H28" s="462"/>
      <c r="I28" s="462"/>
      <c r="J28" s="462"/>
      <c r="K28" s="572" t="s">
        <v>224</v>
      </c>
      <c r="L28" s="581">
        <f t="shared" si="13"/>
        <v>0.12673529466504896</v>
      </c>
      <c r="M28" s="581">
        <f t="shared" si="14"/>
        <v>0.85691189680127178</v>
      </c>
      <c r="N28" s="581">
        <f t="shared" si="15"/>
        <v>0.22536621914344601</v>
      </c>
      <c r="O28" s="581">
        <f t="shared" si="16"/>
        <v>0</v>
      </c>
      <c r="P28" s="578"/>
      <c r="Q28" s="572" t="s">
        <v>224</v>
      </c>
      <c r="R28" s="580">
        <f t="shared" si="19"/>
        <v>1047.6329542632072</v>
      </c>
      <c r="S28" s="580">
        <f t="shared" si="17"/>
        <v>1166.051506823201</v>
      </c>
      <c r="T28" s="580">
        <f t="shared" si="17"/>
        <v>6.250987546718509</v>
      </c>
      <c r="U28" s="580">
        <f t="shared" si="17"/>
        <v>0</v>
      </c>
      <c r="V28" s="579"/>
      <c r="W28" s="572" t="s">
        <v>224</v>
      </c>
      <c r="X28" s="580">
        <f>'RESUMEN_SEC ELEC_PJ'!D31</f>
        <v>1047.6329542632072</v>
      </c>
      <c r="Y28" s="580">
        <f>'RESUMEN_SEC ELEC_PJ'!E31</f>
        <v>1166.051506823201</v>
      </c>
      <c r="Z28" s="580">
        <f>'RESUMEN_SEC ELEC_PJ'!F31</f>
        <v>6.250987546718509</v>
      </c>
      <c r="AA28" s="580">
        <f>'RESUMEN_SEC ELEC_PJ'!G31</f>
        <v>0</v>
      </c>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c r="IW28" s="92"/>
      <c r="IX28" s="92"/>
      <c r="IY28" s="92"/>
      <c r="IZ28" s="92"/>
      <c r="JA28" s="92"/>
      <c r="JB28" s="92"/>
      <c r="JC28" s="92"/>
      <c r="JD28" s="92"/>
      <c r="JE28" s="92"/>
      <c r="JF28" s="92"/>
      <c r="JG28" s="92"/>
      <c r="JH28" s="92"/>
      <c r="JI28" s="92"/>
      <c r="JJ28" s="92"/>
      <c r="JK28" s="92"/>
      <c r="JL28" s="92"/>
      <c r="JM28" s="92"/>
      <c r="JN28" s="92"/>
      <c r="JO28" s="92"/>
      <c r="JP28" s="92"/>
      <c r="JQ28" s="92"/>
      <c r="JR28" s="92"/>
      <c r="JS28" s="92"/>
      <c r="JT28" s="92"/>
      <c r="JU28" s="92"/>
      <c r="JV28" s="92"/>
      <c r="JW28" s="92"/>
      <c r="JX28" s="92"/>
      <c r="JY28" s="92"/>
      <c r="JZ28" s="92"/>
      <c r="KA28" s="92"/>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2"/>
      <c r="LA28" s="92"/>
      <c r="LB28" s="92"/>
      <c r="LC28" s="92"/>
      <c r="LD28" s="92"/>
      <c r="LE28" s="92"/>
      <c r="LF28" s="92"/>
      <c r="LG28" s="92"/>
      <c r="LH28" s="92"/>
      <c r="LI28" s="92"/>
      <c r="LJ28" s="92"/>
      <c r="LK28" s="92"/>
      <c r="LL28" s="92"/>
      <c r="LM28" s="92"/>
      <c r="LN28" s="92"/>
      <c r="LO28" s="92"/>
      <c r="LP28" s="92"/>
      <c r="LQ28" s="92"/>
      <c r="LR28" s="92"/>
      <c r="LS28" s="92"/>
      <c r="LT28" s="92"/>
      <c r="LU28" s="92"/>
      <c r="LV28" s="92"/>
      <c r="LW28" s="92"/>
      <c r="LX28" s="92"/>
      <c r="LY28" s="92"/>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2"/>
      <c r="MY28" s="92"/>
      <c r="MZ28" s="92"/>
      <c r="NA28" s="92"/>
      <c r="NB28" s="92"/>
      <c r="NC28" s="92"/>
      <c r="ND28" s="92"/>
      <c r="NE28" s="92"/>
      <c r="NF28" s="92"/>
      <c r="NG28" s="92"/>
      <c r="NH28" s="92"/>
      <c r="NI28" s="92"/>
      <c r="NJ28" s="92"/>
      <c r="NK28" s="92"/>
      <c r="NL28" s="92"/>
      <c r="NM28" s="92"/>
      <c r="NN28" s="92"/>
      <c r="NO28" s="92"/>
      <c r="NP28" s="92"/>
      <c r="NQ28" s="92"/>
      <c r="NR28" s="92"/>
      <c r="NS28" s="92"/>
      <c r="NT28" s="92"/>
      <c r="NU28" s="92"/>
      <c r="NV28" s="92"/>
      <c r="NW28" s="92"/>
      <c r="NX28" s="92"/>
      <c r="NY28" s="92"/>
      <c r="NZ28" s="92"/>
      <c r="OA28" s="92"/>
      <c r="OB28" s="92"/>
      <c r="OC28" s="92"/>
      <c r="OD28" s="92"/>
      <c r="OE28" s="92"/>
      <c r="OF28" s="92"/>
      <c r="OG28" s="92"/>
      <c r="OH28" s="92"/>
      <c r="OI28" s="92"/>
      <c r="OJ28" s="92"/>
      <c r="OK28" s="92"/>
      <c r="OL28" s="92"/>
      <c r="OM28" s="92"/>
      <c r="ON28" s="92"/>
      <c r="OO28" s="92"/>
      <c r="OP28" s="92"/>
      <c r="OQ28" s="92"/>
      <c r="OR28" s="92"/>
      <c r="OS28" s="92"/>
      <c r="OT28" s="92"/>
      <c r="OU28" s="92"/>
      <c r="OV28" s="92"/>
      <c r="OW28" s="92"/>
      <c r="OX28" s="92"/>
      <c r="OY28" s="92"/>
      <c r="OZ28" s="92"/>
      <c r="PA28" s="92"/>
      <c r="PB28" s="92"/>
      <c r="PC28" s="92"/>
      <c r="PD28" s="92"/>
      <c r="PE28" s="92"/>
      <c r="PF28" s="92"/>
      <c r="PG28" s="92"/>
      <c r="PH28" s="92"/>
      <c r="PI28" s="92"/>
      <c r="PJ28" s="92"/>
      <c r="PK28" s="92"/>
      <c r="PL28" s="92"/>
      <c r="PM28" s="92"/>
      <c r="PN28" s="92"/>
      <c r="PO28" s="92"/>
      <c r="PP28" s="92"/>
      <c r="PQ28" s="92"/>
      <c r="PR28" s="92"/>
      <c r="PS28" s="92"/>
      <c r="PT28" s="92"/>
      <c r="PU28" s="92"/>
      <c r="PV28" s="92"/>
      <c r="PW28" s="92"/>
      <c r="PX28" s="92"/>
      <c r="PY28" s="92"/>
      <c r="PZ28" s="92"/>
      <c r="QA28" s="92"/>
      <c r="QB28" s="92"/>
      <c r="QC28" s="92"/>
      <c r="QD28" s="92"/>
      <c r="QE28" s="92"/>
      <c r="QF28" s="92"/>
      <c r="QG28" s="92"/>
      <c r="QH28" s="92"/>
      <c r="QI28" s="92"/>
      <c r="QJ28" s="92"/>
      <c r="QK28" s="92"/>
      <c r="QL28" s="92"/>
      <c r="QM28" s="92"/>
      <c r="QN28" s="92"/>
      <c r="QO28" s="92"/>
      <c r="QP28" s="92"/>
      <c r="QQ28" s="92"/>
      <c r="QR28" s="92"/>
      <c r="QS28" s="92"/>
      <c r="QT28" s="92"/>
      <c r="QU28" s="92"/>
      <c r="QV28" s="92"/>
      <c r="QW28" s="92"/>
      <c r="QX28" s="92"/>
      <c r="QY28" s="92"/>
    </row>
    <row r="29" spans="1:467" ht="15.75">
      <c r="A29" s="461"/>
      <c r="B29" s="498" t="s">
        <v>223</v>
      </c>
      <c r="C29" s="505">
        <f t="shared" si="10"/>
        <v>499.37925924129672</v>
      </c>
      <c r="D29" s="594">
        <f t="shared" si="11"/>
        <v>0</v>
      </c>
      <c r="E29" s="505">
        <f t="shared" si="12"/>
        <v>10.978610932998265</v>
      </c>
      <c r="F29" s="506">
        <f t="shared" si="18"/>
        <v>510.35787017429499</v>
      </c>
      <c r="G29" s="461"/>
      <c r="H29" s="462"/>
      <c r="I29" s="462"/>
      <c r="J29" s="462"/>
      <c r="K29" s="572" t="s">
        <v>223</v>
      </c>
      <c r="L29" s="581">
        <f t="shared" si="13"/>
        <v>5.7927529057996924E-4</v>
      </c>
      <c r="M29" s="581">
        <f t="shared" si="14"/>
        <v>4.1372120265599022E-3</v>
      </c>
      <c r="N29" s="581">
        <f t="shared" si="15"/>
        <v>8.7472167956080833E-3</v>
      </c>
      <c r="O29" s="581">
        <f t="shared" si="16"/>
        <v>0</v>
      </c>
      <c r="P29" s="578"/>
      <c r="Q29" s="572" t="s">
        <v>223</v>
      </c>
      <c r="R29" s="580">
        <f t="shared" si="19"/>
        <v>4.7884678503006866</v>
      </c>
      <c r="S29" s="580">
        <f t="shared" si="17"/>
        <v>5.6297529951740577</v>
      </c>
      <c r="T29" s="580">
        <f t="shared" si="17"/>
        <v>0.24262173570471976</v>
      </c>
      <c r="U29" s="580">
        <f t="shared" si="17"/>
        <v>0</v>
      </c>
      <c r="V29" s="579"/>
      <c r="W29" s="572" t="s">
        <v>223</v>
      </c>
      <c r="X29" s="580">
        <f>'RESUMEN_SEC ELEC_PJ'!D32</f>
        <v>4.7884678503006866</v>
      </c>
      <c r="Y29" s="580">
        <f>'RESUMEN_SEC ELEC_PJ'!E32</f>
        <v>5.6297529951740577</v>
      </c>
      <c r="Z29" s="580">
        <f>'RESUMEN_SEC ELEC_PJ'!F32</f>
        <v>0.24262173570471976</v>
      </c>
      <c r="AA29" s="580">
        <f>'RESUMEN_SEC ELEC_PJ'!G32</f>
        <v>0</v>
      </c>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c r="IW29" s="92"/>
      <c r="IX29" s="92"/>
      <c r="IY29" s="92"/>
      <c r="IZ29" s="92"/>
      <c r="JA29" s="92"/>
      <c r="JB29" s="92"/>
      <c r="JC29" s="92"/>
      <c r="JD29" s="92"/>
      <c r="JE29" s="92"/>
      <c r="JF29" s="92"/>
      <c r="JG29" s="92"/>
      <c r="JH29" s="92"/>
      <c r="JI29" s="92"/>
      <c r="JJ29" s="92"/>
      <c r="JK29" s="92"/>
      <c r="JL29" s="92"/>
      <c r="JM29" s="92"/>
      <c r="JN29" s="92"/>
      <c r="JO29" s="92"/>
      <c r="JP29" s="92"/>
      <c r="JQ29" s="92"/>
      <c r="JR29" s="92"/>
      <c r="JS29" s="92"/>
      <c r="JT29" s="92"/>
      <c r="JU29" s="92"/>
      <c r="JV29" s="92"/>
      <c r="JW29" s="92"/>
      <c r="JX29" s="92"/>
      <c r="JY29" s="92"/>
      <c r="JZ29" s="92"/>
      <c r="KA29" s="92"/>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2"/>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2"/>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2"/>
      <c r="MY29" s="92"/>
      <c r="MZ29" s="92"/>
      <c r="NA29" s="92"/>
      <c r="NB29" s="92"/>
      <c r="NC29" s="92"/>
      <c r="ND29" s="92"/>
      <c r="NE29" s="92"/>
      <c r="NF29" s="92"/>
      <c r="NG29" s="92"/>
      <c r="NH29" s="92"/>
      <c r="NI29" s="92"/>
      <c r="NJ29" s="92"/>
      <c r="NK29" s="92"/>
      <c r="NL29" s="92"/>
      <c r="NM29" s="92"/>
      <c r="NN29" s="92"/>
      <c r="NO29" s="92"/>
      <c r="NP29" s="92"/>
      <c r="NQ29" s="92"/>
      <c r="NR29" s="92"/>
      <c r="NS29" s="92"/>
      <c r="NT29" s="92"/>
      <c r="NU29" s="92"/>
      <c r="NV29" s="92"/>
      <c r="NW29" s="92"/>
      <c r="NX29" s="92"/>
      <c r="NY29" s="92"/>
      <c r="NZ29" s="92"/>
      <c r="OA29" s="92"/>
      <c r="OB29" s="92"/>
      <c r="OC29" s="92"/>
      <c r="OD29" s="92"/>
      <c r="OE29" s="92"/>
      <c r="OF29" s="92"/>
      <c r="OG29" s="92"/>
      <c r="OH29" s="92"/>
      <c r="OI29" s="92"/>
      <c r="OJ29" s="92"/>
      <c r="OK29" s="92"/>
      <c r="OL29" s="92"/>
      <c r="OM29" s="92"/>
      <c r="ON29" s="92"/>
      <c r="OO29" s="92"/>
      <c r="OP29" s="92"/>
      <c r="OQ29" s="92"/>
      <c r="OR29" s="92"/>
      <c r="OS29" s="92"/>
      <c r="OT29" s="92"/>
      <c r="OU29" s="92"/>
      <c r="OV29" s="92"/>
      <c r="OW29" s="92"/>
      <c r="OX29" s="92"/>
      <c r="OY29" s="92"/>
      <c r="OZ29" s="92"/>
      <c r="PA29" s="92"/>
      <c r="PB29" s="92"/>
      <c r="PC29" s="92"/>
      <c r="PD29" s="92"/>
      <c r="PE29" s="92"/>
      <c r="PF29" s="92"/>
      <c r="PG29" s="92"/>
      <c r="PH29" s="92"/>
      <c r="PI29" s="92"/>
      <c r="PJ29" s="92"/>
      <c r="PK29" s="92"/>
      <c r="PL29" s="92"/>
      <c r="PM29" s="92"/>
      <c r="PN29" s="92"/>
      <c r="PO29" s="92"/>
      <c r="PP29" s="92"/>
      <c r="PQ29" s="92"/>
      <c r="PR29" s="92"/>
      <c r="PS29" s="92"/>
      <c r="PT29" s="92"/>
      <c r="PU29" s="92"/>
      <c r="PV29" s="92"/>
      <c r="PW29" s="92"/>
      <c r="PX29" s="92"/>
      <c r="PY29" s="92"/>
      <c r="PZ29" s="92"/>
      <c r="QA29" s="92"/>
      <c r="QB29" s="92"/>
      <c r="QC29" s="92"/>
      <c r="QD29" s="92"/>
      <c r="QE29" s="92"/>
      <c r="QF29" s="92"/>
      <c r="QG29" s="92"/>
      <c r="QH29" s="92"/>
      <c r="QI29" s="92"/>
      <c r="QJ29" s="92"/>
      <c r="QK29" s="92"/>
      <c r="QL29" s="92"/>
      <c r="QM29" s="92"/>
      <c r="QN29" s="92"/>
      <c r="QO29" s="92"/>
      <c r="QP29" s="92"/>
      <c r="QQ29" s="92"/>
      <c r="QR29" s="92"/>
      <c r="QS29" s="92"/>
      <c r="QT29" s="92"/>
      <c r="QU29" s="92"/>
      <c r="QV29" s="92"/>
      <c r="QW29" s="92"/>
      <c r="QX29" s="92"/>
      <c r="QY29" s="92"/>
    </row>
    <row r="30" spans="1:467" ht="15.75">
      <c r="A30" s="461"/>
      <c r="B30" s="486" t="s">
        <v>221</v>
      </c>
      <c r="C30" s="505">
        <f t="shared" si="10"/>
        <v>11523.313535852463</v>
      </c>
      <c r="D30" s="594">
        <f t="shared" si="11"/>
        <v>0</v>
      </c>
      <c r="E30" s="505">
        <f t="shared" si="12"/>
        <v>253.33446199043681</v>
      </c>
      <c r="F30" s="506">
        <f t="shared" si="18"/>
        <v>11776.6479978429</v>
      </c>
      <c r="G30" s="461"/>
      <c r="H30" s="462"/>
      <c r="I30" s="462"/>
      <c r="J30" s="462"/>
      <c r="K30" s="583" t="s">
        <v>221</v>
      </c>
      <c r="L30" s="581">
        <f>R30/R$31</f>
        <v>0.81643688098322353</v>
      </c>
      <c r="M30" s="581">
        <f t="shared" si="14"/>
        <v>1.196976821314385E-2</v>
      </c>
      <c r="N30" s="581">
        <f t="shared" si="15"/>
        <v>0.2048598136260639</v>
      </c>
      <c r="O30" s="581">
        <f t="shared" si="16"/>
        <v>0</v>
      </c>
      <c r="P30" s="578"/>
      <c r="Q30" s="583" t="s">
        <v>221</v>
      </c>
      <c r="R30" s="580">
        <f t="shared" si="19"/>
        <v>6748.9185538602351</v>
      </c>
      <c r="S30" s="580">
        <f t="shared" si="17"/>
        <v>16.287982829228618</v>
      </c>
      <c r="T30" s="580">
        <f t="shared" si="17"/>
        <v>5.6822009468265122</v>
      </c>
      <c r="U30" s="580">
        <f t="shared" si="17"/>
        <v>0</v>
      </c>
      <c r="V30" s="579"/>
      <c r="W30" s="583" t="s">
        <v>221</v>
      </c>
      <c r="X30" s="580">
        <f>'RESUMEN_SEC ELEC_PJ'!D33</f>
        <v>6748.9185538602351</v>
      </c>
      <c r="Y30" s="580">
        <f>'RESUMEN_SEC ELEC_PJ'!E33</f>
        <v>16.287982829228618</v>
      </c>
      <c r="Z30" s="580">
        <f>'RESUMEN_SEC ELEC_PJ'!F33</f>
        <v>5.6822009468265122</v>
      </c>
      <c r="AA30" s="580">
        <f>'RESUMEN_SEC ELEC_PJ'!G33</f>
        <v>0</v>
      </c>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c r="QP30" s="92"/>
      <c r="QQ30" s="92"/>
      <c r="QR30" s="92"/>
      <c r="QS30" s="92"/>
      <c r="QT30" s="92"/>
      <c r="QU30" s="92"/>
      <c r="QV30" s="92"/>
      <c r="QW30" s="92"/>
      <c r="QX30" s="92"/>
      <c r="QY30" s="92"/>
    </row>
    <row r="31" spans="1:467" ht="15.75">
      <c r="A31" s="461"/>
      <c r="B31" s="464" t="s">
        <v>7</v>
      </c>
      <c r="C31" s="502">
        <f>SUM(C19:C30)</f>
        <v>78675.864999999991</v>
      </c>
      <c r="D31" s="502">
        <f t="shared" ref="D31:E31" si="20">SUM(D19:D30)</f>
        <v>31288.560000000005</v>
      </c>
      <c r="E31" s="502">
        <f t="shared" si="20"/>
        <v>1461.2214433108343</v>
      </c>
      <c r="F31" s="506">
        <f>SUM(C31:E31)</f>
        <v>111425.64644331082</v>
      </c>
      <c r="G31" s="461"/>
      <c r="H31" s="502"/>
      <c r="I31" s="462"/>
      <c r="J31" s="462"/>
      <c r="K31" s="575" t="s">
        <v>560</v>
      </c>
      <c r="L31" s="584">
        <f>SUM(L19:L30)</f>
        <v>0.99999999999999989</v>
      </c>
      <c r="M31" s="584">
        <f t="shared" ref="M31" si="21">SUM(M19:M30)</f>
        <v>0.99999999999999989</v>
      </c>
      <c r="N31" s="584">
        <f t="shared" ref="N31:O31" si="22">SUM(N19:N30)</f>
        <v>1</v>
      </c>
      <c r="O31" s="584">
        <f t="shared" si="22"/>
        <v>1</v>
      </c>
      <c r="P31" s="578"/>
      <c r="Q31" s="575" t="s">
        <v>560</v>
      </c>
      <c r="R31" s="575">
        <f>SUM(R19:R30)</f>
        <v>8266.3077955672543</v>
      </c>
      <c r="S31" s="575">
        <f t="shared" ref="S31:U31" si="23">SUM(S19:S30)</f>
        <v>1360.7600865105301</v>
      </c>
      <c r="T31" s="575">
        <f t="shared" si="23"/>
        <v>27.737020971806533</v>
      </c>
      <c r="U31" s="575">
        <f t="shared" si="23"/>
        <v>126.45347756049459</v>
      </c>
      <c r="V31" s="579"/>
      <c r="W31" s="575" t="s">
        <v>560</v>
      </c>
      <c r="X31" s="575">
        <f>SUM(X19:X30)</f>
        <v>8266.3185281942533</v>
      </c>
      <c r="Y31" s="575">
        <f t="shared" ref="Y31:AA31" si="24">SUM(Y19:Y30)</f>
        <v>1360.9236506602961</v>
      </c>
      <c r="Z31" s="575">
        <f t="shared" si="24"/>
        <v>27.737020971806533</v>
      </c>
      <c r="AA31" s="575">
        <f t="shared" si="24"/>
        <v>126.45347756049459</v>
      </c>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c r="QP31" s="92"/>
      <c r="QQ31" s="92"/>
      <c r="QR31" s="92"/>
      <c r="QS31" s="92"/>
      <c r="QT31" s="92"/>
      <c r="QU31" s="92"/>
      <c r="QV31" s="92"/>
      <c r="QW31" s="92"/>
      <c r="QX31" s="92"/>
      <c r="QY31" s="92"/>
    </row>
    <row r="32" spans="1:467" ht="16.5" thickBot="1">
      <c r="A32" s="461"/>
      <c r="B32" s="461"/>
      <c r="C32" s="461"/>
      <c r="D32" s="461"/>
      <c r="E32" s="461"/>
      <c r="F32" s="461"/>
      <c r="G32" s="462"/>
      <c r="H32" s="462"/>
      <c r="I32" s="462"/>
      <c r="J32" s="462"/>
      <c r="K32" s="580"/>
      <c r="L32" s="580"/>
      <c r="M32" s="580"/>
      <c r="N32" s="580"/>
      <c r="O32" s="585"/>
      <c r="P32" s="579"/>
      <c r="Q32" s="579"/>
      <c r="R32" s="583"/>
      <c r="S32" s="583"/>
      <c r="T32" s="572"/>
      <c r="U32" s="572"/>
      <c r="V32" s="573"/>
      <c r="W32" s="573"/>
      <c r="X32" s="573"/>
      <c r="Y32" s="573"/>
      <c r="Z32" s="573"/>
      <c r="AA32" s="573"/>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c r="QP32" s="92"/>
      <c r="QQ32" s="92"/>
      <c r="QR32" s="92"/>
      <c r="QS32" s="92"/>
      <c r="QT32" s="92"/>
      <c r="QU32" s="92"/>
      <c r="QV32" s="92"/>
      <c r="QW32" s="92"/>
      <c r="QX32" s="92"/>
      <c r="QY32" s="92"/>
    </row>
    <row r="33" spans="1:467" ht="45">
      <c r="A33" s="461"/>
      <c r="B33" s="545" t="s">
        <v>652</v>
      </c>
      <c r="C33" s="546" t="s">
        <v>383</v>
      </c>
      <c r="D33" s="546" t="s">
        <v>384</v>
      </c>
      <c r="E33" s="546" t="s">
        <v>172</v>
      </c>
      <c r="F33" s="547"/>
      <c r="G33" s="462"/>
      <c r="H33" s="462"/>
      <c r="I33" s="462"/>
      <c r="J33" s="462"/>
      <c r="K33" s="469"/>
      <c r="L33" s="469"/>
      <c r="M33" s="469"/>
      <c r="N33" s="469"/>
      <c r="O33" s="507"/>
      <c r="P33" s="487"/>
      <c r="Q33" s="487"/>
      <c r="R33" s="486"/>
      <c r="S33" s="486"/>
      <c r="T33" s="498"/>
      <c r="U33" s="498"/>
      <c r="V33" s="111"/>
      <c r="W33" s="111"/>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c r="QP33" s="92"/>
      <c r="QQ33" s="92"/>
      <c r="QR33" s="92"/>
      <c r="QS33" s="92"/>
      <c r="QT33" s="92"/>
      <c r="QU33" s="92"/>
      <c r="QV33" s="92"/>
      <c r="QW33" s="92"/>
      <c r="QX33" s="92"/>
      <c r="QY33" s="92"/>
    </row>
    <row r="34" spans="1:467" ht="15.75">
      <c r="A34" s="461"/>
      <c r="B34" s="548" t="s">
        <v>218</v>
      </c>
      <c r="C34" s="508">
        <f t="shared" ref="C34:E46" si="25">C19/C$31</f>
        <v>0</v>
      </c>
      <c r="D34" s="508">
        <f t="shared" si="25"/>
        <v>0</v>
      </c>
      <c r="E34" s="508">
        <f t="shared" si="25"/>
        <v>9.4584908458395039E-2</v>
      </c>
      <c r="F34" s="549"/>
      <c r="G34" s="462"/>
      <c r="H34" s="462"/>
      <c r="I34" s="462"/>
      <c r="J34" s="462"/>
      <c r="K34" s="464" t="s">
        <v>644</v>
      </c>
      <c r="L34" s="461"/>
      <c r="M34" s="462"/>
      <c r="N34" s="462"/>
      <c r="O34" s="462"/>
      <c r="P34" s="487"/>
      <c r="Q34" s="464"/>
      <c r="R34" s="461"/>
      <c r="S34" s="462"/>
      <c r="T34" s="462"/>
      <c r="U34" s="462"/>
      <c r="V34" s="111"/>
      <c r="W34" s="111"/>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c r="QP34" s="92"/>
      <c r="QQ34" s="92"/>
      <c r="QR34" s="92"/>
      <c r="QS34" s="92"/>
      <c r="QT34" s="92"/>
      <c r="QU34" s="92"/>
      <c r="QV34" s="92"/>
      <c r="QW34" s="92"/>
      <c r="QX34" s="92"/>
      <c r="QY34" s="92"/>
    </row>
    <row r="35" spans="1:467" ht="15.75">
      <c r="A35" s="461"/>
      <c r="B35" s="548" t="s">
        <v>219</v>
      </c>
      <c r="C35" s="508">
        <f t="shared" si="25"/>
        <v>0</v>
      </c>
      <c r="D35" s="508">
        <f t="shared" si="25"/>
        <v>0</v>
      </c>
      <c r="E35" s="508">
        <f t="shared" si="25"/>
        <v>1.4120831092282422E-2</v>
      </c>
      <c r="F35" s="549"/>
      <c r="G35" s="462"/>
      <c r="H35" s="462"/>
      <c r="I35" s="462"/>
      <c r="J35" s="462"/>
      <c r="K35" s="469" t="s">
        <v>218</v>
      </c>
      <c r="L35" s="509">
        <v>95</v>
      </c>
      <c r="M35" s="509">
        <v>24</v>
      </c>
      <c r="N35" s="509">
        <v>40</v>
      </c>
      <c r="O35" s="462"/>
      <c r="P35" s="487"/>
      <c r="Q35" s="469"/>
      <c r="R35" s="509"/>
      <c r="S35" s="509"/>
      <c r="T35" s="509"/>
      <c r="U35" s="462"/>
      <c r="V35" s="111"/>
      <c r="W35" s="111"/>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c r="QP35" s="92"/>
      <c r="QQ35" s="92"/>
      <c r="QR35" s="92"/>
      <c r="QS35" s="92"/>
      <c r="QT35" s="92"/>
      <c r="QU35" s="92"/>
      <c r="QV35" s="92"/>
      <c r="QW35" s="92"/>
      <c r="QX35" s="92"/>
      <c r="QY35" s="92"/>
    </row>
    <row r="36" spans="1:467">
      <c r="A36" s="461"/>
      <c r="B36" s="548" t="s">
        <v>171</v>
      </c>
      <c r="C36" s="508">
        <f t="shared" si="25"/>
        <v>0</v>
      </c>
      <c r="D36" s="508">
        <f t="shared" si="25"/>
        <v>0</v>
      </c>
      <c r="E36" s="508">
        <f t="shared" si="25"/>
        <v>2.0482387957726382E-2</v>
      </c>
      <c r="F36" s="549"/>
      <c r="G36" s="462"/>
      <c r="H36" s="462"/>
      <c r="I36" s="462"/>
      <c r="J36" s="462"/>
      <c r="K36" s="469" t="s">
        <v>219</v>
      </c>
      <c r="L36" s="509">
        <f>$L$35</f>
        <v>95</v>
      </c>
      <c r="M36" s="509">
        <f>M35</f>
        <v>24</v>
      </c>
      <c r="N36" s="509">
        <f>N35</f>
        <v>40</v>
      </c>
      <c r="O36" s="462"/>
      <c r="P36" s="486"/>
      <c r="Q36" s="469"/>
      <c r="R36" s="509">
        <f>R28/(R28+S28)</f>
        <v>0.47325306414675794</v>
      </c>
      <c r="S36" s="509"/>
      <c r="T36" s="509"/>
      <c r="U36" s="462"/>
      <c r="V36" s="111"/>
      <c r="W36" s="111"/>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c r="QP36" s="92"/>
      <c r="QQ36" s="92"/>
      <c r="QR36" s="92"/>
      <c r="QS36" s="92"/>
      <c r="QT36" s="92"/>
      <c r="QU36" s="92"/>
      <c r="QV36" s="92"/>
      <c r="QW36" s="92"/>
      <c r="QX36" s="92"/>
      <c r="QY36" s="92"/>
    </row>
    <row r="37" spans="1:467">
      <c r="A37" s="461"/>
      <c r="B37" s="548" t="s">
        <v>11</v>
      </c>
      <c r="C37" s="508">
        <f t="shared" si="25"/>
        <v>0</v>
      </c>
      <c r="D37" s="508">
        <f t="shared" si="25"/>
        <v>0</v>
      </c>
      <c r="E37" s="508">
        <f t="shared" si="25"/>
        <v>6.5777042984003893E-5</v>
      </c>
      <c r="F37" s="549"/>
      <c r="G37" s="462"/>
      <c r="H37" s="462"/>
      <c r="I37" s="462"/>
      <c r="J37" s="462"/>
      <c r="K37" s="469" t="s">
        <v>171</v>
      </c>
      <c r="L37" s="509">
        <f t="shared" ref="L37:L42" si="26">$L$35</f>
        <v>95</v>
      </c>
      <c r="M37" s="509">
        <f t="shared" ref="M37:M46" si="27">M36</f>
        <v>24</v>
      </c>
      <c r="N37" s="509">
        <f t="shared" ref="N37:N46" si="28">N36</f>
        <v>40</v>
      </c>
      <c r="O37" s="462"/>
      <c r="P37" s="486"/>
      <c r="Q37" s="469"/>
      <c r="R37" s="509"/>
      <c r="S37" s="509"/>
      <c r="T37" s="509"/>
      <c r="U37" s="462"/>
      <c r="V37" s="111"/>
      <c r="W37" s="111"/>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c r="QP37" s="92"/>
      <c r="QQ37" s="92"/>
      <c r="QR37" s="92"/>
      <c r="QS37" s="92"/>
      <c r="QT37" s="92"/>
      <c r="QU37" s="92"/>
      <c r="QV37" s="92"/>
      <c r="QW37" s="92"/>
      <c r="QX37" s="92"/>
      <c r="QY37" s="92"/>
    </row>
    <row r="38" spans="1:467">
      <c r="A38" s="461"/>
      <c r="B38" s="550" t="s">
        <v>220</v>
      </c>
      <c r="C38" s="508">
        <f t="shared" si="25"/>
        <v>0</v>
      </c>
      <c r="D38" s="508">
        <f>D23/D$31</f>
        <v>1.4199947568830626E-2</v>
      </c>
      <c r="E38" s="508">
        <f t="shared" si="25"/>
        <v>7.5107255507975614E-3</v>
      </c>
      <c r="F38" s="549"/>
      <c r="G38" s="462"/>
      <c r="H38" s="462"/>
      <c r="I38" s="462"/>
      <c r="J38" s="462"/>
      <c r="K38" s="469" t="s">
        <v>11</v>
      </c>
      <c r="L38" s="509">
        <f t="shared" si="26"/>
        <v>95</v>
      </c>
      <c r="M38" s="509">
        <f t="shared" si="27"/>
        <v>24</v>
      </c>
      <c r="N38" s="509">
        <f t="shared" si="28"/>
        <v>40</v>
      </c>
      <c r="O38" s="462"/>
      <c r="P38" s="486"/>
      <c r="Q38" s="469"/>
      <c r="R38" s="509"/>
      <c r="S38" s="509"/>
      <c r="T38" s="509"/>
      <c r="U38" s="462"/>
      <c r="V38" s="111"/>
      <c r="W38" s="111"/>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c r="QP38" s="92"/>
      <c r="QQ38" s="92"/>
      <c r="QR38" s="92"/>
      <c r="QS38" s="92"/>
      <c r="QT38" s="92"/>
      <c r="QU38" s="92"/>
      <c r="QV38" s="92"/>
      <c r="QW38" s="92"/>
      <c r="QX38" s="92"/>
      <c r="QY38" s="92"/>
    </row>
    <row r="39" spans="1:467" ht="15.75">
      <c r="A39" s="461"/>
      <c r="B39" s="551" t="s">
        <v>365</v>
      </c>
      <c r="C39" s="508">
        <f t="shared" si="25"/>
        <v>0</v>
      </c>
      <c r="D39" s="508">
        <f t="shared" si="25"/>
        <v>8.3570684407724694E-3</v>
      </c>
      <c r="E39" s="508">
        <f t="shared" si="25"/>
        <v>4.4202731850680101E-3</v>
      </c>
      <c r="F39" s="549"/>
      <c r="G39" s="462"/>
      <c r="H39" s="462"/>
      <c r="I39" s="462"/>
      <c r="J39" s="462"/>
      <c r="K39" s="482" t="s">
        <v>220</v>
      </c>
      <c r="L39" s="509">
        <f t="shared" si="26"/>
        <v>95</v>
      </c>
      <c r="M39" s="509">
        <f t="shared" si="27"/>
        <v>24</v>
      </c>
      <c r="N39" s="509">
        <f t="shared" si="28"/>
        <v>40</v>
      </c>
      <c r="O39" s="462"/>
      <c r="P39" s="486"/>
      <c r="Q39" s="482"/>
      <c r="R39" s="509"/>
      <c r="S39" s="509"/>
      <c r="T39" s="509"/>
      <c r="U39" s="462"/>
      <c r="V39" s="111"/>
      <c r="W39" s="111"/>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c r="QP39" s="92"/>
      <c r="QQ39" s="92"/>
      <c r="QR39" s="92"/>
      <c r="QS39" s="92"/>
      <c r="QT39" s="92"/>
      <c r="QU39" s="92"/>
      <c r="QV39" s="92"/>
      <c r="QW39" s="92"/>
      <c r="QX39" s="92"/>
      <c r="QY39" s="92"/>
    </row>
    <row r="40" spans="1:467" ht="15.75">
      <c r="A40" s="461"/>
      <c r="B40" s="551" t="s">
        <v>366</v>
      </c>
      <c r="C40" s="508">
        <f t="shared" si="25"/>
        <v>0</v>
      </c>
      <c r="D40" s="508">
        <f t="shared" si="25"/>
        <v>0</v>
      </c>
      <c r="E40" s="508">
        <f t="shared" si="25"/>
        <v>1.9359078095554425E-6</v>
      </c>
      <c r="F40" s="549"/>
      <c r="G40" s="462"/>
      <c r="H40" s="462"/>
      <c r="I40" s="462"/>
      <c r="J40" s="462"/>
      <c r="K40" s="487" t="s">
        <v>365</v>
      </c>
      <c r="L40" s="509">
        <f t="shared" si="26"/>
        <v>95</v>
      </c>
      <c r="M40" s="509">
        <f t="shared" si="27"/>
        <v>24</v>
      </c>
      <c r="N40" s="509">
        <f t="shared" si="28"/>
        <v>40</v>
      </c>
      <c r="O40" s="462"/>
      <c r="P40" s="486"/>
      <c r="Q40" s="487"/>
      <c r="R40" s="509"/>
      <c r="S40" s="509"/>
      <c r="T40" s="509"/>
      <c r="U40" s="462"/>
      <c r="V40" s="111"/>
      <c r="W40" s="111"/>
      <c r="X40" s="92"/>
      <c r="Y40" s="92"/>
      <c r="Z40" s="92"/>
      <c r="AA40" s="92"/>
      <c r="AB40" s="92"/>
      <c r="AC40" s="92"/>
      <c r="AD40" s="92"/>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c r="QP40" s="92"/>
      <c r="QQ40" s="92"/>
      <c r="QR40" s="92"/>
      <c r="QS40" s="92"/>
      <c r="QT40" s="92"/>
      <c r="QU40" s="92"/>
      <c r="QV40" s="92"/>
      <c r="QW40" s="92"/>
      <c r="QX40" s="92"/>
      <c r="QY40" s="92"/>
    </row>
    <row r="41" spans="1:467" ht="15.75">
      <c r="A41" s="461"/>
      <c r="B41" s="552" t="s">
        <v>187</v>
      </c>
      <c r="C41" s="508">
        <f t="shared" si="25"/>
        <v>0</v>
      </c>
      <c r="D41" s="508">
        <f t="shared" si="25"/>
        <v>0</v>
      </c>
      <c r="E41" s="508">
        <f t="shared" si="25"/>
        <v>3.9818906734783027E-2</v>
      </c>
      <c r="F41" s="549"/>
      <c r="G41" s="462"/>
      <c r="H41" s="462"/>
      <c r="I41" s="462"/>
      <c r="J41" s="462"/>
      <c r="K41" s="487" t="s">
        <v>366</v>
      </c>
      <c r="L41" s="509">
        <f t="shared" si="26"/>
        <v>95</v>
      </c>
      <c r="M41" s="509">
        <f t="shared" si="27"/>
        <v>24</v>
      </c>
      <c r="N41" s="509">
        <f t="shared" si="28"/>
        <v>40</v>
      </c>
      <c r="O41" s="462"/>
      <c r="P41" s="486"/>
      <c r="Q41" s="487"/>
      <c r="R41" s="509"/>
      <c r="S41" s="509"/>
      <c r="T41" s="509"/>
      <c r="U41" s="462"/>
      <c r="V41" s="111"/>
      <c r="W41" s="111"/>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c r="QP41" s="92"/>
      <c r="QQ41" s="92"/>
      <c r="QR41" s="92"/>
      <c r="QS41" s="92"/>
      <c r="QT41" s="92"/>
      <c r="QU41" s="92"/>
      <c r="QV41" s="92"/>
      <c r="QW41" s="92"/>
      <c r="QX41" s="92"/>
      <c r="QY41" s="92"/>
    </row>
    <row r="42" spans="1:467">
      <c r="A42" s="461"/>
      <c r="B42" s="552" t="s">
        <v>222</v>
      </c>
      <c r="C42" s="508">
        <f>C27/C$31</f>
        <v>0.41042567501482197</v>
      </c>
      <c r="D42" s="508">
        <f t="shared" si="25"/>
        <v>0</v>
      </c>
      <c r="E42" s="508">
        <f t="shared" si="25"/>
        <v>0.1211139432670597</v>
      </c>
      <c r="F42" s="549"/>
      <c r="G42" s="462"/>
      <c r="H42" s="462"/>
      <c r="I42" s="462"/>
      <c r="J42" s="462"/>
      <c r="K42" s="486" t="s">
        <v>187</v>
      </c>
      <c r="L42" s="509">
        <f t="shared" si="26"/>
        <v>95</v>
      </c>
      <c r="M42" s="509">
        <f t="shared" si="27"/>
        <v>24</v>
      </c>
      <c r="N42" s="509">
        <f t="shared" si="28"/>
        <v>40</v>
      </c>
      <c r="O42" s="462"/>
      <c r="P42" s="486"/>
      <c r="Q42" s="486"/>
      <c r="R42" s="509"/>
      <c r="S42" s="509"/>
      <c r="T42" s="509"/>
      <c r="U42" s="462"/>
      <c r="V42" s="111"/>
      <c r="W42" s="111"/>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c r="QP42" s="92"/>
      <c r="QQ42" s="92"/>
      <c r="QR42" s="92"/>
      <c r="QS42" s="92"/>
      <c r="QT42" s="92"/>
      <c r="QU42" s="92"/>
      <c r="QV42" s="92"/>
      <c r="QW42" s="92"/>
      <c r="QX42" s="92"/>
      <c r="QY42" s="92"/>
    </row>
    <row r="43" spans="1:467">
      <c r="A43" s="461"/>
      <c r="B43" s="553" t="s">
        <v>224</v>
      </c>
      <c r="C43" s="508">
        <f t="shared" si="25"/>
        <v>0.43676135247964848</v>
      </c>
      <c r="D43" s="508">
        <f t="shared" si="25"/>
        <v>0.97744298399039686</v>
      </c>
      <c r="E43" s="508">
        <f t="shared" si="25"/>
        <v>0.51699528880084766</v>
      </c>
      <c r="F43" s="549"/>
      <c r="G43" s="462"/>
      <c r="H43" s="462"/>
      <c r="I43" s="462"/>
      <c r="J43" s="462"/>
      <c r="K43" s="486" t="s">
        <v>222</v>
      </c>
      <c r="L43" s="587">
        <v>95</v>
      </c>
      <c r="M43" s="509">
        <f t="shared" si="27"/>
        <v>24</v>
      </c>
      <c r="N43" s="509">
        <f t="shared" si="28"/>
        <v>40</v>
      </c>
      <c r="O43" s="462"/>
      <c r="P43" s="486"/>
      <c r="Q43" s="486"/>
      <c r="R43" s="509"/>
      <c r="S43" s="509"/>
      <c r="T43" s="509"/>
      <c r="U43" s="462"/>
      <c r="V43" s="111"/>
      <c r="W43" s="111"/>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c r="QP43" s="92"/>
      <c r="QQ43" s="92"/>
      <c r="QR43" s="92"/>
      <c r="QS43" s="92"/>
      <c r="QT43" s="92"/>
      <c r="QU43" s="92"/>
      <c r="QV43" s="92"/>
      <c r="QW43" s="92"/>
      <c r="QX43" s="92"/>
      <c r="QY43" s="92"/>
    </row>
    <row r="44" spans="1:467">
      <c r="A44" s="461"/>
      <c r="B44" s="553" t="s">
        <v>223</v>
      </c>
      <c r="C44" s="508">
        <f t="shared" si="25"/>
        <v>6.347299254241396E-3</v>
      </c>
      <c r="D44" s="595">
        <f t="shared" si="25"/>
        <v>0</v>
      </c>
      <c r="E44" s="508">
        <f t="shared" si="25"/>
        <v>7.5133108559664562E-3</v>
      </c>
      <c r="F44" s="549"/>
      <c r="G44" s="462"/>
      <c r="H44" s="462"/>
      <c r="I44" s="462"/>
      <c r="J44" s="462"/>
      <c r="K44" s="498" t="s">
        <v>224</v>
      </c>
      <c r="L44" s="509">
        <f>L42</f>
        <v>95</v>
      </c>
      <c r="M44" s="509">
        <f t="shared" si="27"/>
        <v>24</v>
      </c>
      <c r="N44" s="509">
        <f t="shared" si="28"/>
        <v>40</v>
      </c>
      <c r="O44" s="462"/>
      <c r="P44" s="486"/>
      <c r="Q44" s="498"/>
      <c r="R44" s="509"/>
      <c r="S44" s="509"/>
      <c r="T44" s="509"/>
      <c r="U44" s="462"/>
      <c r="V44" s="111"/>
      <c r="W44" s="111"/>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c r="QP44" s="92"/>
      <c r="QQ44" s="92"/>
      <c r="QR44" s="92"/>
      <c r="QS44" s="92"/>
      <c r="QT44" s="92"/>
      <c r="QU44" s="92"/>
      <c r="QV44" s="92"/>
      <c r="QW44" s="92"/>
      <c r="QX44" s="92"/>
      <c r="QY44" s="92"/>
    </row>
    <row r="45" spans="1:467">
      <c r="A45" s="461"/>
      <c r="B45" s="552" t="s">
        <v>221</v>
      </c>
      <c r="C45" s="508">
        <f t="shared" si="25"/>
        <v>0.14646567325128823</v>
      </c>
      <c r="D45" s="595">
        <f t="shared" si="25"/>
        <v>0</v>
      </c>
      <c r="E45" s="508">
        <f t="shared" si="25"/>
        <v>0.17337171114628033</v>
      </c>
      <c r="F45" s="549"/>
      <c r="G45" s="462"/>
      <c r="H45" s="462"/>
      <c r="I45" s="462"/>
      <c r="J45" s="462"/>
      <c r="K45" s="498" t="s">
        <v>223</v>
      </c>
      <c r="L45" s="509">
        <f t="shared" ref="L45:L46" si="29">L43</f>
        <v>95</v>
      </c>
      <c r="M45" s="509">
        <f t="shared" si="27"/>
        <v>24</v>
      </c>
      <c r="N45" s="509">
        <f t="shared" si="28"/>
        <v>40</v>
      </c>
      <c r="O45" s="462"/>
      <c r="P45" s="486"/>
      <c r="Q45" s="498"/>
      <c r="R45" s="509"/>
      <c r="S45" s="509"/>
      <c r="T45" s="509"/>
      <c r="U45" s="462"/>
      <c r="V45" s="111"/>
      <c r="W45" s="111"/>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c r="QP45" s="92"/>
      <c r="QQ45" s="92"/>
      <c r="QR45" s="92"/>
      <c r="QS45" s="92"/>
      <c r="QT45" s="92"/>
      <c r="QU45" s="92"/>
      <c r="QV45" s="92"/>
      <c r="QW45" s="92"/>
      <c r="QX45" s="92"/>
      <c r="QY45" s="92"/>
    </row>
    <row r="46" spans="1:467">
      <c r="A46" s="461"/>
      <c r="B46" s="554" t="s">
        <v>7</v>
      </c>
      <c r="C46" s="510">
        <f t="shared" si="25"/>
        <v>1</v>
      </c>
      <c r="D46" s="510">
        <f t="shared" si="25"/>
        <v>1</v>
      </c>
      <c r="E46" s="510">
        <f t="shared" si="25"/>
        <v>1</v>
      </c>
      <c r="F46" s="549"/>
      <c r="G46" s="462"/>
      <c r="H46" s="462"/>
      <c r="I46" s="462"/>
      <c r="J46" s="462"/>
      <c r="K46" s="486" t="s">
        <v>221</v>
      </c>
      <c r="L46" s="509">
        <f t="shared" si="29"/>
        <v>95</v>
      </c>
      <c r="M46" s="509">
        <f t="shared" si="27"/>
        <v>24</v>
      </c>
      <c r="N46" s="509">
        <f t="shared" si="28"/>
        <v>40</v>
      </c>
      <c r="O46" s="462"/>
      <c r="P46" s="486"/>
      <c r="Q46" s="486"/>
      <c r="R46" s="509"/>
      <c r="S46" s="509"/>
      <c r="T46" s="509"/>
      <c r="U46" s="462"/>
      <c r="V46" s="111"/>
      <c r="W46" s="111"/>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c r="QP46" s="92"/>
      <c r="QQ46" s="92"/>
      <c r="QR46" s="92"/>
      <c r="QS46" s="92"/>
      <c r="QT46" s="92"/>
      <c r="QU46" s="92"/>
      <c r="QV46" s="92"/>
      <c r="QW46" s="92"/>
      <c r="QX46" s="92"/>
      <c r="QY46" s="92"/>
    </row>
    <row r="47" spans="1:467" ht="15.75" thickBot="1">
      <c r="A47" s="461"/>
      <c r="B47" s="555"/>
      <c r="C47" s="556"/>
      <c r="D47" s="557"/>
      <c r="E47" s="557"/>
      <c r="F47" s="558"/>
      <c r="G47" s="462"/>
      <c r="H47" s="462"/>
      <c r="I47" s="462"/>
      <c r="J47" s="462"/>
      <c r="K47" s="464" t="s">
        <v>7</v>
      </c>
      <c r="L47" s="461"/>
      <c r="M47" s="462"/>
      <c r="N47" s="462"/>
      <c r="O47" s="462"/>
      <c r="P47" s="486"/>
      <c r="Q47" s="464"/>
      <c r="R47" s="461"/>
      <c r="S47" s="462"/>
      <c r="T47" s="462"/>
      <c r="U47" s="462"/>
      <c r="V47" s="111"/>
      <c r="W47" s="111"/>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c r="QP47" s="92"/>
      <c r="QQ47" s="92"/>
      <c r="QR47" s="92"/>
      <c r="QS47" s="92"/>
      <c r="QT47" s="92"/>
      <c r="QU47" s="92"/>
      <c r="QV47" s="92"/>
      <c r="QW47" s="92"/>
      <c r="QX47" s="92"/>
      <c r="QY47" s="92"/>
    </row>
    <row r="48" spans="1:467">
      <c r="A48" s="461"/>
      <c r="B48" s="461"/>
      <c r="C48" s="508"/>
      <c r="D48" s="508"/>
      <c r="E48" s="462"/>
      <c r="F48" s="462"/>
      <c r="G48" s="462"/>
      <c r="H48" s="462"/>
      <c r="I48" s="462"/>
      <c r="J48" s="462"/>
      <c r="K48" s="469"/>
      <c r="L48" s="469"/>
      <c r="M48" s="469"/>
      <c r="N48" s="469"/>
      <c r="O48" s="482"/>
      <c r="P48" s="486"/>
      <c r="Q48" s="486"/>
      <c r="R48" s="486"/>
      <c r="S48" s="486"/>
      <c r="T48" s="486"/>
      <c r="U48" s="486"/>
      <c r="V48" s="111"/>
      <c r="W48" s="111"/>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c r="QP48" s="92"/>
      <c r="QQ48" s="92"/>
      <c r="QR48" s="92"/>
      <c r="QS48" s="92"/>
      <c r="QT48" s="92"/>
      <c r="QU48" s="92"/>
      <c r="QV48" s="92"/>
      <c r="QW48" s="92"/>
      <c r="QX48" s="92"/>
      <c r="QY48" s="92"/>
    </row>
    <row r="49" spans="1:467">
      <c r="A49" s="461"/>
      <c r="B49" s="461"/>
      <c r="C49" s="508"/>
      <c r="D49" s="508"/>
      <c r="E49" s="462"/>
      <c r="F49" s="462"/>
      <c r="G49" s="462"/>
      <c r="H49" s="462"/>
      <c r="I49" s="462"/>
      <c r="J49" s="462"/>
      <c r="K49" s="469"/>
      <c r="L49" s="469"/>
      <c r="M49" s="469"/>
      <c r="N49" s="469"/>
      <c r="O49" s="482"/>
      <c r="P49" s="486"/>
      <c r="Q49" s="486"/>
      <c r="R49" s="486"/>
      <c r="S49" s="486"/>
      <c r="T49" s="486"/>
      <c r="U49" s="486"/>
      <c r="V49" s="111"/>
      <c r="W49" s="111"/>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c r="QP49" s="92"/>
      <c r="QQ49" s="92"/>
      <c r="QR49" s="92"/>
      <c r="QS49" s="92"/>
      <c r="QT49" s="92"/>
      <c r="QU49" s="92"/>
      <c r="QV49" s="92"/>
      <c r="QW49" s="92"/>
      <c r="QX49" s="92"/>
      <c r="QY49" s="92"/>
    </row>
    <row r="50" spans="1:467">
      <c r="A50" s="461"/>
      <c r="B50" s="461"/>
      <c r="C50" s="508"/>
      <c r="D50" s="508"/>
      <c r="E50" s="462"/>
      <c r="F50" s="462"/>
      <c r="G50" s="462"/>
      <c r="H50" s="462"/>
      <c r="I50" s="462"/>
      <c r="J50" s="462"/>
      <c r="K50" s="469"/>
      <c r="L50" s="469"/>
      <c r="M50" s="469"/>
      <c r="N50" s="469"/>
      <c r="O50" s="482"/>
      <c r="P50" s="486"/>
      <c r="Q50" s="486"/>
      <c r="R50" s="486"/>
      <c r="S50" s="486"/>
      <c r="T50" s="486"/>
      <c r="U50" s="486"/>
      <c r="V50" s="111"/>
      <c r="W50" s="111"/>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c r="QP50" s="92"/>
      <c r="QQ50" s="92"/>
      <c r="QR50" s="92"/>
      <c r="QS50" s="92"/>
      <c r="QT50" s="92"/>
      <c r="QU50" s="92"/>
      <c r="QV50" s="92"/>
      <c r="QW50" s="92"/>
      <c r="QX50" s="92"/>
      <c r="QY50" s="92"/>
    </row>
    <row r="51" spans="1:467">
      <c r="A51" s="461"/>
      <c r="B51" s="461"/>
      <c r="C51" s="508"/>
      <c r="D51" s="508"/>
      <c r="E51" s="462"/>
      <c r="F51" s="462"/>
      <c r="G51" s="462"/>
      <c r="H51" s="462"/>
      <c r="I51" s="462"/>
      <c r="J51" s="462"/>
      <c r="K51" s="503" t="s">
        <v>632</v>
      </c>
      <c r="L51" s="503" t="s">
        <v>633</v>
      </c>
      <c r="M51" s="503" t="s">
        <v>638</v>
      </c>
      <c r="N51" s="503" t="s">
        <v>642</v>
      </c>
      <c r="O51" s="504"/>
      <c r="P51" s="486"/>
      <c r="Q51" s="486"/>
      <c r="R51" s="486"/>
      <c r="S51" s="486"/>
      <c r="T51" s="486"/>
      <c r="U51" s="486"/>
      <c r="V51" s="111"/>
      <c r="W51" s="111"/>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c r="QP51" s="92"/>
      <c r="QQ51" s="92"/>
      <c r="QR51" s="92"/>
      <c r="QS51" s="92"/>
      <c r="QT51" s="92"/>
      <c r="QU51" s="92"/>
      <c r="QV51" s="92"/>
      <c r="QW51" s="92"/>
      <c r="QX51" s="92"/>
      <c r="QY51" s="92"/>
    </row>
    <row r="52" spans="1:467">
      <c r="A52" s="461"/>
      <c r="B52" s="461"/>
      <c r="C52" s="508"/>
      <c r="D52" s="508"/>
      <c r="E52" s="462"/>
      <c r="F52" s="462"/>
      <c r="G52" s="462"/>
      <c r="H52" s="462"/>
      <c r="I52" s="462"/>
      <c r="J52" s="462"/>
      <c r="K52" s="469" t="s">
        <v>13</v>
      </c>
      <c r="L52" s="469">
        <v>29</v>
      </c>
      <c r="M52" s="469">
        <f>L52*M56</f>
        <v>580</v>
      </c>
      <c r="N52" s="469">
        <f>M52*O61</f>
        <v>161.11111111111111</v>
      </c>
      <c r="O52" s="482"/>
      <c r="P52" s="486"/>
      <c r="Q52" s="486"/>
      <c r="R52" s="486"/>
      <c r="S52" s="486"/>
      <c r="T52" s="486"/>
      <c r="U52" s="486"/>
      <c r="V52" s="111"/>
      <c r="W52" s="111"/>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c r="QP52" s="92"/>
      <c r="QQ52" s="92"/>
      <c r="QR52" s="92"/>
      <c r="QS52" s="92"/>
      <c r="QT52" s="92"/>
      <c r="QU52" s="92"/>
      <c r="QV52" s="92"/>
      <c r="QW52" s="92"/>
      <c r="QX52" s="92"/>
      <c r="QY52" s="92"/>
    </row>
    <row r="53" spans="1:467">
      <c r="A53" s="461"/>
      <c r="B53" s="461"/>
      <c r="C53" s="508"/>
      <c r="D53" s="508"/>
      <c r="E53" s="462"/>
      <c r="F53" s="462"/>
      <c r="G53" s="462"/>
      <c r="H53" s="462"/>
      <c r="I53" s="462"/>
      <c r="J53" s="462"/>
      <c r="K53" s="511" t="s">
        <v>376</v>
      </c>
      <c r="L53" s="469">
        <v>100</v>
      </c>
      <c r="M53" s="469">
        <f>L53*M56</f>
        <v>2000</v>
      </c>
      <c r="N53" s="469">
        <f>M53*O61</f>
        <v>555.55555555555554</v>
      </c>
      <c r="O53" s="482"/>
      <c r="P53" s="486"/>
      <c r="Q53" s="486"/>
      <c r="R53" s="486"/>
      <c r="S53" s="486"/>
      <c r="T53" s="486"/>
      <c r="U53" s="486"/>
      <c r="V53" s="111"/>
      <c r="W53" s="111"/>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c r="QP53" s="92"/>
      <c r="QQ53" s="92"/>
      <c r="QR53" s="92"/>
      <c r="QS53" s="92"/>
      <c r="QT53" s="92"/>
      <c r="QU53" s="92"/>
      <c r="QV53" s="92"/>
      <c r="QW53" s="92"/>
      <c r="QX53" s="92"/>
      <c r="QY53" s="92"/>
    </row>
    <row r="54" spans="1:467">
      <c r="A54" s="461"/>
      <c r="B54" s="461"/>
      <c r="C54" s="508"/>
      <c r="D54" s="508"/>
      <c r="E54" s="462"/>
      <c r="F54" s="462"/>
      <c r="G54" s="462"/>
      <c r="H54" s="462"/>
      <c r="I54" s="462"/>
      <c r="J54" s="462"/>
      <c r="K54" s="512"/>
      <c r="L54" s="461"/>
      <c r="M54" s="461"/>
      <c r="N54" s="461"/>
      <c r="O54" s="461"/>
      <c r="P54" s="486"/>
      <c r="Q54" s="486"/>
      <c r="R54" s="486"/>
      <c r="S54" s="486"/>
      <c r="T54" s="486"/>
      <c r="U54" s="486"/>
      <c r="V54" s="111"/>
      <c r="W54" s="111"/>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c r="QP54" s="92"/>
      <c r="QQ54" s="92"/>
      <c r="QR54" s="92"/>
      <c r="QS54" s="92"/>
      <c r="QT54" s="92"/>
      <c r="QU54" s="92"/>
      <c r="QV54" s="92"/>
      <c r="QW54" s="92"/>
      <c r="QX54" s="92"/>
      <c r="QY54" s="92"/>
    </row>
    <row r="55" spans="1:467">
      <c r="A55" s="461"/>
      <c r="B55" s="461"/>
      <c r="C55" s="508"/>
      <c r="D55" s="508"/>
      <c r="E55" s="462"/>
      <c r="F55" s="462"/>
      <c r="G55" s="462"/>
      <c r="H55" s="462"/>
      <c r="I55" s="462"/>
      <c r="J55" s="462"/>
      <c r="K55" s="461"/>
      <c r="L55" s="461"/>
      <c r="M55" s="461"/>
      <c r="N55" s="461"/>
      <c r="O55" s="461"/>
      <c r="P55" s="486"/>
      <c r="Q55" s="486"/>
      <c r="R55" s="486"/>
      <c r="S55" s="486"/>
      <c r="T55" s="486"/>
      <c r="U55" s="486"/>
      <c r="V55" s="111"/>
      <c r="W55" s="111"/>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c r="QP55" s="92"/>
      <c r="QQ55" s="92"/>
      <c r="QR55" s="92"/>
      <c r="QS55" s="92"/>
      <c r="QT55" s="92"/>
      <c r="QU55" s="92"/>
      <c r="QV55" s="92"/>
      <c r="QW55" s="92"/>
      <c r="QX55" s="92"/>
      <c r="QY55" s="92"/>
    </row>
    <row r="56" spans="1:467">
      <c r="A56" s="461"/>
      <c r="B56" s="461"/>
      <c r="C56" s="508"/>
      <c r="D56" s="508"/>
      <c r="E56" s="462"/>
      <c r="F56" s="462"/>
      <c r="G56" s="462"/>
      <c r="H56" s="462"/>
      <c r="I56" s="462"/>
      <c r="J56" s="462"/>
      <c r="K56" s="513" t="s">
        <v>641</v>
      </c>
      <c r="L56" s="514" t="s">
        <v>568</v>
      </c>
      <c r="M56" s="467">
        <v>20</v>
      </c>
      <c r="N56" s="515" t="s">
        <v>634</v>
      </c>
      <c r="O56" s="482"/>
      <c r="P56" s="486"/>
      <c r="Q56" s="486"/>
      <c r="R56" s="486"/>
      <c r="S56" s="486"/>
      <c r="T56" s="486"/>
      <c r="U56" s="486"/>
      <c r="V56" s="486"/>
      <c r="W56" s="486"/>
      <c r="X56" s="316"/>
      <c r="Y56" s="317"/>
      <c r="Z56" s="317"/>
      <c r="AA56" s="317"/>
      <c r="AB56" s="317"/>
      <c r="AC56" s="317"/>
      <c r="AD56" s="317"/>
      <c r="AE56" s="276"/>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c r="QP56" s="92"/>
      <c r="QQ56" s="92"/>
      <c r="QR56" s="92"/>
      <c r="QS56" s="92"/>
      <c r="QT56" s="92"/>
      <c r="QU56" s="92"/>
      <c r="QV56" s="92"/>
      <c r="QW56" s="92"/>
      <c r="QX56" s="92"/>
      <c r="QY56" s="92"/>
    </row>
    <row r="57" spans="1:467">
      <c r="A57" s="461"/>
      <c r="B57" s="516"/>
      <c r="C57" s="508"/>
      <c r="D57" s="508"/>
      <c r="E57" s="462"/>
      <c r="F57" s="470"/>
      <c r="G57" s="470"/>
      <c r="H57" s="470"/>
      <c r="I57" s="470"/>
      <c r="J57" s="462"/>
      <c r="K57" s="491" t="s">
        <v>639</v>
      </c>
      <c r="L57" s="469" t="s">
        <v>568</v>
      </c>
      <c r="M57" s="517">
        <f>1/1000000</f>
        <v>9.9999999999999995E-7</v>
      </c>
      <c r="N57" s="518" t="s">
        <v>640</v>
      </c>
      <c r="O57" s="482"/>
      <c r="P57" s="111"/>
      <c r="Q57" s="111"/>
      <c r="R57" s="111"/>
      <c r="S57" s="519"/>
      <c r="T57" s="519"/>
      <c r="U57" s="520"/>
      <c r="V57" s="111"/>
      <c r="W57" s="111"/>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c r="QP57" s="92"/>
      <c r="QQ57" s="92"/>
      <c r="QR57" s="92"/>
      <c r="QS57" s="92"/>
      <c r="QT57" s="92"/>
      <c r="QU57" s="92"/>
      <c r="QV57" s="92"/>
      <c r="QW57" s="92"/>
      <c r="QX57" s="92"/>
      <c r="QY57" s="92"/>
    </row>
    <row r="58" spans="1:467">
      <c r="A58" s="461"/>
      <c r="B58" s="516"/>
      <c r="C58" s="508"/>
      <c r="D58" s="508"/>
      <c r="E58" s="462"/>
      <c r="F58" s="521"/>
      <c r="G58" s="521"/>
      <c r="H58" s="521"/>
      <c r="I58" s="521"/>
      <c r="J58" s="462"/>
      <c r="K58" s="522" t="s">
        <v>908</v>
      </c>
      <c r="L58" s="482" t="s">
        <v>568</v>
      </c>
      <c r="M58" s="523">
        <v>3.5999999999999998E-6</v>
      </c>
      <c r="N58" s="524" t="s">
        <v>390</v>
      </c>
      <c r="O58" s="482"/>
      <c r="P58" s="525"/>
      <c r="Q58" s="526"/>
      <c r="R58" s="111"/>
      <c r="S58" s="527"/>
      <c r="T58" s="527"/>
      <c r="U58" s="528"/>
      <c r="V58" s="111"/>
      <c r="W58" s="111"/>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c r="QP58" s="92"/>
      <c r="QQ58" s="92"/>
      <c r="QR58" s="92"/>
      <c r="QS58" s="92"/>
      <c r="QT58" s="92"/>
      <c r="QU58" s="92"/>
      <c r="QV58" s="92"/>
      <c r="QW58" s="92"/>
      <c r="QX58" s="92"/>
      <c r="QY58" s="92"/>
    </row>
    <row r="59" spans="1:467">
      <c r="A59" s="461"/>
      <c r="B59" s="529"/>
      <c r="C59" s="508"/>
      <c r="D59" s="508"/>
      <c r="E59" s="462"/>
      <c r="F59" s="482"/>
      <c r="G59" s="482"/>
      <c r="H59" s="482"/>
      <c r="I59" s="482"/>
      <c r="J59" s="462"/>
      <c r="K59" s="530" t="s">
        <v>909</v>
      </c>
      <c r="L59" s="531" t="s">
        <v>568</v>
      </c>
      <c r="M59" s="532">
        <v>3.5999999999999999E-3</v>
      </c>
      <c r="N59" s="533" t="s">
        <v>390</v>
      </c>
      <c r="O59" s="521"/>
      <c r="P59" s="534"/>
      <c r="Q59" s="526"/>
      <c r="R59" s="111"/>
      <c r="S59" s="111"/>
      <c r="T59" s="535"/>
      <c r="U59" s="536"/>
      <c r="V59" s="111"/>
      <c r="W59" s="111"/>
      <c r="X59" s="92"/>
      <c r="Y59" s="92"/>
      <c r="Z59" s="92"/>
      <c r="AA59" s="92"/>
      <c r="AB59" s="92"/>
      <c r="AC59" s="92"/>
      <c r="AD59" s="92"/>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c r="QP59" s="92"/>
      <c r="QQ59" s="92"/>
      <c r="QR59" s="92"/>
      <c r="QS59" s="92"/>
      <c r="QT59" s="92"/>
      <c r="QU59" s="92"/>
      <c r="QV59" s="92"/>
      <c r="QW59" s="92"/>
      <c r="QX59" s="92"/>
      <c r="QY59" s="92"/>
    </row>
    <row r="60" spans="1:467">
      <c r="A60" s="461"/>
      <c r="B60" s="464"/>
      <c r="C60" s="508"/>
      <c r="D60" s="508"/>
      <c r="E60" s="462"/>
      <c r="F60" s="483"/>
      <c r="G60" s="483"/>
      <c r="H60" s="483"/>
      <c r="I60" s="483"/>
      <c r="J60" s="462"/>
      <c r="K60" s="521"/>
      <c r="L60" s="521"/>
      <c r="M60" s="521"/>
      <c r="N60" s="538"/>
      <c r="O60" s="521"/>
      <c r="P60" s="534"/>
      <c r="Q60" s="526"/>
      <c r="R60" s="111"/>
      <c r="S60" s="111"/>
      <c r="T60" s="535"/>
      <c r="U60" s="536"/>
      <c r="V60" s="111"/>
      <c r="W60" s="111"/>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c r="QP60" s="92"/>
      <c r="QQ60" s="92"/>
      <c r="QR60" s="92"/>
      <c r="QS60" s="92"/>
      <c r="QT60" s="92"/>
      <c r="QU60" s="92"/>
      <c r="QV60" s="92"/>
      <c r="QW60" s="92"/>
      <c r="QX60" s="92"/>
      <c r="QY60" s="92"/>
    </row>
    <row r="61" spans="1:467">
      <c r="A61" s="461"/>
      <c r="B61" s="461"/>
      <c r="C61" s="537"/>
      <c r="D61" s="521"/>
      <c r="E61" s="521"/>
      <c r="F61" s="521"/>
      <c r="G61" s="521"/>
      <c r="H61" s="521"/>
      <c r="I61" s="521"/>
      <c r="J61" s="462"/>
      <c r="K61" s="694" t="s">
        <v>637</v>
      </c>
      <c r="L61" s="694"/>
      <c r="M61" s="694"/>
      <c r="N61" s="694"/>
      <c r="O61" s="320">
        <f>M57/M58</f>
        <v>0.27777777777777779</v>
      </c>
      <c r="P61" s="525"/>
      <c r="Q61" s="526"/>
      <c r="R61" s="111"/>
      <c r="S61" s="527"/>
      <c r="T61" s="527"/>
      <c r="U61" s="528"/>
      <c r="V61" s="111"/>
      <c r="W61" s="111"/>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c r="QP61" s="92"/>
      <c r="QQ61" s="92"/>
      <c r="QR61" s="92"/>
      <c r="QS61" s="92"/>
      <c r="QT61" s="92"/>
      <c r="QU61" s="92"/>
      <c r="QV61" s="92"/>
      <c r="QW61" s="92"/>
      <c r="QX61" s="92"/>
      <c r="QY61" s="92"/>
    </row>
    <row r="62" spans="1:467">
      <c r="A62" s="461"/>
      <c r="B62" s="461"/>
      <c r="C62" s="537"/>
      <c r="D62" s="521"/>
      <c r="E62" s="521"/>
      <c r="F62" s="521"/>
      <c r="G62" s="521"/>
      <c r="H62" s="521"/>
      <c r="I62" s="521"/>
      <c r="J62" s="462"/>
      <c r="K62" s="694"/>
      <c r="L62" s="694"/>
      <c r="M62" s="694"/>
      <c r="N62" s="694"/>
      <c r="O62" s="320"/>
      <c r="P62" s="534"/>
      <c r="Q62" s="526"/>
      <c r="R62" s="111"/>
      <c r="S62" s="539"/>
      <c r="T62" s="539"/>
      <c r="U62" s="536"/>
      <c r="V62" s="111"/>
      <c r="W62" s="111"/>
      <c r="X62" s="92"/>
      <c r="Y62" s="92"/>
      <c r="Z62" s="92"/>
      <c r="AA62" s="92"/>
      <c r="AB62" s="92"/>
      <c r="AC62" s="92"/>
      <c r="AD62" s="92"/>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c r="QP62" s="92"/>
      <c r="QQ62" s="92"/>
      <c r="QR62" s="92"/>
      <c r="QS62" s="92"/>
      <c r="QT62" s="92"/>
      <c r="QU62" s="92"/>
      <c r="QV62" s="92"/>
      <c r="QW62" s="92"/>
      <c r="QX62" s="92"/>
      <c r="QY62" s="92"/>
    </row>
    <row r="63" spans="1:467">
      <c r="A63" s="461"/>
      <c r="B63" s="461"/>
      <c r="C63" s="537"/>
      <c r="D63" s="521"/>
      <c r="E63" s="521"/>
      <c r="F63" s="521"/>
      <c r="G63" s="521"/>
      <c r="H63" s="521"/>
      <c r="I63" s="521"/>
      <c r="J63" s="462"/>
      <c r="K63" s="521"/>
      <c r="L63" s="521"/>
      <c r="M63" s="521"/>
      <c r="N63" s="538"/>
      <c r="O63" s="521"/>
      <c r="P63" s="534"/>
      <c r="Q63" s="526"/>
      <c r="R63" s="111"/>
      <c r="S63" s="539"/>
      <c r="T63" s="539"/>
      <c r="U63" s="536"/>
      <c r="V63" s="111"/>
      <c r="W63" s="111"/>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c r="QP63" s="92"/>
      <c r="QQ63" s="92"/>
      <c r="QR63" s="92"/>
      <c r="QS63" s="92"/>
      <c r="QT63" s="92"/>
      <c r="QU63" s="92"/>
      <c r="QV63" s="92"/>
      <c r="QW63" s="92"/>
      <c r="QX63" s="92"/>
      <c r="QY63" s="92"/>
    </row>
    <row r="64" spans="1:467">
      <c r="A64" s="461"/>
      <c r="B64" s="461"/>
      <c r="C64" s="537"/>
      <c r="D64" s="521"/>
      <c r="E64" s="521"/>
      <c r="F64" s="521"/>
      <c r="G64" s="521"/>
      <c r="H64" s="521"/>
      <c r="I64" s="521"/>
      <c r="J64" s="462"/>
      <c r="K64" s="521"/>
      <c r="L64" s="521"/>
      <c r="M64" s="521"/>
      <c r="N64" s="538"/>
      <c r="O64" s="521"/>
      <c r="P64" s="534"/>
      <c r="Q64" s="526"/>
      <c r="R64" s="111"/>
      <c r="S64" s="539"/>
      <c r="T64" s="539"/>
      <c r="U64" s="536"/>
      <c r="V64" s="111"/>
      <c r="W64" s="111"/>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c r="QP64" s="92"/>
      <c r="QQ64" s="92"/>
      <c r="QR64" s="92"/>
      <c r="QS64" s="92"/>
      <c r="QT64" s="92"/>
      <c r="QU64" s="92"/>
      <c r="QV64" s="92"/>
      <c r="QW64" s="92"/>
      <c r="QX64" s="92"/>
      <c r="QY64" s="92"/>
    </row>
    <row r="65" spans="1:467">
      <c r="A65" s="461"/>
      <c r="B65" s="461"/>
      <c r="C65" s="537"/>
      <c r="D65" s="521"/>
      <c r="E65" s="521"/>
      <c r="F65" s="521"/>
      <c r="G65" s="521"/>
      <c r="H65" s="521"/>
      <c r="I65" s="521"/>
      <c r="J65" s="462"/>
      <c r="K65" s="540"/>
      <c r="L65" s="540"/>
      <c r="M65" s="540"/>
      <c r="N65" s="538"/>
      <c r="O65" s="541"/>
      <c r="P65" s="534"/>
      <c r="Q65" s="526"/>
      <c r="R65" s="111"/>
      <c r="S65" s="539"/>
      <c r="T65" s="539"/>
      <c r="U65" s="536"/>
      <c r="V65" s="111"/>
      <c r="W65" s="111"/>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c r="QP65" s="92"/>
      <c r="QQ65" s="92"/>
      <c r="QR65" s="92"/>
      <c r="QS65" s="92"/>
      <c r="QT65" s="92"/>
      <c r="QU65" s="92"/>
      <c r="QV65" s="92"/>
      <c r="QW65" s="92"/>
      <c r="QX65" s="92"/>
      <c r="QY65" s="92"/>
    </row>
    <row r="66" spans="1:467">
      <c r="A66" s="461"/>
      <c r="B66" s="461"/>
      <c r="C66" s="537"/>
      <c r="D66" s="521"/>
      <c r="E66" s="521"/>
      <c r="F66" s="521"/>
      <c r="G66" s="521"/>
      <c r="H66" s="521"/>
      <c r="I66" s="521"/>
      <c r="J66" s="462"/>
      <c r="K66" s="542"/>
      <c r="L66" s="542"/>
      <c r="M66" s="542"/>
      <c r="N66" s="538"/>
      <c r="O66" s="543"/>
      <c r="P66" s="534"/>
      <c r="Q66" s="526"/>
      <c r="R66" s="111"/>
      <c r="S66" s="539"/>
      <c r="T66" s="539"/>
      <c r="U66" s="536"/>
      <c r="V66" s="111"/>
      <c r="W66" s="111"/>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c r="QP66" s="92"/>
      <c r="QQ66" s="92"/>
      <c r="QR66" s="92"/>
      <c r="QS66" s="92"/>
      <c r="QT66" s="92"/>
      <c r="QU66" s="92"/>
      <c r="QV66" s="92"/>
      <c r="QW66" s="92"/>
      <c r="QX66" s="92"/>
      <c r="QY66" s="92"/>
    </row>
    <row r="67" spans="1:467">
      <c r="C67" s="106"/>
      <c r="D67" s="101"/>
      <c r="E67" s="101"/>
      <c r="F67" s="101"/>
      <c r="G67" s="101"/>
      <c r="H67" s="101"/>
      <c r="I67" s="101"/>
      <c r="J67" s="462"/>
      <c r="K67" s="544"/>
      <c r="L67" s="544"/>
      <c r="M67" s="544"/>
      <c r="N67" s="538"/>
      <c r="O67" s="543"/>
      <c r="P67" s="534"/>
      <c r="Q67" s="526"/>
      <c r="R67" s="111"/>
      <c r="S67" s="539"/>
      <c r="T67" s="539"/>
      <c r="U67" s="536"/>
      <c r="V67" s="111"/>
      <c r="W67" s="111"/>
      <c r="X67" s="92"/>
      <c r="Y67" s="92"/>
      <c r="Z67" s="92"/>
      <c r="AA67" s="9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c r="QP67" s="92"/>
      <c r="QQ67" s="92"/>
      <c r="QR67" s="92"/>
      <c r="QS67" s="92"/>
      <c r="QT67" s="92"/>
      <c r="QU67" s="92"/>
      <c r="QV67" s="92"/>
      <c r="QW67" s="92"/>
      <c r="QX67" s="92"/>
      <c r="QY67" s="92"/>
    </row>
    <row r="68" spans="1:467">
      <c r="A68" s="83"/>
      <c r="C68" s="106"/>
      <c r="D68" s="79"/>
      <c r="E68" s="79"/>
      <c r="F68" s="79"/>
      <c r="G68" s="79"/>
      <c r="H68" s="79"/>
      <c r="I68" s="79"/>
      <c r="J68" s="95"/>
      <c r="K68" s="82"/>
      <c r="L68" s="82"/>
      <c r="M68" s="82"/>
      <c r="N68" s="102"/>
      <c r="O68" s="83"/>
      <c r="P68" s="100"/>
      <c r="Q68" s="97"/>
      <c r="R68" s="92"/>
      <c r="S68" s="86"/>
      <c r="T68" s="86"/>
      <c r="U68" s="88"/>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c r="QP68" s="92"/>
      <c r="QQ68" s="92"/>
      <c r="QR68" s="92"/>
      <c r="QS68" s="92"/>
      <c r="QT68" s="92"/>
      <c r="QU68" s="92"/>
      <c r="QV68" s="92"/>
      <c r="QW68" s="92"/>
      <c r="QX68" s="92"/>
      <c r="QY68" s="92"/>
    </row>
    <row r="69" spans="1:467">
      <c r="A69" s="83"/>
      <c r="C69" s="106"/>
      <c r="D69" s="80"/>
      <c r="E69" s="80"/>
      <c r="F69" s="80"/>
      <c r="G69" s="80"/>
      <c r="H69" s="80"/>
      <c r="I69" s="80"/>
      <c r="J69" s="101"/>
      <c r="K69" s="82"/>
      <c r="L69" s="82"/>
      <c r="M69" s="82"/>
      <c r="N69" s="102"/>
      <c r="O69" s="83"/>
      <c r="P69" s="100"/>
      <c r="Q69" s="97"/>
      <c r="R69" s="92"/>
      <c r="S69" s="86"/>
      <c r="T69" s="86"/>
      <c r="U69" s="88"/>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c r="QP69" s="92"/>
      <c r="QQ69" s="92"/>
      <c r="QR69" s="92"/>
      <c r="QS69" s="92"/>
      <c r="QT69" s="92"/>
      <c r="QU69" s="92"/>
      <c r="QV69" s="92"/>
      <c r="QW69" s="92"/>
      <c r="QX69" s="92"/>
      <c r="QY69" s="92"/>
    </row>
    <row r="70" spans="1:467">
      <c r="A70" s="302"/>
      <c r="C70" s="106"/>
      <c r="D70" s="81"/>
      <c r="E70" s="81"/>
      <c r="F70" s="81"/>
      <c r="G70" s="81"/>
      <c r="H70" s="81"/>
      <c r="I70" s="81"/>
      <c r="J70" s="215"/>
      <c r="K70" s="82"/>
      <c r="L70" s="82"/>
      <c r="M70" s="82"/>
      <c r="N70" s="102"/>
      <c r="O70" s="83"/>
      <c r="P70" s="100"/>
      <c r="Q70" s="97"/>
      <c r="R70" s="92"/>
      <c r="S70" s="86"/>
      <c r="T70" s="86"/>
      <c r="U70" s="88"/>
      <c r="V70" s="92"/>
      <c r="W70" s="92"/>
      <c r="X70" s="92"/>
      <c r="Y70" s="92"/>
      <c r="Z70" s="92"/>
      <c r="AA70" s="92"/>
      <c r="AB70" s="92"/>
      <c r="AC70" s="92"/>
      <c r="AD70" s="92"/>
      <c r="AE70" s="92"/>
      <c r="AF70" s="276"/>
      <c r="AG70" s="276"/>
      <c r="AH70" s="276"/>
      <c r="AI70" s="276"/>
      <c r="AJ70" s="276"/>
      <c r="AK70" s="276"/>
      <c r="AL70" s="276"/>
      <c r="AM70" s="276"/>
      <c r="AN70" s="276"/>
      <c r="AO70" s="276"/>
      <c r="AP70" s="276"/>
      <c r="AQ70" s="276"/>
      <c r="AR70" s="276"/>
      <c r="AS70" s="276"/>
      <c r="AT70" s="276"/>
      <c r="AU70" s="276"/>
      <c r="AV70" s="276"/>
      <c r="AW70" s="276"/>
      <c r="AX70" s="276"/>
      <c r="AY70" s="276"/>
      <c r="AZ70" s="276"/>
      <c r="BA70" s="276"/>
      <c r="BB70" s="276"/>
      <c r="BC70" s="276"/>
      <c r="BD70" s="276"/>
      <c r="BE70" s="276"/>
      <c r="BF70" s="276"/>
      <c r="BG70" s="276"/>
      <c r="BH70" s="276"/>
      <c r="BI70" s="276"/>
      <c r="BJ70" s="276"/>
      <c r="BK70" s="276"/>
      <c r="BL70" s="276"/>
      <c r="BM70" s="276"/>
      <c r="BN70" s="276"/>
      <c r="BO70" s="276"/>
      <c r="BP70" s="276"/>
      <c r="BQ70" s="276"/>
      <c r="BR70" s="276"/>
      <c r="BS70" s="276"/>
      <c r="BT70" s="276"/>
      <c r="BU70" s="276"/>
      <c r="BV70" s="276"/>
      <c r="BW70" s="276"/>
      <c r="BX70" s="276"/>
      <c r="BY70" s="276"/>
      <c r="BZ70" s="276"/>
      <c r="CA70" s="276"/>
      <c r="CB70" s="276"/>
      <c r="CC70" s="276"/>
      <c r="CD70" s="276"/>
      <c r="CE70" s="276"/>
      <c r="CF70" s="276"/>
      <c r="CG70" s="276"/>
      <c r="CH70" s="276"/>
      <c r="CI70" s="276"/>
      <c r="CJ70" s="276"/>
      <c r="CK70" s="276"/>
      <c r="CL70" s="276"/>
      <c r="CM70" s="276"/>
      <c r="CN70" s="276"/>
      <c r="CO70" s="276"/>
      <c r="CP70" s="276"/>
      <c r="CQ70" s="276"/>
      <c r="CR70" s="276"/>
      <c r="CS70" s="276"/>
      <c r="CT70" s="276"/>
      <c r="CU70" s="276"/>
      <c r="CV70" s="276"/>
      <c r="CW70" s="276"/>
      <c r="CX70" s="276"/>
      <c r="CY70" s="276"/>
      <c r="CZ70" s="276"/>
      <c r="DA70" s="276"/>
      <c r="DB70" s="276"/>
      <c r="DC70" s="276"/>
      <c r="DD70" s="276"/>
      <c r="DE70" s="276"/>
      <c r="DF70" s="276"/>
      <c r="DG70" s="276"/>
      <c r="DH70" s="276"/>
      <c r="DI70" s="276"/>
      <c r="DJ70" s="276"/>
      <c r="DK70" s="276"/>
      <c r="DL70" s="276"/>
      <c r="DM70" s="276"/>
      <c r="DN70" s="276"/>
      <c r="DO70" s="276"/>
      <c r="DP70" s="276"/>
      <c r="DQ70" s="276"/>
      <c r="DR70" s="276"/>
      <c r="DS70" s="276"/>
      <c r="DT70" s="276"/>
      <c r="DU70" s="276"/>
      <c r="DV70" s="276"/>
      <c r="DW70" s="276"/>
      <c r="DX70" s="276"/>
      <c r="DY70" s="276"/>
      <c r="DZ70" s="276"/>
      <c r="EA70" s="276"/>
      <c r="EB70" s="276"/>
      <c r="EC70" s="276"/>
      <c r="ED70" s="276"/>
      <c r="EE70" s="276"/>
      <c r="EF70" s="276"/>
      <c r="EG70" s="276"/>
      <c r="EH70" s="276"/>
      <c r="EI70" s="276"/>
      <c r="EJ70" s="276"/>
      <c r="EK70" s="276"/>
      <c r="EL70" s="276"/>
      <c r="EM70" s="276"/>
      <c r="EN70" s="276"/>
      <c r="EO70" s="276"/>
      <c r="EP70" s="276"/>
      <c r="EQ70" s="276"/>
      <c r="ER70" s="276"/>
      <c r="ES70" s="276"/>
      <c r="ET70" s="276"/>
      <c r="EU70" s="276"/>
      <c r="EV70" s="276"/>
      <c r="EW70" s="276"/>
      <c r="EX70" s="276"/>
      <c r="EY70" s="276"/>
      <c r="EZ70" s="276"/>
      <c r="FA70" s="276"/>
      <c r="FB70" s="276"/>
      <c r="FC70" s="276"/>
      <c r="FD70" s="276"/>
      <c r="FE70" s="276"/>
      <c r="FF70" s="276"/>
      <c r="FG70" s="276"/>
      <c r="FH70" s="276"/>
      <c r="FI70" s="276"/>
      <c r="FJ70" s="276"/>
      <c r="FK70" s="276"/>
      <c r="FL70" s="276"/>
      <c r="FM70" s="276"/>
      <c r="FN70" s="276"/>
      <c r="FO70" s="276"/>
      <c r="FP70" s="276"/>
      <c r="FQ70" s="276"/>
      <c r="FR70" s="276"/>
      <c r="FS70" s="276"/>
      <c r="FT70" s="276"/>
      <c r="FU70" s="276"/>
      <c r="FV70" s="276"/>
      <c r="FW70" s="276"/>
      <c r="FX70" s="276"/>
      <c r="FY70" s="276"/>
      <c r="FZ70" s="276"/>
      <c r="GA70" s="276"/>
      <c r="GB70" s="276"/>
      <c r="GC70" s="276"/>
      <c r="GD70" s="276"/>
      <c r="GE70" s="276"/>
      <c r="GF70" s="276"/>
      <c r="GG70" s="276"/>
      <c r="GH70" s="276"/>
      <c r="GI70" s="276"/>
      <c r="GJ70" s="276"/>
      <c r="GK70" s="276"/>
      <c r="GL70" s="276"/>
      <c r="GM70" s="276"/>
      <c r="GN70" s="276"/>
      <c r="GO70" s="276"/>
      <c r="GP70" s="276"/>
      <c r="GQ70" s="276"/>
      <c r="GR70" s="276"/>
      <c r="GS70" s="276"/>
      <c r="GT70" s="276"/>
      <c r="GU70" s="276"/>
      <c r="GV70" s="276"/>
      <c r="GW70" s="276"/>
      <c r="GX70" s="276"/>
      <c r="GY70" s="276"/>
      <c r="GZ70" s="276"/>
      <c r="HA70" s="276"/>
      <c r="HB70" s="276"/>
      <c r="HC70" s="276"/>
      <c r="HD70" s="276"/>
      <c r="HE70" s="276"/>
      <c r="HF70" s="276"/>
      <c r="HG70" s="276"/>
      <c r="HH70" s="276"/>
      <c r="HI70" s="276"/>
      <c r="HJ70" s="276"/>
      <c r="HK70" s="276"/>
      <c r="HL70" s="276"/>
      <c r="HM70" s="276"/>
      <c r="HN70" s="276"/>
      <c r="HO70" s="276"/>
      <c r="HP70" s="276"/>
      <c r="HQ70" s="276"/>
      <c r="HR70" s="276"/>
      <c r="HS70" s="276"/>
      <c r="HT70" s="276"/>
      <c r="HU70" s="276"/>
      <c r="HV70" s="276"/>
      <c r="HW70" s="276"/>
      <c r="HX70" s="276"/>
      <c r="HY70" s="276"/>
      <c r="HZ70" s="276"/>
      <c r="IA70" s="276"/>
      <c r="IB70" s="276"/>
      <c r="IC70" s="276"/>
      <c r="ID70" s="276"/>
      <c r="IE70" s="276"/>
      <c r="IF70" s="276"/>
      <c r="IG70" s="276"/>
      <c r="IH70" s="276"/>
      <c r="II70" s="276"/>
      <c r="IJ70" s="276"/>
      <c r="IK70" s="276"/>
      <c r="IL70" s="276"/>
      <c r="IM70" s="276"/>
      <c r="IN70" s="276"/>
      <c r="IO70" s="276"/>
      <c r="IP70" s="276"/>
      <c r="IQ70" s="276"/>
      <c r="IR70" s="276"/>
      <c r="IS70" s="276"/>
      <c r="IT70" s="276"/>
      <c r="IU70" s="276"/>
      <c r="IV70" s="276"/>
      <c r="IW70" s="276"/>
      <c r="IX70" s="276"/>
      <c r="IY70" s="276"/>
      <c r="IZ70" s="276"/>
      <c r="JA70" s="276"/>
      <c r="JB70" s="276"/>
      <c r="JC70" s="276"/>
      <c r="JD70" s="276"/>
      <c r="JE70" s="276"/>
      <c r="JF70" s="276"/>
      <c r="JG70" s="276"/>
      <c r="JH70" s="276"/>
      <c r="JI70" s="276"/>
      <c r="JJ70" s="276"/>
      <c r="JK70" s="276"/>
      <c r="JL70" s="276"/>
      <c r="JM70" s="276"/>
      <c r="JN70" s="276"/>
      <c r="JO70" s="276"/>
      <c r="JP70" s="276"/>
      <c r="JQ70" s="276"/>
      <c r="JR70" s="276"/>
      <c r="JS70" s="276"/>
      <c r="JT70" s="276"/>
      <c r="JU70" s="276"/>
      <c r="JV70" s="276"/>
      <c r="JW70" s="276"/>
      <c r="JX70" s="276"/>
      <c r="JY70" s="276"/>
      <c r="JZ70" s="276"/>
      <c r="KA70" s="276"/>
      <c r="KB70" s="276"/>
      <c r="KC70" s="276"/>
      <c r="KD70" s="276"/>
      <c r="KE70" s="276"/>
      <c r="KF70" s="276"/>
      <c r="KG70" s="276"/>
      <c r="KH70" s="276"/>
      <c r="KI70" s="276"/>
      <c r="KJ70" s="276"/>
      <c r="KK70" s="276"/>
      <c r="KL70" s="276"/>
      <c r="KM70" s="276"/>
      <c r="KN70" s="276"/>
      <c r="KO70" s="276"/>
      <c r="KP70" s="276"/>
      <c r="KQ70" s="276"/>
      <c r="KR70" s="276"/>
      <c r="KS70" s="276"/>
      <c r="KT70" s="276"/>
      <c r="KU70" s="276"/>
      <c r="KV70" s="276"/>
      <c r="KW70" s="276"/>
      <c r="KX70" s="276"/>
      <c r="KY70" s="276"/>
      <c r="KZ70" s="276"/>
      <c r="LA70" s="276"/>
      <c r="LB70" s="276"/>
      <c r="LC70" s="276"/>
      <c r="LD70" s="276"/>
      <c r="LE70" s="276"/>
      <c r="LF70" s="276"/>
      <c r="LG70" s="276"/>
      <c r="LH70" s="276"/>
      <c r="LI70" s="276"/>
      <c r="LJ70" s="276"/>
      <c r="LK70" s="276"/>
      <c r="LL70" s="276"/>
      <c r="LM70" s="276"/>
      <c r="LN70" s="276"/>
      <c r="LO70" s="276"/>
      <c r="LP70" s="276"/>
      <c r="LQ70" s="276"/>
      <c r="LR70" s="276"/>
      <c r="LS70" s="276"/>
      <c r="LT70" s="276"/>
      <c r="LU70" s="276"/>
      <c r="LV70" s="276"/>
      <c r="LW70" s="276"/>
      <c r="LX70" s="276"/>
      <c r="LY70" s="276"/>
      <c r="LZ70" s="276"/>
      <c r="MA70" s="276"/>
      <c r="MB70" s="276"/>
      <c r="MC70" s="276"/>
      <c r="MD70" s="276"/>
      <c r="ME70" s="276"/>
      <c r="MF70" s="276"/>
      <c r="MG70" s="276"/>
      <c r="MH70" s="276"/>
      <c r="MI70" s="276"/>
      <c r="MJ70" s="276"/>
      <c r="MK70" s="276"/>
      <c r="ML70" s="276"/>
      <c r="MM70" s="276"/>
      <c r="MN70" s="276"/>
      <c r="MO70" s="276"/>
      <c r="MP70" s="276"/>
      <c r="MQ70" s="276"/>
      <c r="MR70" s="276"/>
      <c r="MS70" s="276"/>
      <c r="MT70" s="276"/>
      <c r="MU70" s="276"/>
      <c r="MV70" s="276"/>
      <c r="MW70" s="276"/>
      <c r="MX70" s="276"/>
      <c r="MY70" s="276"/>
      <c r="MZ70" s="276"/>
      <c r="NA70" s="276"/>
      <c r="NB70" s="276"/>
      <c r="NC70" s="276"/>
      <c r="ND70" s="276"/>
      <c r="NE70" s="276"/>
      <c r="NF70" s="276"/>
      <c r="NG70" s="276"/>
      <c r="NH70" s="276"/>
      <c r="NI70" s="276"/>
      <c r="NJ70" s="276"/>
      <c r="NK70" s="276"/>
      <c r="NL70" s="276"/>
      <c r="NM70" s="276"/>
      <c r="NN70" s="276"/>
      <c r="NO70" s="276"/>
      <c r="NP70" s="276"/>
      <c r="NQ70" s="276"/>
      <c r="NR70" s="276"/>
      <c r="NS70" s="276"/>
      <c r="NT70" s="276"/>
      <c r="NU70" s="276"/>
      <c r="NV70" s="276"/>
      <c r="NW70" s="276"/>
      <c r="NX70" s="276"/>
      <c r="NY70" s="276"/>
      <c r="NZ70" s="276"/>
      <c r="OA70" s="276"/>
      <c r="OB70" s="276"/>
      <c r="OC70" s="276"/>
      <c r="OD70" s="276"/>
      <c r="OE70" s="276"/>
      <c r="OF70" s="276"/>
      <c r="OG70" s="276"/>
      <c r="OH70" s="276"/>
      <c r="OI70" s="276"/>
      <c r="OJ70" s="276"/>
      <c r="OK70" s="276"/>
      <c r="OL70" s="276"/>
      <c r="OM70" s="276"/>
      <c r="ON70" s="276"/>
      <c r="OO70" s="276"/>
      <c r="OP70" s="276"/>
      <c r="OQ70" s="276"/>
      <c r="OR70" s="276"/>
      <c r="OS70" s="276"/>
      <c r="OT70" s="276"/>
      <c r="OU70" s="276"/>
      <c r="OV70" s="276"/>
      <c r="OW70" s="276"/>
      <c r="OX70" s="276"/>
      <c r="OY70" s="276"/>
      <c r="OZ70" s="276"/>
      <c r="PA70" s="276"/>
      <c r="PB70" s="276"/>
      <c r="PC70" s="276"/>
      <c r="PD70" s="276"/>
      <c r="PE70" s="276"/>
      <c r="PF70" s="276"/>
      <c r="PG70" s="276"/>
      <c r="PH70" s="276"/>
      <c r="PI70" s="276"/>
      <c r="PJ70" s="276"/>
      <c r="PK70" s="276"/>
      <c r="PL70" s="276"/>
      <c r="PM70" s="276"/>
      <c r="PN70" s="276"/>
      <c r="PO70" s="276"/>
      <c r="PP70" s="276"/>
      <c r="PQ70" s="276"/>
      <c r="PR70" s="276"/>
      <c r="PS70" s="276"/>
      <c r="PT70" s="276"/>
      <c r="PU70" s="276"/>
      <c r="PV70" s="276"/>
      <c r="PW70" s="276"/>
      <c r="PX70" s="276"/>
      <c r="PY70" s="276"/>
      <c r="PZ70" s="276"/>
      <c r="QA70" s="276"/>
      <c r="QB70" s="276"/>
      <c r="QC70" s="276"/>
      <c r="QD70" s="276"/>
      <c r="QE70" s="276"/>
      <c r="QF70" s="276"/>
      <c r="QG70" s="276"/>
      <c r="QH70" s="276"/>
      <c r="QI70" s="276"/>
      <c r="QJ70" s="276"/>
      <c r="QK70" s="276"/>
      <c r="QL70" s="276"/>
      <c r="QM70" s="276"/>
      <c r="QN70" s="276"/>
      <c r="QO70" s="276"/>
      <c r="QP70" s="276"/>
      <c r="QQ70" s="276"/>
      <c r="QR70" s="276"/>
      <c r="QS70" s="276"/>
      <c r="QT70" s="276"/>
      <c r="QU70" s="276"/>
      <c r="QV70" s="276"/>
      <c r="QW70" s="276"/>
      <c r="QX70" s="276"/>
      <c r="QY70" s="276"/>
    </row>
    <row r="71" spans="1:467">
      <c r="A71" s="83"/>
      <c r="C71" s="106"/>
      <c r="D71" s="82"/>
      <c r="E71" s="82"/>
      <c r="F71" s="82"/>
      <c r="G71" s="82"/>
      <c r="H71" s="82"/>
      <c r="I71" s="82"/>
      <c r="J71" s="91"/>
      <c r="K71" s="82"/>
      <c r="L71" s="82"/>
      <c r="M71" s="82"/>
      <c r="N71" s="102"/>
      <c r="O71" s="83"/>
      <c r="P71" s="96"/>
      <c r="Q71" s="97"/>
      <c r="R71" s="92"/>
      <c r="S71" s="98"/>
      <c r="T71" s="85"/>
      <c r="U71" s="87"/>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c r="QP71" s="92"/>
      <c r="QQ71" s="92"/>
      <c r="QR71" s="92"/>
      <c r="QS71" s="92"/>
      <c r="QT71" s="92"/>
      <c r="QU71" s="92"/>
      <c r="QV71" s="92"/>
      <c r="QW71" s="92"/>
      <c r="QX71" s="92"/>
      <c r="QY71" s="92"/>
    </row>
    <row r="72" spans="1:467">
      <c r="A72" s="83"/>
      <c r="C72" s="106"/>
      <c r="D72" s="82"/>
      <c r="E72" s="82"/>
      <c r="F72" s="82"/>
      <c r="G72" s="82"/>
      <c r="H72" s="82"/>
      <c r="I72" s="82"/>
      <c r="J72" s="101"/>
      <c r="K72" s="82"/>
      <c r="L72" s="82"/>
      <c r="M72" s="82"/>
      <c r="N72" s="102"/>
      <c r="O72" s="83"/>
      <c r="P72" s="100"/>
      <c r="Q72" s="97"/>
      <c r="R72" s="92"/>
      <c r="S72" s="83"/>
      <c r="T72" s="99"/>
      <c r="U72" s="88"/>
      <c r="V72" s="82"/>
      <c r="W72" s="82"/>
      <c r="X72" s="82"/>
      <c r="Y72" s="82"/>
      <c r="Z72" s="82"/>
      <c r="AA72" s="54"/>
      <c r="AB72" s="83"/>
      <c r="AC72" s="83"/>
      <c r="AD72" s="83"/>
      <c r="AE72" s="83"/>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c r="QP72" s="92"/>
      <c r="QQ72" s="92"/>
      <c r="QR72" s="92"/>
      <c r="QS72" s="92"/>
      <c r="QT72" s="92"/>
      <c r="QU72" s="92"/>
      <c r="QV72" s="92"/>
      <c r="QW72" s="92"/>
      <c r="QX72" s="92"/>
      <c r="QY72" s="92"/>
    </row>
    <row r="73" spans="1:467" ht="15" customHeight="1">
      <c r="A73" s="83"/>
      <c r="C73" s="106"/>
      <c r="D73" s="82"/>
      <c r="E73" s="82"/>
      <c r="F73" s="82"/>
      <c r="G73" s="82"/>
      <c r="H73" s="82"/>
      <c r="I73" s="82"/>
      <c r="J73" s="101"/>
      <c r="K73" s="82"/>
      <c r="L73" s="82"/>
      <c r="M73" s="82"/>
      <c r="N73" s="102"/>
      <c r="O73" s="83"/>
      <c r="P73" s="100"/>
      <c r="Q73" s="97"/>
      <c r="R73" s="92"/>
      <c r="S73" s="83"/>
      <c r="T73" s="99"/>
      <c r="U73" s="88"/>
      <c r="V73" s="82"/>
      <c r="W73" s="82"/>
      <c r="X73" s="82"/>
      <c r="Y73" s="82"/>
      <c r="Z73" s="82"/>
      <c r="AA73" s="54"/>
      <c r="AB73" s="83"/>
      <c r="AC73" s="83"/>
      <c r="AD73" s="83"/>
      <c r="AE73" s="83"/>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c r="QP73" s="92"/>
      <c r="QQ73" s="92"/>
      <c r="QR73" s="92"/>
      <c r="QS73" s="92"/>
      <c r="QT73" s="92"/>
      <c r="QU73" s="92"/>
      <c r="QV73" s="92"/>
      <c r="QW73" s="92"/>
      <c r="QX73" s="92"/>
      <c r="QY73" s="92"/>
    </row>
    <row r="74" spans="1:467">
      <c r="A74" s="83"/>
      <c r="C74" s="106"/>
      <c r="D74" s="82"/>
      <c r="E74" s="82"/>
      <c r="F74" s="82"/>
      <c r="G74" s="82"/>
      <c r="H74" s="82"/>
      <c r="I74" s="82"/>
      <c r="J74" s="101"/>
      <c r="K74" s="82"/>
      <c r="L74" s="82"/>
      <c r="M74" s="82"/>
      <c r="N74" s="102"/>
      <c r="O74" s="83"/>
      <c r="P74" s="96"/>
      <c r="Q74" s="97"/>
      <c r="R74" s="92"/>
      <c r="S74" s="85"/>
      <c r="T74" s="85"/>
      <c r="U74" s="87"/>
      <c r="V74" s="82"/>
      <c r="W74" s="82"/>
      <c r="X74" s="82"/>
      <c r="Y74" s="82"/>
      <c r="Z74" s="82"/>
      <c r="AA74" s="54"/>
      <c r="AB74" s="83"/>
      <c r="AC74" s="83"/>
      <c r="AD74" s="83"/>
      <c r="AE74" s="83"/>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c r="QP74" s="92"/>
      <c r="QQ74" s="92"/>
      <c r="QR74" s="92"/>
      <c r="QS74" s="92"/>
      <c r="QT74" s="92"/>
      <c r="QU74" s="92"/>
      <c r="QV74" s="92"/>
      <c r="QW74" s="92"/>
      <c r="QX74" s="92"/>
      <c r="QY74" s="92"/>
    </row>
    <row r="75" spans="1:467" ht="36" customHeight="1">
      <c r="A75" s="83"/>
      <c r="C75" s="106"/>
      <c r="D75" s="82"/>
      <c r="E75" s="82"/>
      <c r="F75" s="82"/>
      <c r="G75" s="82"/>
      <c r="H75" s="82"/>
      <c r="I75" s="82"/>
      <c r="J75" s="101"/>
      <c r="K75" s="82"/>
      <c r="L75" s="82"/>
      <c r="M75" s="82"/>
      <c r="N75" s="102"/>
      <c r="O75" s="83"/>
      <c r="P75" s="100"/>
      <c r="Q75" s="97"/>
      <c r="R75" s="83"/>
      <c r="S75" s="86"/>
      <c r="T75" s="86"/>
      <c r="U75" s="88"/>
      <c r="V75" s="82"/>
      <c r="W75" s="82"/>
      <c r="X75" s="82"/>
      <c r="Y75" s="82"/>
      <c r="Z75" s="82"/>
      <c r="AA75" s="54"/>
      <c r="AB75" s="83"/>
      <c r="AC75" s="83"/>
      <c r="AD75" s="83"/>
      <c r="AE75" s="83"/>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c r="QP75" s="92"/>
      <c r="QQ75" s="92"/>
      <c r="QR75" s="92"/>
      <c r="QS75" s="92"/>
      <c r="QT75" s="92"/>
      <c r="QU75" s="92"/>
      <c r="QV75" s="92"/>
      <c r="QW75" s="92"/>
      <c r="QX75" s="92"/>
      <c r="QY75" s="92"/>
    </row>
    <row r="76" spans="1:467">
      <c r="A76" s="83"/>
      <c r="C76" s="106"/>
      <c r="D76" s="82"/>
      <c r="E76" s="82"/>
      <c r="F76" s="82"/>
      <c r="G76" s="82"/>
      <c r="H76" s="82"/>
      <c r="I76" s="82"/>
      <c r="J76" s="101"/>
      <c r="K76" s="82"/>
      <c r="L76" s="82"/>
      <c r="M76" s="82"/>
      <c r="N76" s="102"/>
      <c r="O76" s="83"/>
      <c r="P76" s="100"/>
      <c r="Q76" s="97"/>
      <c r="R76" s="83"/>
      <c r="S76" s="86"/>
      <c r="T76" s="86"/>
      <c r="U76" s="88"/>
      <c r="V76" s="82"/>
      <c r="W76" s="82"/>
      <c r="X76" s="82"/>
      <c r="Y76" s="82"/>
      <c r="Z76" s="82"/>
      <c r="AA76" s="54"/>
      <c r="AB76" s="83"/>
      <c r="AC76" s="83"/>
      <c r="AD76" s="83"/>
      <c r="AE76" s="83"/>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c r="QP76" s="92"/>
      <c r="QQ76" s="92"/>
      <c r="QR76" s="92"/>
      <c r="QS76" s="92"/>
      <c r="QT76" s="92"/>
      <c r="QU76" s="92"/>
      <c r="QV76" s="92"/>
      <c r="QW76" s="92"/>
      <c r="QX76" s="92"/>
      <c r="QY76" s="92"/>
    </row>
    <row r="77" spans="1:467">
      <c r="A77" s="83"/>
      <c r="C77" s="106"/>
      <c r="D77" s="82"/>
      <c r="E77" s="82"/>
      <c r="F77" s="82"/>
      <c r="G77" s="82"/>
      <c r="H77" s="82"/>
      <c r="I77" s="82"/>
      <c r="J77" s="101"/>
      <c r="K77" s="82"/>
      <c r="L77" s="82"/>
      <c r="M77" s="82"/>
      <c r="N77" s="102"/>
      <c r="O77" s="83"/>
      <c r="P77" s="100"/>
      <c r="Q77" s="97"/>
      <c r="R77" s="83"/>
      <c r="S77" s="86"/>
      <c r="T77" s="86"/>
      <c r="U77" s="88"/>
      <c r="V77" s="82"/>
      <c r="W77" s="82"/>
      <c r="X77" s="82"/>
      <c r="Y77" s="82"/>
      <c r="Z77" s="82"/>
      <c r="AA77" s="54"/>
      <c r="AB77" s="83"/>
      <c r="AC77" s="83"/>
      <c r="AD77" s="83"/>
      <c r="AE77" s="83"/>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c r="QP77" s="92"/>
      <c r="QQ77" s="92"/>
      <c r="QR77" s="92"/>
      <c r="QS77" s="92"/>
      <c r="QT77" s="92"/>
      <c r="QU77" s="92"/>
      <c r="QV77" s="92"/>
      <c r="QW77" s="92"/>
      <c r="QX77" s="92"/>
      <c r="QY77" s="92"/>
    </row>
    <row r="78" spans="1:467">
      <c r="A78" s="83"/>
      <c r="C78" s="106"/>
      <c r="D78" s="82"/>
      <c r="E78" s="82"/>
      <c r="F78" s="82"/>
      <c r="G78" s="82"/>
      <c r="H78" s="82"/>
      <c r="I78" s="82"/>
      <c r="J78" s="101"/>
      <c r="K78" s="82"/>
      <c r="L78" s="82"/>
      <c r="M78" s="82"/>
      <c r="N78" s="102"/>
      <c r="O78" s="83"/>
      <c r="P78" s="100"/>
      <c r="Q78" s="97"/>
      <c r="R78" s="83"/>
      <c r="S78" s="86"/>
      <c r="T78" s="86"/>
      <c r="U78" s="88"/>
      <c r="V78" s="82"/>
      <c r="W78" s="82"/>
      <c r="X78" s="82"/>
      <c r="Y78" s="82"/>
      <c r="Z78" s="82"/>
      <c r="AA78" s="54"/>
      <c r="AB78" s="83"/>
      <c r="AC78" s="83"/>
      <c r="AD78" s="83"/>
      <c r="AE78" s="83"/>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c r="QP78" s="92"/>
      <c r="QQ78" s="92"/>
      <c r="QR78" s="92"/>
      <c r="QS78" s="92"/>
      <c r="QT78" s="92"/>
      <c r="QU78" s="92"/>
      <c r="QV78" s="92"/>
      <c r="QW78" s="92"/>
      <c r="QX78" s="92"/>
      <c r="QY78" s="92"/>
    </row>
    <row r="79" spans="1:467">
      <c r="A79" s="83"/>
      <c r="C79" s="106"/>
      <c r="D79" s="82"/>
      <c r="E79" s="82"/>
      <c r="F79" s="82"/>
      <c r="G79" s="82"/>
      <c r="H79" s="82"/>
      <c r="I79" s="82"/>
      <c r="J79" s="79"/>
      <c r="K79" s="82"/>
      <c r="L79" s="82"/>
      <c r="M79" s="82"/>
      <c r="N79" s="102"/>
      <c r="O79" s="83"/>
      <c r="P79" s="100"/>
      <c r="Q79" s="97"/>
      <c r="R79" s="83"/>
      <c r="S79" s="86"/>
      <c r="T79" s="86"/>
      <c r="U79" s="88"/>
      <c r="V79" s="82"/>
      <c r="W79" s="82"/>
      <c r="X79" s="82"/>
      <c r="Y79" s="82"/>
      <c r="Z79" s="82"/>
      <c r="AA79" s="54"/>
      <c r="AB79" s="83"/>
      <c r="AC79" s="83"/>
      <c r="AD79" s="83"/>
      <c r="AE79" s="83"/>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c r="QP79" s="92"/>
      <c r="QQ79" s="92"/>
      <c r="QR79" s="92"/>
      <c r="QS79" s="92"/>
      <c r="QT79" s="92"/>
      <c r="QU79" s="92"/>
      <c r="QV79" s="92"/>
      <c r="QW79" s="92"/>
      <c r="QX79" s="92"/>
      <c r="QY79" s="92"/>
    </row>
    <row r="80" spans="1:467">
      <c r="A80" s="83"/>
      <c r="C80" s="106"/>
      <c r="D80" s="82"/>
      <c r="E80" s="82"/>
      <c r="F80" s="82"/>
      <c r="G80" s="82"/>
      <c r="H80" s="82"/>
      <c r="I80" s="82"/>
      <c r="J80" s="80"/>
      <c r="K80" s="82"/>
      <c r="L80" s="82"/>
      <c r="M80" s="82"/>
      <c r="N80" s="102"/>
      <c r="O80" s="83"/>
      <c r="P80" s="100"/>
      <c r="Q80" s="97"/>
      <c r="R80" s="83"/>
      <c r="S80" s="86"/>
      <c r="T80" s="86"/>
      <c r="U80" s="88"/>
      <c r="V80" s="82"/>
      <c r="W80" s="82"/>
      <c r="X80" s="82"/>
      <c r="Y80" s="82"/>
      <c r="Z80" s="82"/>
      <c r="AA80" s="54"/>
      <c r="AB80" s="83"/>
      <c r="AC80" s="83"/>
      <c r="AD80" s="83"/>
      <c r="AE80" s="83"/>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c r="QP80" s="92"/>
      <c r="QQ80" s="92"/>
      <c r="QR80" s="92"/>
      <c r="QS80" s="92"/>
      <c r="QT80" s="92"/>
      <c r="QU80" s="92"/>
      <c r="QV80" s="92"/>
      <c r="QW80" s="92"/>
      <c r="QX80" s="92"/>
      <c r="QY80" s="92"/>
    </row>
    <row r="81" spans="1:467">
      <c r="A81" s="83"/>
      <c r="C81" s="106"/>
      <c r="D81" s="82"/>
      <c r="E81" s="82"/>
      <c r="F81" s="82"/>
      <c r="G81" s="82"/>
      <c r="H81" s="82"/>
      <c r="I81" s="82"/>
      <c r="J81" s="81"/>
      <c r="K81" s="82"/>
      <c r="L81" s="82"/>
      <c r="M81" s="82"/>
      <c r="N81" s="102"/>
      <c r="O81" s="83"/>
      <c r="P81" s="96"/>
      <c r="Q81" s="97"/>
      <c r="R81" s="83"/>
      <c r="S81" s="85"/>
      <c r="T81" s="85"/>
      <c r="U81" s="87"/>
      <c r="V81" s="82"/>
      <c r="W81" s="82"/>
      <c r="X81" s="82"/>
      <c r="Y81" s="82"/>
      <c r="Z81" s="82"/>
      <c r="AA81" s="54"/>
      <c r="AB81" s="83"/>
      <c r="AC81" s="83"/>
      <c r="AD81" s="83"/>
      <c r="AE81" s="83"/>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c r="QP81" s="92"/>
      <c r="QQ81" s="92"/>
      <c r="QR81" s="92"/>
      <c r="QS81" s="92"/>
      <c r="QT81" s="92"/>
      <c r="QU81" s="92"/>
      <c r="QV81" s="92"/>
      <c r="QW81" s="92"/>
      <c r="QX81" s="92"/>
      <c r="QY81" s="92"/>
    </row>
    <row r="82" spans="1:467">
      <c r="A82" s="83"/>
      <c r="C82" s="106"/>
      <c r="D82" s="82"/>
      <c r="E82" s="82"/>
      <c r="F82" s="82"/>
      <c r="G82" s="82"/>
      <c r="H82" s="82"/>
      <c r="I82" s="82"/>
      <c r="J82" s="82"/>
      <c r="K82" s="82"/>
      <c r="L82" s="82"/>
      <c r="M82" s="82"/>
      <c r="N82" s="102"/>
      <c r="O82" s="83"/>
      <c r="P82" s="100"/>
      <c r="Q82" s="97"/>
      <c r="R82" s="83"/>
      <c r="S82" s="86"/>
      <c r="T82" s="86"/>
      <c r="U82" s="88"/>
      <c r="V82" s="82"/>
      <c r="W82" s="82"/>
      <c r="X82" s="82"/>
      <c r="Y82" s="82"/>
      <c r="Z82" s="82"/>
      <c r="AA82" s="54"/>
      <c r="AB82" s="83"/>
      <c r="AC82" s="83"/>
      <c r="AD82" s="83"/>
      <c r="AE82" s="83"/>
      <c r="AF82" s="92"/>
      <c r="AG82" s="92"/>
      <c r="AH82" s="92"/>
      <c r="AI82" s="92"/>
      <c r="AJ82" s="92"/>
      <c r="AK82" s="92"/>
      <c r="AL82" s="92"/>
      <c r="AM82" s="92"/>
      <c r="AN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c r="QP82" s="92"/>
      <c r="QQ82" s="92"/>
      <c r="QR82" s="92"/>
      <c r="QS82" s="92"/>
      <c r="QT82" s="92"/>
      <c r="QU82" s="92"/>
      <c r="QV82" s="92"/>
      <c r="QW82" s="92"/>
      <c r="QX82" s="92"/>
      <c r="QY82" s="92"/>
    </row>
    <row r="83" spans="1:467">
      <c r="A83" s="83"/>
      <c r="C83" s="106"/>
      <c r="D83" s="82"/>
      <c r="E83" s="82"/>
      <c r="F83" s="82"/>
      <c r="G83" s="82"/>
      <c r="H83" s="82"/>
      <c r="I83" s="82"/>
      <c r="J83" s="82"/>
      <c r="K83" s="82"/>
      <c r="L83" s="82"/>
      <c r="M83" s="82"/>
      <c r="N83" s="102"/>
      <c r="O83" s="83"/>
      <c r="P83" s="100"/>
      <c r="Q83" s="97"/>
      <c r="R83" s="83"/>
      <c r="S83" s="86"/>
      <c r="T83" s="86"/>
      <c r="U83" s="88"/>
      <c r="V83" s="82"/>
      <c r="W83" s="82"/>
      <c r="X83" s="82"/>
      <c r="Y83" s="82"/>
      <c r="Z83" s="82"/>
      <c r="AA83" s="54"/>
      <c r="AB83" s="83"/>
      <c r="AC83" s="83"/>
      <c r="AD83" s="83"/>
      <c r="AE83" s="83"/>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c r="QP83" s="92"/>
      <c r="QQ83" s="92"/>
      <c r="QR83" s="92"/>
      <c r="QS83" s="92"/>
      <c r="QT83" s="92"/>
      <c r="QU83" s="92"/>
      <c r="QV83" s="92"/>
      <c r="QW83" s="92"/>
      <c r="QX83" s="92"/>
      <c r="QY83" s="92"/>
    </row>
    <row r="84" spans="1:467">
      <c r="A84" s="83"/>
      <c r="C84" s="106"/>
      <c r="D84" s="82"/>
      <c r="E84" s="82"/>
      <c r="F84" s="82"/>
      <c r="G84" s="82"/>
      <c r="H84" s="82"/>
      <c r="I84" s="82"/>
      <c r="J84" s="82"/>
      <c r="K84" s="82"/>
      <c r="L84" s="82"/>
      <c r="M84" s="82"/>
      <c r="N84" s="102"/>
      <c r="O84" s="83"/>
      <c r="P84" s="96"/>
      <c r="Q84" s="97"/>
      <c r="R84" s="83"/>
      <c r="S84" s="85"/>
      <c r="T84" s="85"/>
      <c r="U84" s="110"/>
      <c r="V84" s="82"/>
      <c r="W84" s="82"/>
      <c r="X84" s="82"/>
      <c r="Y84" s="82"/>
      <c r="Z84" s="82"/>
      <c r="AA84" s="54"/>
      <c r="AB84" s="83"/>
      <c r="AC84" s="83"/>
      <c r="AD84" s="83"/>
      <c r="AE84" s="83"/>
      <c r="AF84" s="92"/>
      <c r="AG84" s="92"/>
      <c r="AH84" s="92"/>
      <c r="AI84" s="92"/>
      <c r="AJ84" s="92"/>
      <c r="AK84" s="92"/>
      <c r="AL84" s="92"/>
      <c r="AM84" s="92"/>
      <c r="AN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c r="QP84" s="92"/>
      <c r="QQ84" s="92"/>
      <c r="QR84" s="92"/>
      <c r="QS84" s="92"/>
      <c r="QT84" s="92"/>
      <c r="QU84" s="92"/>
      <c r="QV84" s="92"/>
      <c r="QW84" s="92"/>
      <c r="QX84" s="92"/>
      <c r="QY84" s="92"/>
    </row>
    <row r="85" spans="1:467">
      <c r="A85" s="83"/>
      <c r="C85" s="106"/>
      <c r="D85" s="82"/>
      <c r="E85" s="82"/>
      <c r="F85" s="82"/>
      <c r="G85" s="82"/>
      <c r="H85" s="82"/>
      <c r="I85" s="82"/>
      <c r="J85" s="82"/>
      <c r="K85" s="82"/>
      <c r="L85" s="82"/>
      <c r="M85" s="82"/>
      <c r="N85" s="102"/>
      <c r="O85" s="83"/>
      <c r="P85" s="92"/>
      <c r="Q85" s="92"/>
      <c r="R85" s="83"/>
      <c r="S85" s="83"/>
      <c r="T85" s="82"/>
      <c r="U85" s="82"/>
      <c r="V85" s="82"/>
      <c r="W85" s="82"/>
      <c r="X85" s="82"/>
      <c r="Y85" s="82"/>
      <c r="Z85" s="82"/>
      <c r="AA85" s="54"/>
      <c r="AB85" s="83"/>
      <c r="AC85" s="83"/>
      <c r="AD85" s="83"/>
      <c r="AE85" s="83"/>
      <c r="AF85" s="92"/>
      <c r="AG85" s="92"/>
      <c r="AH85" s="92"/>
      <c r="AI85" s="92"/>
      <c r="AJ85" s="92"/>
      <c r="AK85" s="92"/>
      <c r="AL85" s="92"/>
      <c r="AM85" s="92"/>
      <c r="AN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c r="QP85" s="92"/>
      <c r="QQ85" s="92"/>
      <c r="QR85" s="92"/>
      <c r="QS85" s="92"/>
      <c r="QT85" s="92"/>
      <c r="QU85" s="92"/>
      <c r="QV85" s="92"/>
      <c r="QW85" s="92"/>
      <c r="QX85" s="92"/>
      <c r="QY85" s="92"/>
    </row>
    <row r="86" spans="1:467">
      <c r="A86" s="83"/>
      <c r="C86" s="106"/>
      <c r="D86" s="82"/>
      <c r="E86" s="82"/>
      <c r="F86" s="82"/>
      <c r="G86" s="82"/>
      <c r="H86" s="82"/>
      <c r="I86" s="82"/>
      <c r="J86" s="82"/>
      <c r="K86" s="82"/>
      <c r="L86" s="82"/>
      <c r="M86" s="82"/>
      <c r="N86" s="102"/>
      <c r="O86" s="83"/>
      <c r="P86" s="92"/>
      <c r="Q86" s="92"/>
      <c r="R86" s="83"/>
      <c r="S86" s="83"/>
      <c r="T86" s="82"/>
      <c r="U86" s="82"/>
      <c r="V86" s="82"/>
      <c r="W86" s="82"/>
      <c r="X86" s="82"/>
      <c r="Y86" s="82"/>
      <c r="Z86" s="82"/>
      <c r="AA86" s="54"/>
      <c r="AB86" s="83"/>
      <c r="AC86" s="83"/>
      <c r="AD86" s="83"/>
      <c r="AE86" s="83"/>
      <c r="AF86" s="83"/>
      <c r="AG86" s="83"/>
      <c r="AH86" s="83"/>
    </row>
    <row r="87" spans="1:467">
      <c r="A87" s="83"/>
      <c r="C87" s="106"/>
      <c r="D87" s="82"/>
      <c r="E87" s="82"/>
      <c r="F87" s="82"/>
      <c r="G87" s="82"/>
      <c r="H87" s="82"/>
      <c r="I87" s="82"/>
      <c r="J87" s="82"/>
      <c r="K87" s="82"/>
      <c r="L87" s="82"/>
      <c r="M87" s="82"/>
      <c r="N87" s="102"/>
      <c r="O87" s="83"/>
      <c r="P87" s="92"/>
      <c r="Q87" s="92"/>
      <c r="R87" s="83"/>
      <c r="S87" s="83"/>
      <c r="T87" s="82"/>
      <c r="U87" s="82"/>
      <c r="V87" s="82"/>
      <c r="W87" s="82"/>
      <c r="X87" s="82"/>
      <c r="Y87" s="82"/>
      <c r="Z87" s="82"/>
      <c r="AA87" s="54"/>
      <c r="AB87" s="83"/>
      <c r="AC87" s="83"/>
      <c r="AD87" s="83"/>
      <c r="AE87" s="83"/>
      <c r="AF87" s="83"/>
      <c r="AG87" s="83"/>
      <c r="AH87" s="83"/>
    </row>
    <row r="88" spans="1:467">
      <c r="A88" s="83"/>
      <c r="C88" s="106"/>
      <c r="D88" s="82"/>
      <c r="E88" s="82"/>
      <c r="F88" s="82"/>
      <c r="G88" s="82"/>
      <c r="H88" s="82"/>
      <c r="I88" s="82"/>
      <c r="J88" s="82"/>
      <c r="K88" s="82"/>
      <c r="L88" s="82"/>
      <c r="M88" s="82"/>
      <c r="N88" s="102"/>
      <c r="O88" s="83"/>
      <c r="P88" s="92"/>
      <c r="Q88" s="92"/>
      <c r="R88" s="83"/>
      <c r="S88" s="83"/>
      <c r="T88" s="82"/>
      <c r="U88" s="82"/>
      <c r="V88" s="82"/>
      <c r="W88" s="82"/>
      <c r="X88" s="82"/>
      <c r="Y88" s="82"/>
      <c r="Z88" s="82"/>
      <c r="AA88" s="54"/>
      <c r="AB88" s="83"/>
      <c r="AC88" s="83"/>
      <c r="AD88" s="83"/>
      <c r="AE88" s="83"/>
      <c r="AF88" s="83"/>
      <c r="AG88" s="83"/>
      <c r="AH88" s="83"/>
    </row>
    <row r="89" spans="1:467">
      <c r="A89" s="83"/>
      <c r="C89" s="106"/>
      <c r="D89" s="82"/>
      <c r="E89" s="82"/>
      <c r="F89" s="82"/>
      <c r="G89" s="82"/>
      <c r="H89" s="82"/>
      <c r="I89" s="82"/>
      <c r="J89" s="82"/>
      <c r="K89" s="82"/>
      <c r="L89" s="82"/>
      <c r="M89" s="82"/>
      <c r="N89" s="102"/>
      <c r="O89" s="83"/>
      <c r="P89" s="92"/>
      <c r="Q89" s="92"/>
      <c r="R89" s="83"/>
      <c r="S89" s="83"/>
      <c r="T89" s="82"/>
      <c r="U89" s="82"/>
      <c r="V89" s="82"/>
      <c r="W89" s="82"/>
      <c r="X89" s="82"/>
      <c r="Y89" s="82"/>
      <c r="Z89" s="82"/>
      <c r="AA89" s="54"/>
      <c r="AB89" s="83"/>
      <c r="AC89" s="83"/>
      <c r="AD89" s="83"/>
      <c r="AE89" s="83"/>
      <c r="AF89" s="83"/>
      <c r="AG89" s="83"/>
      <c r="AH89" s="83"/>
    </row>
    <row r="90" spans="1:467">
      <c r="A90" s="83"/>
      <c r="C90" s="106"/>
      <c r="D90" s="82"/>
      <c r="E90" s="82"/>
      <c r="F90" s="82"/>
      <c r="G90" s="82"/>
      <c r="H90" s="82"/>
      <c r="I90" s="82"/>
      <c r="J90" s="82"/>
      <c r="K90" s="82"/>
      <c r="L90" s="82"/>
      <c r="M90" s="82"/>
      <c r="N90" s="102"/>
      <c r="O90" s="83"/>
      <c r="P90" s="92"/>
      <c r="Q90" s="92"/>
      <c r="R90" s="83"/>
      <c r="S90" s="83"/>
      <c r="T90" s="82"/>
      <c r="U90" s="82"/>
      <c r="V90" s="82"/>
      <c r="W90" s="82"/>
      <c r="X90" s="82"/>
      <c r="Y90" s="82"/>
      <c r="Z90" s="82"/>
      <c r="AA90" s="54"/>
      <c r="AB90" s="83"/>
      <c r="AC90" s="83"/>
      <c r="AD90" s="83"/>
      <c r="AE90" s="83"/>
      <c r="AF90" s="83"/>
      <c r="AG90" s="83"/>
      <c r="AH90" s="83"/>
    </row>
    <row r="91" spans="1:467">
      <c r="A91" s="83"/>
      <c r="C91" s="106"/>
      <c r="D91" s="82"/>
      <c r="E91" s="82"/>
      <c r="F91" s="82"/>
      <c r="G91" s="82"/>
      <c r="H91" s="82"/>
      <c r="I91" s="82"/>
      <c r="J91" s="82"/>
      <c r="K91" s="82"/>
      <c r="L91" s="82"/>
      <c r="M91" s="82"/>
      <c r="N91" s="102"/>
      <c r="O91" s="83"/>
      <c r="P91" s="92"/>
      <c r="Q91" s="92"/>
      <c r="R91" s="83"/>
      <c r="S91" s="83"/>
      <c r="T91" s="82"/>
      <c r="U91" s="82"/>
      <c r="V91" s="82"/>
      <c r="W91" s="82"/>
      <c r="X91" s="82"/>
      <c r="Y91" s="82"/>
      <c r="Z91" s="82"/>
      <c r="AA91" s="54"/>
      <c r="AB91" s="83"/>
      <c r="AC91" s="83"/>
      <c r="AD91" s="83"/>
      <c r="AE91" s="83"/>
      <c r="AF91" s="83"/>
      <c r="AG91" s="83"/>
      <c r="AH91" s="83"/>
    </row>
    <row r="92" spans="1:467">
      <c r="A92" s="83"/>
      <c r="C92" s="106"/>
      <c r="D92" s="82"/>
      <c r="E92" s="82"/>
      <c r="F92" s="82"/>
      <c r="G92" s="82"/>
      <c r="H92" s="82"/>
      <c r="I92" s="82"/>
      <c r="J92" s="82"/>
      <c r="K92" s="82"/>
      <c r="L92" s="82"/>
      <c r="M92" s="82"/>
      <c r="N92" s="102"/>
      <c r="O92" s="83"/>
      <c r="P92" s="92"/>
      <c r="Q92" s="92"/>
      <c r="R92" s="83"/>
      <c r="S92" s="83"/>
      <c r="T92" s="82"/>
      <c r="U92" s="82"/>
      <c r="V92" s="82"/>
      <c r="W92" s="82"/>
      <c r="X92" s="82"/>
      <c r="Y92" s="82"/>
      <c r="Z92" s="82"/>
      <c r="AA92" s="54"/>
      <c r="AB92" s="83"/>
      <c r="AC92" s="83"/>
      <c r="AD92" s="83"/>
      <c r="AE92" s="83"/>
      <c r="AF92" s="83"/>
      <c r="AG92" s="83"/>
      <c r="AH92" s="83"/>
    </row>
    <row r="93" spans="1:467">
      <c r="A93" s="83"/>
      <c r="C93" s="106"/>
      <c r="D93" s="82"/>
      <c r="E93" s="82"/>
      <c r="F93" s="82"/>
      <c r="G93" s="82"/>
      <c r="H93" s="82"/>
      <c r="I93" s="82"/>
      <c r="J93" s="82"/>
      <c r="K93" s="54"/>
      <c r="L93" s="54"/>
      <c r="M93" s="54"/>
      <c r="N93" s="102"/>
      <c r="O93" s="83"/>
      <c r="P93" s="92"/>
      <c r="Q93" s="92"/>
      <c r="R93" s="83"/>
      <c r="S93" s="83"/>
      <c r="T93" s="82"/>
      <c r="U93" s="82"/>
      <c r="V93" s="82"/>
      <c r="W93" s="82"/>
      <c r="X93" s="82"/>
      <c r="Y93" s="82"/>
      <c r="Z93" s="82"/>
      <c r="AA93" s="54"/>
      <c r="AB93" s="83"/>
      <c r="AC93" s="83"/>
      <c r="AD93" s="83"/>
      <c r="AE93" s="83"/>
      <c r="AF93" s="83"/>
      <c r="AG93" s="83"/>
      <c r="AH93" s="83"/>
    </row>
    <row r="94" spans="1:467">
      <c r="A94" s="83"/>
      <c r="C94" s="106"/>
      <c r="D94" s="82"/>
      <c r="E94" s="82"/>
      <c r="F94" s="82"/>
      <c r="G94" s="82"/>
      <c r="H94" s="82"/>
      <c r="I94" s="82"/>
      <c r="J94" s="82"/>
      <c r="K94" s="83"/>
      <c r="L94" s="83"/>
      <c r="M94" s="83"/>
      <c r="N94" s="83"/>
      <c r="O94" s="83"/>
      <c r="P94" s="92"/>
      <c r="Q94" s="92"/>
      <c r="R94" s="83"/>
      <c r="S94" s="83"/>
      <c r="T94" s="82"/>
      <c r="U94" s="82"/>
      <c r="V94" s="82"/>
      <c r="W94" s="82"/>
      <c r="X94" s="82"/>
      <c r="Y94" s="82"/>
      <c r="Z94" s="82"/>
      <c r="AA94" s="54"/>
      <c r="AB94" s="83"/>
      <c r="AC94" s="83"/>
      <c r="AD94" s="83"/>
      <c r="AE94" s="83"/>
      <c r="AF94" s="83"/>
      <c r="AG94" s="83"/>
      <c r="AH94" s="83"/>
    </row>
    <row r="95" spans="1:467">
      <c r="A95" s="83"/>
      <c r="C95" s="106"/>
      <c r="D95" s="82"/>
      <c r="E95" s="82"/>
      <c r="F95" s="82"/>
      <c r="G95" s="82"/>
      <c r="H95" s="82"/>
      <c r="I95" s="82"/>
      <c r="J95" s="82"/>
      <c r="K95" s="215"/>
      <c r="L95" s="215"/>
      <c r="M95" s="215"/>
      <c r="N95" s="215"/>
      <c r="O95" s="215"/>
      <c r="P95" s="316"/>
      <c r="Q95" s="316"/>
      <c r="R95" s="316"/>
      <c r="S95" s="316"/>
      <c r="T95" s="316"/>
      <c r="U95" s="316"/>
      <c r="V95" s="316"/>
      <c r="W95" s="316"/>
      <c r="X95" s="316"/>
      <c r="Y95" s="82"/>
      <c r="Z95" s="82"/>
      <c r="AA95" s="54"/>
      <c r="AB95" s="83"/>
      <c r="AC95" s="83"/>
      <c r="AD95" s="83"/>
      <c r="AE95" s="83"/>
      <c r="AF95" s="83"/>
      <c r="AG95" s="83"/>
      <c r="AH95" s="83"/>
    </row>
    <row r="96" spans="1:467">
      <c r="A96" s="83"/>
      <c r="B96" s="83"/>
      <c r="C96" s="54"/>
      <c r="D96" s="54"/>
      <c r="E96" s="54"/>
      <c r="F96" s="54"/>
      <c r="G96" s="54"/>
      <c r="H96" s="54"/>
      <c r="I96" s="54"/>
      <c r="J96" s="82"/>
      <c r="K96" s="83"/>
      <c r="L96" s="83"/>
      <c r="M96" s="83"/>
      <c r="N96" s="83"/>
      <c r="O96" s="83"/>
      <c r="P96" s="92"/>
      <c r="Q96" s="92"/>
      <c r="R96" s="83"/>
      <c r="S96" s="83"/>
      <c r="T96" s="82"/>
      <c r="U96" s="82"/>
      <c r="V96" s="82"/>
      <c r="W96" s="82"/>
      <c r="X96" s="82"/>
      <c r="Y96" s="82"/>
      <c r="Z96" s="82"/>
      <c r="AA96" s="54"/>
      <c r="AB96" s="83"/>
      <c r="AC96" s="83"/>
      <c r="AD96" s="83"/>
      <c r="AE96" s="83"/>
      <c r="AF96" s="83"/>
      <c r="AG96" s="83"/>
      <c r="AH96" s="83"/>
    </row>
    <row r="97" spans="1:34">
      <c r="A97" s="83"/>
      <c r="B97" s="83"/>
      <c r="C97" s="82"/>
      <c r="D97" s="82"/>
      <c r="E97" s="82"/>
      <c r="F97" s="82"/>
      <c r="G97" s="82"/>
      <c r="H97" s="82"/>
      <c r="I97" s="82"/>
      <c r="J97" s="82"/>
      <c r="K97" s="83"/>
      <c r="L97" s="83"/>
      <c r="M97" s="83"/>
      <c r="N97" s="83"/>
      <c r="O97" s="83"/>
      <c r="P97" s="92"/>
      <c r="Q97" s="92"/>
      <c r="R97" s="83"/>
      <c r="S97" s="51"/>
      <c r="T97" s="54"/>
      <c r="U97" s="54"/>
      <c r="V97" s="54"/>
      <c r="W97" s="54"/>
      <c r="X97" s="54"/>
      <c r="Y97" s="54"/>
      <c r="Z97" s="54"/>
      <c r="AA97" s="54"/>
      <c r="AB97" s="83"/>
      <c r="AC97" s="83"/>
      <c r="AD97" s="83"/>
      <c r="AE97" s="83"/>
      <c r="AF97" s="83"/>
      <c r="AG97" s="83"/>
      <c r="AH97" s="83"/>
    </row>
    <row r="98" spans="1:34">
      <c r="A98" s="83"/>
      <c r="B98" s="84"/>
      <c r="C98" s="104"/>
      <c r="D98" s="104"/>
      <c r="E98" s="104"/>
      <c r="F98" s="104"/>
      <c r="G98" s="104"/>
      <c r="H98" s="104"/>
      <c r="I98" s="104"/>
      <c r="J98" s="82"/>
      <c r="K98" s="83"/>
      <c r="L98" s="83"/>
      <c r="M98" s="83"/>
      <c r="N98" s="83"/>
      <c r="O98" s="83"/>
      <c r="P98" s="92"/>
      <c r="Q98" s="92"/>
      <c r="R98" s="83"/>
      <c r="S98" s="83"/>
      <c r="T98" s="83"/>
      <c r="U98" s="83"/>
      <c r="V98" s="83"/>
      <c r="W98" s="83"/>
      <c r="X98" s="83"/>
      <c r="Y98" s="83"/>
      <c r="Z98" s="83"/>
      <c r="AA98" s="83"/>
      <c r="AB98" s="83"/>
      <c r="AC98" s="83"/>
      <c r="AD98" s="83"/>
      <c r="AE98" s="83"/>
      <c r="AF98" s="83"/>
      <c r="AG98" s="83"/>
      <c r="AH98" s="83"/>
    </row>
    <row r="99" spans="1:34">
      <c r="A99" s="83"/>
      <c r="B99" s="83"/>
      <c r="C99" s="82"/>
      <c r="D99" s="82"/>
      <c r="E99" s="82"/>
      <c r="F99" s="82"/>
      <c r="G99" s="82"/>
      <c r="H99" s="82"/>
      <c r="I99" s="82"/>
      <c r="J99" s="82"/>
      <c r="K99" s="83"/>
      <c r="L99" s="83"/>
      <c r="M99" s="83"/>
      <c r="N99" s="83"/>
      <c r="O99" s="83"/>
      <c r="P99" s="92"/>
      <c r="Q99" s="92"/>
      <c r="R99" s="83"/>
      <c r="S99" s="51"/>
      <c r="T99" s="53"/>
      <c r="U99" s="55"/>
      <c r="V99" s="53"/>
      <c r="W99" s="53"/>
      <c r="X99" s="55"/>
      <c r="Y99" s="55"/>
      <c r="Z99" s="55"/>
      <c r="AA99" s="55"/>
      <c r="AB99" s="83"/>
      <c r="AC99" s="83"/>
      <c r="AD99" s="83"/>
      <c r="AE99" s="83"/>
      <c r="AF99" s="83"/>
      <c r="AG99" s="83"/>
      <c r="AH99" s="83"/>
    </row>
    <row r="100" spans="1:34">
      <c r="A100" s="83"/>
      <c r="C100" s="127"/>
      <c r="D100" s="128"/>
      <c r="E100" s="128"/>
      <c r="F100" s="129"/>
      <c r="G100" s="128"/>
      <c r="H100" s="128"/>
      <c r="I100" s="128"/>
      <c r="J100" s="82"/>
      <c r="K100" s="51"/>
      <c r="L100" s="51"/>
      <c r="M100" s="51"/>
      <c r="N100" s="51"/>
      <c r="O100" s="51"/>
      <c r="P100" s="51"/>
      <c r="Q100" s="51"/>
      <c r="R100" s="83"/>
      <c r="S100" s="51"/>
      <c r="T100" s="54"/>
      <c r="U100" s="54"/>
      <c r="V100" s="54"/>
      <c r="W100" s="54"/>
      <c r="X100" s="54"/>
      <c r="Y100" s="54"/>
      <c r="Z100" s="54"/>
      <c r="AA100" s="54"/>
      <c r="AB100" s="51"/>
      <c r="AC100" s="51"/>
      <c r="AD100" s="83"/>
      <c r="AE100" s="83"/>
      <c r="AF100" s="83"/>
      <c r="AG100" s="83"/>
      <c r="AH100" s="83"/>
    </row>
    <row r="101" spans="1:34">
      <c r="A101" s="83"/>
      <c r="C101" s="109"/>
      <c r="D101" s="125"/>
      <c r="E101" s="126"/>
      <c r="F101" s="126"/>
      <c r="G101" s="126"/>
      <c r="H101" s="126"/>
      <c r="I101" s="126"/>
      <c r="J101" s="82"/>
      <c r="K101" s="83"/>
      <c r="L101" s="83"/>
      <c r="M101" s="83"/>
      <c r="N101" s="83"/>
      <c r="O101" s="83"/>
      <c r="P101" s="83"/>
      <c r="Q101" s="83"/>
      <c r="R101" s="83"/>
      <c r="S101" s="83"/>
      <c r="T101" s="82"/>
      <c r="U101" s="82"/>
      <c r="V101" s="82"/>
      <c r="W101" s="82"/>
      <c r="X101" s="82"/>
      <c r="Y101" s="82"/>
      <c r="Z101" s="82"/>
      <c r="AA101" s="54"/>
      <c r="AB101" s="83"/>
      <c r="AC101" s="83"/>
      <c r="AD101" s="83"/>
      <c r="AE101" s="83"/>
      <c r="AF101" s="83"/>
      <c r="AG101" s="83"/>
      <c r="AH101" s="83"/>
    </row>
    <row r="102" spans="1:34">
      <c r="A102" s="83"/>
      <c r="C102" s="109"/>
      <c r="D102" s="125"/>
      <c r="E102" s="126"/>
      <c r="F102" s="126"/>
      <c r="G102" s="126"/>
      <c r="H102" s="126"/>
      <c r="I102" s="126"/>
      <c r="J102" s="82"/>
      <c r="K102" s="83"/>
      <c r="L102" s="83"/>
      <c r="M102" s="83"/>
      <c r="N102" s="83"/>
      <c r="O102" s="83"/>
      <c r="P102" s="83"/>
      <c r="Q102" s="83"/>
      <c r="R102" s="83"/>
      <c r="S102" s="83"/>
      <c r="T102" s="82"/>
      <c r="U102" s="82"/>
      <c r="V102" s="82"/>
      <c r="W102" s="82"/>
      <c r="X102" s="82"/>
      <c r="Y102" s="82"/>
      <c r="Z102" s="82"/>
      <c r="AA102" s="54"/>
      <c r="AB102" s="83"/>
      <c r="AC102" s="83"/>
      <c r="AD102" s="83"/>
      <c r="AE102" s="83"/>
      <c r="AF102" s="83"/>
      <c r="AG102" s="83"/>
      <c r="AH102" s="83"/>
    </row>
    <row r="103" spans="1:34">
      <c r="A103" s="83"/>
      <c r="C103" s="109"/>
      <c r="D103" s="125"/>
      <c r="E103" s="126"/>
      <c r="F103" s="126"/>
      <c r="G103" s="126"/>
      <c r="H103" s="126"/>
      <c r="I103" s="126"/>
      <c r="J103" s="82"/>
      <c r="K103" s="83"/>
      <c r="L103" s="83"/>
      <c r="M103" s="83"/>
      <c r="N103" s="83"/>
      <c r="O103" s="83"/>
      <c r="P103" s="83"/>
      <c r="Q103" s="83"/>
      <c r="R103" s="83"/>
      <c r="S103" s="83"/>
      <c r="T103" s="82"/>
      <c r="U103" s="82"/>
      <c r="V103" s="82"/>
      <c r="W103" s="82"/>
      <c r="X103" s="82"/>
      <c r="Y103" s="82"/>
      <c r="Z103" s="82"/>
      <c r="AA103" s="54"/>
      <c r="AB103" s="83"/>
      <c r="AC103" s="83"/>
      <c r="AD103" s="83"/>
      <c r="AE103" s="83"/>
      <c r="AF103" s="83"/>
      <c r="AG103" s="83"/>
      <c r="AH103" s="83"/>
    </row>
    <row r="104" spans="1:34">
      <c r="A104" s="83"/>
      <c r="C104" s="109"/>
      <c r="D104" s="125"/>
      <c r="E104" s="126"/>
      <c r="F104" s="126"/>
      <c r="G104" s="126"/>
      <c r="H104" s="126"/>
      <c r="I104" s="126"/>
      <c r="J104" s="82"/>
      <c r="K104" s="83"/>
      <c r="L104" s="83"/>
      <c r="M104" s="83"/>
      <c r="N104" s="83"/>
      <c r="O104" s="83"/>
      <c r="P104" s="83"/>
      <c r="Q104" s="83"/>
      <c r="R104" s="83"/>
      <c r="S104" s="83"/>
      <c r="T104" s="82"/>
      <c r="U104" s="82"/>
      <c r="V104" s="82"/>
      <c r="W104" s="82"/>
      <c r="X104" s="82"/>
      <c r="Y104" s="82"/>
      <c r="Z104" s="82"/>
      <c r="AA104" s="54"/>
      <c r="AB104" s="83"/>
      <c r="AC104" s="83"/>
      <c r="AD104" s="83"/>
      <c r="AE104" s="83"/>
      <c r="AF104" s="83"/>
      <c r="AG104" s="83"/>
      <c r="AH104" s="83"/>
    </row>
    <row r="105" spans="1:34">
      <c r="A105" s="83"/>
      <c r="C105" s="109"/>
      <c r="D105" s="125"/>
      <c r="E105" s="126"/>
      <c r="F105" s="126"/>
      <c r="G105" s="126"/>
      <c r="H105" s="126"/>
      <c r="I105" s="126"/>
      <c r="J105" s="82"/>
      <c r="K105" s="83"/>
      <c r="L105" s="83"/>
      <c r="M105" s="83"/>
      <c r="N105" s="83"/>
      <c r="O105" s="83"/>
      <c r="P105" s="83"/>
      <c r="Q105" s="83"/>
      <c r="R105" s="83"/>
      <c r="S105" s="83"/>
      <c r="T105" s="82"/>
      <c r="U105" s="82"/>
      <c r="V105" s="82"/>
      <c r="W105" s="82"/>
      <c r="X105" s="82"/>
      <c r="Y105" s="82"/>
      <c r="Z105" s="82"/>
      <c r="AA105" s="54"/>
      <c r="AB105" s="83"/>
      <c r="AC105" s="83"/>
      <c r="AD105" s="83"/>
      <c r="AE105" s="83"/>
      <c r="AF105" s="83"/>
      <c r="AG105" s="83"/>
      <c r="AH105" s="83"/>
    </row>
    <row r="106" spans="1:34">
      <c r="A106" s="83"/>
      <c r="C106" s="109"/>
      <c r="D106" s="125"/>
      <c r="E106" s="126"/>
      <c r="F106" s="126"/>
      <c r="G106" s="126"/>
      <c r="H106" s="126"/>
      <c r="I106" s="126"/>
      <c r="J106" s="82"/>
      <c r="K106" s="83"/>
      <c r="L106" s="83"/>
      <c r="M106" s="83"/>
      <c r="N106" s="83"/>
      <c r="O106" s="83"/>
      <c r="P106" s="83"/>
      <c r="Q106" s="83"/>
      <c r="R106" s="83"/>
      <c r="S106" s="83"/>
      <c r="T106" s="82"/>
      <c r="U106" s="82"/>
      <c r="V106" s="82"/>
      <c r="W106" s="82"/>
      <c r="X106" s="82"/>
      <c r="Y106" s="82"/>
      <c r="Z106" s="82"/>
      <c r="AA106" s="54"/>
      <c r="AB106" s="83"/>
      <c r="AC106" s="83"/>
      <c r="AD106" s="83"/>
      <c r="AE106" s="83"/>
      <c r="AF106" s="83"/>
      <c r="AG106" s="83"/>
      <c r="AH106" s="83"/>
    </row>
    <row r="107" spans="1:34">
      <c r="A107" s="83"/>
      <c r="C107" s="109"/>
      <c r="D107" s="125"/>
      <c r="E107" s="126"/>
      <c r="F107" s="126"/>
      <c r="G107" s="126"/>
      <c r="H107" s="126"/>
      <c r="I107" s="126"/>
      <c r="J107" s="54"/>
      <c r="K107" s="83"/>
      <c r="L107" s="83"/>
      <c r="M107" s="83"/>
      <c r="N107" s="83"/>
      <c r="O107" s="83"/>
      <c r="P107" s="83"/>
      <c r="Q107" s="83"/>
      <c r="R107" s="83"/>
      <c r="S107" s="83"/>
      <c r="T107" s="82"/>
      <c r="U107" s="82"/>
      <c r="V107" s="82"/>
      <c r="W107" s="82"/>
      <c r="X107" s="82"/>
      <c r="Y107" s="82"/>
      <c r="Z107" s="82"/>
      <c r="AA107" s="54"/>
      <c r="AB107" s="83"/>
      <c r="AC107" s="83"/>
      <c r="AD107" s="83"/>
      <c r="AE107" s="83"/>
      <c r="AF107" s="83"/>
      <c r="AG107" s="83"/>
      <c r="AH107" s="83"/>
    </row>
    <row r="108" spans="1:34">
      <c r="A108" s="83"/>
      <c r="C108" s="109"/>
      <c r="D108" s="125"/>
      <c r="E108" s="126"/>
      <c r="F108" s="126"/>
      <c r="G108" s="126"/>
      <c r="H108" s="126"/>
      <c r="I108" s="126"/>
      <c r="J108" s="54"/>
      <c r="K108" s="83"/>
      <c r="L108" s="83"/>
      <c r="M108" s="83"/>
      <c r="N108" s="83"/>
      <c r="O108" s="83"/>
      <c r="P108" s="83"/>
      <c r="Q108" s="83"/>
      <c r="R108" s="83"/>
      <c r="S108" s="83"/>
      <c r="T108" s="82"/>
      <c r="U108" s="82"/>
      <c r="V108" s="82"/>
      <c r="W108" s="82"/>
      <c r="X108" s="82"/>
      <c r="Y108" s="82"/>
      <c r="Z108" s="82"/>
      <c r="AA108" s="54"/>
      <c r="AB108" s="83"/>
      <c r="AC108" s="83"/>
      <c r="AD108" s="83"/>
      <c r="AE108" s="83"/>
      <c r="AF108" s="83"/>
      <c r="AG108" s="83"/>
      <c r="AH108" s="83"/>
    </row>
    <row r="109" spans="1:34">
      <c r="A109" s="84"/>
      <c r="C109" s="109"/>
      <c r="D109" s="125"/>
      <c r="E109" s="126"/>
      <c r="F109" s="126"/>
      <c r="G109" s="126"/>
      <c r="H109" s="126"/>
      <c r="I109" s="126"/>
      <c r="J109" s="104"/>
      <c r="K109" s="83"/>
      <c r="L109" s="83"/>
      <c r="M109" s="83"/>
      <c r="N109" s="83"/>
      <c r="O109" s="83"/>
      <c r="P109" s="83"/>
      <c r="Q109" s="83"/>
      <c r="R109" s="83"/>
      <c r="S109" s="83"/>
      <c r="T109" s="82"/>
      <c r="U109" s="82"/>
      <c r="V109" s="82"/>
      <c r="W109" s="82"/>
      <c r="X109" s="82"/>
      <c r="Y109" s="82"/>
      <c r="Z109" s="82"/>
      <c r="AA109" s="54"/>
      <c r="AB109" s="83"/>
      <c r="AC109" s="83"/>
      <c r="AD109" s="83"/>
      <c r="AE109" s="83"/>
      <c r="AF109" s="83"/>
      <c r="AG109" s="83"/>
      <c r="AH109" s="83"/>
    </row>
    <row r="110" spans="1:34">
      <c r="A110" s="83"/>
      <c r="C110" s="109"/>
      <c r="D110" s="125"/>
      <c r="E110" s="126"/>
      <c r="F110" s="126"/>
      <c r="G110" s="126"/>
      <c r="H110" s="126"/>
      <c r="I110" s="126"/>
      <c r="J110" s="54"/>
      <c r="K110" s="83"/>
      <c r="L110" s="83"/>
      <c r="M110" s="83"/>
      <c r="N110" s="83"/>
      <c r="O110" s="83"/>
      <c r="P110" s="83"/>
      <c r="Q110" s="83"/>
      <c r="R110" s="83"/>
      <c r="S110" s="83"/>
      <c r="T110" s="82"/>
      <c r="U110" s="82"/>
      <c r="V110" s="82"/>
      <c r="W110" s="82"/>
      <c r="X110" s="82"/>
      <c r="Y110" s="82"/>
      <c r="Z110" s="82"/>
      <c r="AA110" s="54"/>
      <c r="AB110" s="83"/>
      <c r="AC110" s="83"/>
      <c r="AD110" s="83"/>
      <c r="AE110" s="83"/>
      <c r="AF110" s="83"/>
      <c r="AG110" s="83"/>
      <c r="AH110" s="83"/>
    </row>
    <row r="111" spans="1:34">
      <c r="A111" s="124"/>
      <c r="C111" s="109"/>
      <c r="D111" s="125"/>
      <c r="E111" s="126"/>
      <c r="F111" s="126"/>
      <c r="G111" s="126"/>
      <c r="H111" s="126"/>
      <c r="I111" s="126"/>
      <c r="J111" s="128"/>
      <c r="K111" s="83"/>
      <c r="L111" s="83"/>
      <c r="M111" s="83"/>
      <c r="N111" s="83"/>
      <c r="O111" s="83"/>
      <c r="P111" s="83"/>
      <c r="Q111" s="83"/>
      <c r="R111" s="83"/>
      <c r="S111" s="83"/>
      <c r="T111" s="82"/>
      <c r="U111" s="82"/>
      <c r="V111" s="82"/>
      <c r="W111" s="82"/>
      <c r="X111" s="82"/>
      <c r="Y111" s="82"/>
      <c r="Z111" s="82"/>
      <c r="AA111" s="54"/>
      <c r="AB111" s="83"/>
      <c r="AC111" s="83"/>
      <c r="AD111" s="83"/>
      <c r="AE111" s="83"/>
      <c r="AF111" s="83"/>
      <c r="AG111" s="83"/>
      <c r="AH111" s="83"/>
    </row>
    <row r="112" spans="1:34">
      <c r="A112" s="124"/>
      <c r="C112" s="109"/>
      <c r="D112" s="125"/>
      <c r="E112" s="126"/>
      <c r="F112" s="126"/>
      <c r="G112" s="126"/>
      <c r="H112" s="126"/>
      <c r="I112" s="126"/>
      <c r="J112" s="130"/>
      <c r="K112" s="83"/>
      <c r="L112" s="83"/>
      <c r="M112" s="83"/>
      <c r="N112" s="83"/>
      <c r="O112" s="83"/>
      <c r="P112" s="83"/>
      <c r="Q112" s="83"/>
      <c r="R112" s="83"/>
      <c r="S112" s="83"/>
      <c r="T112" s="82"/>
      <c r="U112" s="82"/>
      <c r="V112" s="82"/>
      <c r="W112" s="82"/>
      <c r="X112" s="82"/>
      <c r="Y112" s="82"/>
      <c r="Z112" s="82"/>
      <c r="AA112" s="54"/>
      <c r="AB112" s="83"/>
      <c r="AC112" s="83"/>
      <c r="AD112" s="83"/>
      <c r="AE112" s="83"/>
      <c r="AF112" s="83"/>
      <c r="AG112" s="83"/>
      <c r="AH112" s="83"/>
    </row>
    <row r="113" spans="1:34">
      <c r="A113" s="124"/>
      <c r="C113" s="90"/>
      <c r="D113" s="115"/>
      <c r="E113" s="125"/>
      <c r="F113" s="125"/>
      <c r="G113" s="131"/>
      <c r="H113" s="131"/>
      <c r="I113" s="131"/>
      <c r="J113" s="130"/>
      <c r="K113" s="83"/>
      <c r="L113" s="83"/>
      <c r="M113" s="83"/>
      <c r="N113" s="83"/>
      <c r="O113" s="83"/>
      <c r="P113" s="83"/>
      <c r="Q113" s="83"/>
      <c r="R113" s="83"/>
      <c r="S113" s="83"/>
      <c r="T113" s="82"/>
      <c r="U113" s="82"/>
      <c r="V113" s="82"/>
      <c r="W113" s="82"/>
      <c r="X113" s="82"/>
      <c r="Y113" s="82"/>
      <c r="Z113" s="82"/>
      <c r="AA113" s="54"/>
      <c r="AB113" s="83"/>
      <c r="AC113" s="83"/>
      <c r="AD113" s="83"/>
      <c r="AE113" s="83"/>
      <c r="AF113" s="83"/>
      <c r="AG113" s="83"/>
      <c r="AH113" s="83"/>
    </row>
    <row r="114" spans="1:34">
      <c r="A114" s="124"/>
      <c r="B114" s="83"/>
      <c r="C114" s="82"/>
      <c r="D114" s="82"/>
      <c r="E114" s="82"/>
      <c r="F114" s="82"/>
      <c r="G114" s="82"/>
      <c r="H114" s="82"/>
      <c r="I114" s="82"/>
      <c r="J114" s="130"/>
      <c r="K114" s="83"/>
      <c r="L114" s="83"/>
      <c r="M114" s="83"/>
      <c r="N114" s="83"/>
      <c r="O114" s="83"/>
      <c r="P114" s="83"/>
      <c r="Q114" s="83"/>
      <c r="R114" s="83"/>
      <c r="S114" s="83"/>
      <c r="T114" s="82"/>
      <c r="U114" s="82"/>
      <c r="V114" s="82"/>
      <c r="W114" s="82"/>
      <c r="X114" s="82"/>
      <c r="Y114" s="82"/>
      <c r="Z114" s="82"/>
      <c r="AA114" s="54"/>
      <c r="AB114" s="83"/>
      <c r="AC114" s="83"/>
      <c r="AD114" s="83"/>
      <c r="AE114" s="83"/>
      <c r="AF114" s="83"/>
      <c r="AG114" s="83"/>
      <c r="AH114" s="83"/>
    </row>
    <row r="115" spans="1:34">
      <c r="A115" s="124"/>
      <c r="B115" s="83"/>
      <c r="C115" s="82"/>
      <c r="D115" s="82"/>
      <c r="E115" s="82"/>
      <c r="F115" s="82"/>
      <c r="G115" s="82"/>
      <c r="H115" s="82"/>
      <c r="I115" s="82"/>
      <c r="J115" s="130"/>
      <c r="K115" s="83"/>
      <c r="L115" s="83"/>
      <c r="M115" s="83"/>
      <c r="N115" s="83"/>
      <c r="O115" s="83"/>
      <c r="P115" s="83"/>
      <c r="Q115" s="83"/>
      <c r="R115" s="83"/>
      <c r="S115" s="83"/>
      <c r="T115" s="82"/>
      <c r="U115" s="82"/>
      <c r="V115" s="82"/>
      <c r="W115" s="82"/>
      <c r="X115" s="82"/>
      <c r="Y115" s="82"/>
      <c r="Z115" s="82"/>
      <c r="AA115" s="54"/>
      <c r="AB115" s="83"/>
      <c r="AC115" s="83"/>
      <c r="AD115" s="83"/>
      <c r="AE115" s="83"/>
      <c r="AF115" s="83"/>
      <c r="AG115" s="83"/>
      <c r="AH115" s="83"/>
    </row>
    <row r="116" spans="1:34">
      <c r="A116" s="124"/>
      <c r="B116" s="83"/>
      <c r="C116" s="82"/>
      <c r="D116" s="82"/>
      <c r="E116" s="82"/>
      <c r="F116" s="82"/>
      <c r="G116" s="82"/>
      <c r="H116" s="82"/>
      <c r="I116" s="82"/>
      <c r="J116" s="130"/>
      <c r="K116" s="83"/>
      <c r="L116" s="83"/>
      <c r="M116" s="83"/>
      <c r="N116" s="83"/>
      <c r="O116" s="83"/>
      <c r="P116" s="83"/>
      <c r="Q116" s="83"/>
      <c r="R116" s="83"/>
      <c r="S116" s="83"/>
      <c r="T116" s="82"/>
      <c r="U116" s="82"/>
      <c r="V116" s="82"/>
      <c r="W116" s="82"/>
      <c r="X116" s="82"/>
      <c r="Y116" s="82"/>
      <c r="Z116" s="82"/>
      <c r="AA116" s="54"/>
      <c r="AB116" s="83"/>
      <c r="AC116" s="83"/>
      <c r="AD116" s="83"/>
      <c r="AE116" s="83"/>
      <c r="AF116" s="83"/>
      <c r="AG116" s="83"/>
      <c r="AH116" s="83"/>
    </row>
    <row r="117" spans="1:34">
      <c r="A117" s="124"/>
      <c r="B117" s="83"/>
      <c r="C117" s="82"/>
      <c r="D117" s="82"/>
      <c r="E117" s="82"/>
      <c r="F117" s="82"/>
      <c r="G117" s="82"/>
      <c r="H117" s="82"/>
      <c r="I117" s="82"/>
      <c r="J117" s="130"/>
      <c r="K117" s="83"/>
      <c r="L117" s="83"/>
      <c r="M117" s="83"/>
      <c r="N117" s="83"/>
      <c r="O117" s="83"/>
      <c r="P117" s="83"/>
      <c r="Q117" s="83"/>
      <c r="R117" s="83"/>
      <c r="S117" s="51"/>
      <c r="T117" s="54"/>
      <c r="U117" s="54"/>
      <c r="V117" s="54"/>
      <c r="W117" s="54"/>
      <c r="X117" s="54"/>
      <c r="Y117" s="54"/>
      <c r="Z117" s="54"/>
      <c r="AA117" s="54"/>
      <c r="AB117" s="83"/>
      <c r="AC117" s="83"/>
      <c r="AD117" s="83"/>
      <c r="AE117" s="83"/>
      <c r="AF117" s="83"/>
      <c r="AG117" s="83"/>
      <c r="AH117" s="83"/>
    </row>
    <row r="118" spans="1:34">
      <c r="A118" s="124"/>
      <c r="B118" s="83"/>
      <c r="C118" s="82"/>
      <c r="D118" s="82"/>
      <c r="E118" s="82"/>
      <c r="F118" s="82"/>
      <c r="G118" s="82"/>
      <c r="H118" s="82"/>
      <c r="I118" s="82"/>
      <c r="J118" s="130"/>
      <c r="K118" s="83"/>
      <c r="L118" s="83"/>
      <c r="M118" s="83"/>
      <c r="N118" s="83"/>
      <c r="O118" s="83"/>
      <c r="P118" s="83"/>
      <c r="Q118" s="83"/>
      <c r="R118" s="83"/>
      <c r="S118" s="83"/>
      <c r="T118" s="82"/>
      <c r="U118" s="82"/>
      <c r="V118" s="82"/>
      <c r="W118" s="82"/>
      <c r="X118" s="82"/>
      <c r="Y118" s="82"/>
      <c r="Z118" s="82"/>
      <c r="AA118" s="54"/>
      <c r="AB118" s="83"/>
      <c r="AC118" s="83"/>
      <c r="AD118" s="83"/>
      <c r="AE118" s="83"/>
      <c r="AF118" s="83"/>
      <c r="AG118" s="83"/>
      <c r="AH118" s="83"/>
    </row>
    <row r="119" spans="1:34">
      <c r="A119" s="124"/>
      <c r="B119" s="83"/>
      <c r="C119" s="82"/>
      <c r="D119" s="82"/>
      <c r="E119" s="82"/>
      <c r="F119" s="82"/>
      <c r="G119" s="82"/>
      <c r="H119" s="82"/>
      <c r="I119" s="82"/>
      <c r="J119" s="130"/>
      <c r="K119" s="83"/>
      <c r="L119" s="83"/>
      <c r="M119" s="83"/>
      <c r="N119" s="83"/>
      <c r="O119" s="83"/>
      <c r="P119" s="83"/>
      <c r="Q119" s="83"/>
      <c r="R119" s="83"/>
      <c r="S119" s="83"/>
      <c r="T119" s="82"/>
      <c r="U119" s="82"/>
      <c r="V119" s="82"/>
      <c r="W119" s="82"/>
      <c r="X119" s="82"/>
      <c r="Y119" s="82"/>
      <c r="Z119" s="82"/>
      <c r="AA119" s="54"/>
      <c r="AB119" s="83"/>
      <c r="AC119" s="83"/>
      <c r="AD119" s="83"/>
      <c r="AE119" s="83"/>
      <c r="AF119" s="83"/>
      <c r="AG119" s="83"/>
      <c r="AH119" s="83"/>
    </row>
    <row r="120" spans="1:34">
      <c r="A120" s="124"/>
      <c r="B120" s="51"/>
      <c r="C120" s="54"/>
      <c r="D120" s="54"/>
      <c r="E120" s="54"/>
      <c r="F120" s="54"/>
      <c r="G120" s="54"/>
      <c r="H120" s="54"/>
      <c r="I120" s="54"/>
      <c r="J120" s="130"/>
      <c r="K120" s="83"/>
      <c r="L120" s="83"/>
      <c r="M120" s="83"/>
      <c r="N120" s="83"/>
      <c r="O120" s="83"/>
      <c r="P120" s="83"/>
      <c r="Q120" s="83"/>
      <c r="R120" s="83"/>
      <c r="S120" s="83"/>
      <c r="T120" s="82"/>
      <c r="U120" s="82"/>
      <c r="V120" s="82"/>
      <c r="W120" s="82"/>
      <c r="X120" s="82"/>
      <c r="Y120" s="82"/>
      <c r="Z120" s="82"/>
      <c r="AA120" s="54"/>
      <c r="AB120" s="83"/>
      <c r="AC120" s="83"/>
      <c r="AD120" s="83"/>
      <c r="AE120" s="83"/>
      <c r="AF120" s="83"/>
      <c r="AG120" s="83"/>
      <c r="AH120" s="83"/>
    </row>
    <row r="121" spans="1:34">
      <c r="A121" s="124"/>
      <c r="B121" s="83"/>
      <c r="C121" s="82"/>
      <c r="D121" s="82"/>
      <c r="E121" s="82"/>
      <c r="F121" s="82"/>
      <c r="G121" s="82"/>
      <c r="H121" s="82"/>
      <c r="I121" s="82"/>
      <c r="J121" s="130"/>
      <c r="K121" s="83"/>
      <c r="L121" s="83"/>
      <c r="M121" s="83"/>
      <c r="N121" s="83"/>
      <c r="O121" s="83"/>
      <c r="P121" s="83"/>
      <c r="Q121" s="83"/>
      <c r="R121" s="83"/>
      <c r="S121" s="83"/>
      <c r="T121" s="82"/>
      <c r="U121" s="82"/>
      <c r="V121" s="82"/>
      <c r="W121" s="82"/>
      <c r="X121" s="82"/>
      <c r="Y121" s="82"/>
      <c r="Z121" s="82"/>
      <c r="AA121" s="54"/>
      <c r="AB121" s="83"/>
      <c r="AC121" s="83"/>
      <c r="AD121" s="83"/>
      <c r="AE121" s="83"/>
      <c r="AF121" s="83"/>
      <c r="AG121" s="83"/>
      <c r="AH121" s="83"/>
    </row>
    <row r="122" spans="1:34">
      <c r="A122" s="124"/>
      <c r="B122" s="83"/>
      <c r="C122" s="82"/>
      <c r="D122" s="82"/>
      <c r="E122" s="82"/>
      <c r="F122" s="82"/>
      <c r="G122" s="82"/>
      <c r="H122" s="82"/>
      <c r="I122" s="82"/>
      <c r="J122" s="130"/>
      <c r="K122" s="83"/>
      <c r="L122" s="83"/>
      <c r="M122" s="83"/>
      <c r="N122" s="83"/>
      <c r="O122" s="83"/>
      <c r="P122" s="83"/>
      <c r="Q122" s="83"/>
      <c r="R122" s="83"/>
      <c r="S122" s="83"/>
      <c r="T122" s="82"/>
      <c r="U122" s="82"/>
      <c r="V122" s="82"/>
      <c r="W122" s="82"/>
      <c r="X122" s="82"/>
      <c r="Y122" s="82"/>
      <c r="Z122" s="82"/>
      <c r="AA122" s="54"/>
      <c r="AB122" s="83"/>
      <c r="AC122" s="83"/>
      <c r="AD122" s="83"/>
      <c r="AE122" s="83"/>
      <c r="AF122" s="83"/>
      <c r="AG122" s="83"/>
      <c r="AH122" s="83"/>
    </row>
    <row r="123" spans="1:34">
      <c r="A123" s="124"/>
      <c r="B123" s="83"/>
      <c r="C123" s="82"/>
      <c r="D123" s="82"/>
      <c r="E123" s="82"/>
      <c r="F123" s="82"/>
      <c r="G123" s="82"/>
      <c r="H123" s="82"/>
      <c r="I123" s="82"/>
      <c r="J123" s="130"/>
      <c r="K123" s="83"/>
      <c r="L123" s="83"/>
      <c r="M123" s="83"/>
      <c r="N123" s="83"/>
      <c r="O123" s="83"/>
      <c r="P123" s="83"/>
      <c r="Q123" s="83"/>
      <c r="R123" s="83"/>
      <c r="S123" s="51"/>
      <c r="T123" s="54"/>
      <c r="U123" s="54"/>
      <c r="V123" s="54"/>
      <c r="W123" s="54"/>
      <c r="X123" s="54"/>
      <c r="Y123" s="54"/>
      <c r="Z123" s="54"/>
      <c r="AA123" s="54"/>
      <c r="AB123" s="83"/>
      <c r="AC123" s="83"/>
      <c r="AD123" s="83"/>
      <c r="AE123" s="83"/>
      <c r="AF123" s="83"/>
      <c r="AG123" s="83"/>
      <c r="AH123" s="83"/>
    </row>
    <row r="124" spans="1:34">
      <c r="A124" s="124"/>
      <c r="B124" s="83"/>
      <c r="C124" s="82"/>
      <c r="D124" s="82"/>
      <c r="E124" s="82"/>
      <c r="F124" s="82"/>
      <c r="G124" s="82"/>
      <c r="H124" s="82"/>
      <c r="I124" s="82"/>
      <c r="J124" s="132"/>
      <c r="K124" s="83"/>
      <c r="L124" s="83"/>
      <c r="M124" s="83"/>
      <c r="N124" s="83"/>
      <c r="O124" s="83"/>
      <c r="P124" s="83"/>
      <c r="Q124" s="83"/>
      <c r="R124" s="83"/>
      <c r="S124" s="83"/>
      <c r="T124" s="82"/>
      <c r="U124" s="82"/>
      <c r="V124" s="82"/>
      <c r="W124" s="82"/>
      <c r="X124" s="82"/>
      <c r="Y124" s="82"/>
      <c r="Z124" s="82"/>
      <c r="AA124" s="54"/>
      <c r="AB124" s="83"/>
      <c r="AC124" s="83"/>
      <c r="AD124" s="83"/>
      <c r="AE124" s="83"/>
      <c r="AF124" s="83"/>
      <c r="AG124" s="83"/>
      <c r="AH124" s="83"/>
    </row>
    <row r="125" spans="1:34">
      <c r="A125" s="83"/>
      <c r="B125" s="83"/>
      <c r="C125" s="82"/>
      <c r="D125" s="82"/>
      <c r="E125" s="82"/>
      <c r="F125" s="82"/>
      <c r="G125" s="82"/>
      <c r="H125" s="82"/>
      <c r="I125" s="82"/>
      <c r="J125" s="54"/>
      <c r="K125" s="83"/>
      <c r="L125" s="83"/>
      <c r="M125" s="83"/>
      <c r="N125" s="83"/>
      <c r="O125" s="83"/>
      <c r="P125" s="83"/>
      <c r="Q125" s="83"/>
      <c r="R125" s="83"/>
      <c r="S125" s="83"/>
      <c r="T125" s="82"/>
      <c r="U125" s="82"/>
      <c r="V125" s="82"/>
      <c r="W125" s="82"/>
      <c r="X125" s="82"/>
      <c r="Y125" s="82"/>
      <c r="Z125" s="82"/>
      <c r="AA125" s="54"/>
      <c r="AB125" s="83"/>
      <c r="AC125" s="83"/>
      <c r="AD125" s="83"/>
      <c r="AE125" s="83"/>
      <c r="AF125" s="83"/>
      <c r="AG125" s="83"/>
      <c r="AH125" s="83"/>
    </row>
    <row r="126" spans="1:34">
      <c r="A126" s="83"/>
      <c r="B126" s="51"/>
      <c r="C126" s="54"/>
      <c r="D126" s="54"/>
      <c r="E126" s="54"/>
      <c r="F126" s="54"/>
      <c r="G126" s="54"/>
      <c r="H126" s="54"/>
      <c r="I126" s="54"/>
      <c r="J126" s="54"/>
      <c r="K126" s="83"/>
      <c r="L126" s="83"/>
      <c r="M126" s="83"/>
      <c r="N126" s="83"/>
      <c r="O126" s="83"/>
      <c r="P126" s="83"/>
      <c r="Q126" s="83"/>
      <c r="R126" s="83"/>
      <c r="S126" s="83"/>
      <c r="T126" s="82"/>
      <c r="U126" s="82"/>
      <c r="V126" s="82"/>
      <c r="W126" s="82"/>
      <c r="X126" s="82"/>
      <c r="Y126" s="82"/>
      <c r="Z126" s="82"/>
      <c r="AA126" s="54"/>
      <c r="AB126" s="83"/>
      <c r="AC126" s="83"/>
      <c r="AD126" s="83"/>
      <c r="AE126" s="83"/>
      <c r="AF126" s="83"/>
      <c r="AG126" s="83"/>
      <c r="AH126" s="83"/>
    </row>
    <row r="127" spans="1:34">
      <c r="A127" s="83"/>
      <c r="B127" s="83"/>
      <c r="C127" s="82"/>
      <c r="D127" s="82"/>
      <c r="E127" s="82"/>
      <c r="F127" s="82"/>
      <c r="G127" s="82"/>
      <c r="H127" s="82"/>
      <c r="I127" s="82"/>
      <c r="J127" s="54"/>
      <c r="K127" s="83"/>
      <c r="L127" s="83"/>
      <c r="M127" s="83"/>
      <c r="N127" s="83"/>
      <c r="O127" s="83"/>
      <c r="P127" s="83"/>
      <c r="Q127" s="83"/>
      <c r="R127" s="83"/>
      <c r="S127" s="51"/>
      <c r="T127" s="54"/>
      <c r="U127" s="54"/>
      <c r="V127" s="54"/>
      <c r="W127" s="54"/>
      <c r="X127" s="54"/>
      <c r="Y127" s="54"/>
      <c r="Z127" s="54"/>
      <c r="AA127" s="54"/>
      <c r="AB127" s="83"/>
      <c r="AC127" s="83"/>
      <c r="AD127" s="83"/>
      <c r="AE127" s="83"/>
      <c r="AF127" s="83"/>
      <c r="AG127" s="83"/>
      <c r="AH127" s="83"/>
    </row>
    <row r="128" spans="1:34">
      <c r="A128" s="83"/>
      <c r="B128" s="83"/>
      <c r="C128" s="82"/>
      <c r="D128" s="82"/>
      <c r="E128" s="82"/>
      <c r="F128" s="82"/>
      <c r="G128" s="82"/>
      <c r="H128" s="82"/>
      <c r="I128" s="82"/>
      <c r="J128" s="54"/>
      <c r="K128" s="83"/>
      <c r="L128" s="83"/>
      <c r="M128" s="83"/>
      <c r="N128" s="83"/>
      <c r="O128" s="83"/>
      <c r="P128" s="83"/>
      <c r="Q128" s="83"/>
      <c r="R128" s="83"/>
      <c r="S128" s="83"/>
      <c r="T128" s="82"/>
      <c r="U128" s="82"/>
      <c r="V128" s="82"/>
      <c r="W128" s="82"/>
      <c r="X128" s="82"/>
      <c r="Y128" s="82"/>
      <c r="Z128" s="82"/>
      <c r="AA128" s="82"/>
      <c r="AB128" s="83"/>
      <c r="AC128" s="83"/>
      <c r="AD128" s="83"/>
      <c r="AE128" s="83"/>
      <c r="AF128" s="83"/>
      <c r="AG128" s="83"/>
      <c r="AH128" s="83"/>
    </row>
    <row r="129" spans="1:34">
      <c r="A129" s="83"/>
      <c r="B129" s="83"/>
      <c r="C129" s="82"/>
      <c r="D129" s="82"/>
      <c r="E129" s="82"/>
      <c r="F129" s="82"/>
      <c r="G129" s="82"/>
      <c r="H129" s="82"/>
      <c r="I129" s="82"/>
      <c r="J129" s="54"/>
      <c r="K129" s="83"/>
      <c r="L129" s="83"/>
      <c r="M129" s="83"/>
      <c r="N129" s="83"/>
      <c r="O129" s="83"/>
      <c r="P129" s="83"/>
      <c r="Q129" s="83"/>
      <c r="R129" s="83"/>
      <c r="S129" s="51"/>
      <c r="T129" s="54"/>
      <c r="U129" s="54"/>
      <c r="V129" s="54"/>
      <c r="W129" s="54"/>
      <c r="X129" s="54"/>
      <c r="Y129" s="54"/>
      <c r="Z129" s="54"/>
      <c r="AA129" s="54"/>
      <c r="AB129" s="83"/>
      <c r="AC129" s="83"/>
      <c r="AD129" s="83"/>
      <c r="AE129" s="83"/>
      <c r="AF129" s="83"/>
      <c r="AG129" s="83"/>
      <c r="AH129" s="83"/>
    </row>
    <row r="130" spans="1:34">
      <c r="A130" s="83"/>
      <c r="B130" s="51"/>
      <c r="C130" s="54"/>
      <c r="D130" s="54"/>
      <c r="E130" s="54"/>
      <c r="F130" s="54"/>
      <c r="G130" s="54"/>
      <c r="H130" s="54"/>
      <c r="I130" s="54"/>
      <c r="J130" s="54"/>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row>
    <row r="131" spans="1:34">
      <c r="A131" s="83"/>
      <c r="B131" s="83"/>
      <c r="C131" s="82"/>
      <c r="D131" s="82"/>
      <c r="E131" s="82"/>
      <c r="F131" s="82"/>
      <c r="G131" s="82"/>
      <c r="H131" s="82"/>
      <c r="I131" s="82"/>
      <c r="J131" s="54"/>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row>
    <row r="132" spans="1:34">
      <c r="A132" s="83"/>
      <c r="B132" s="51"/>
      <c r="C132" s="54"/>
      <c r="D132" s="54"/>
      <c r="E132" s="54"/>
      <c r="F132" s="54"/>
      <c r="G132" s="54"/>
      <c r="H132" s="54"/>
      <c r="I132" s="54"/>
      <c r="J132" s="54"/>
      <c r="K132" s="83"/>
      <c r="L132" s="83"/>
      <c r="M132" s="83"/>
      <c r="N132" s="83"/>
      <c r="O132" s="83"/>
      <c r="P132" s="83"/>
      <c r="Q132" s="83"/>
      <c r="R132" s="83"/>
      <c r="S132" s="83"/>
      <c r="T132" s="53"/>
      <c r="U132" s="55"/>
      <c r="V132" s="53"/>
      <c r="W132" s="53"/>
      <c r="X132" s="55"/>
      <c r="Y132" s="55"/>
      <c r="Z132" s="55"/>
      <c r="AA132" s="55"/>
      <c r="AB132" s="83"/>
      <c r="AC132" s="83"/>
      <c r="AD132" s="83"/>
      <c r="AE132" s="83"/>
      <c r="AF132" s="83"/>
      <c r="AG132" s="83"/>
      <c r="AH132" s="83"/>
    </row>
    <row r="133" spans="1:34">
      <c r="A133" s="83"/>
      <c r="B133" s="83"/>
      <c r="C133" s="83"/>
      <c r="D133" s="83"/>
      <c r="E133" s="83"/>
      <c r="F133" s="83"/>
      <c r="G133" s="83"/>
      <c r="H133" s="83"/>
      <c r="I133" s="83"/>
      <c r="J133" s="54"/>
      <c r="K133" s="83"/>
      <c r="L133" s="83"/>
      <c r="M133" s="83"/>
      <c r="N133" s="83"/>
      <c r="O133" s="83"/>
      <c r="P133" s="83"/>
      <c r="Q133" s="83"/>
      <c r="R133" s="83"/>
      <c r="S133" s="83"/>
      <c r="T133" s="82"/>
      <c r="U133" s="82"/>
      <c r="V133" s="82"/>
      <c r="W133" s="82"/>
      <c r="X133" s="82"/>
      <c r="Y133" s="82"/>
      <c r="Z133" s="82"/>
      <c r="AA133" s="82"/>
      <c r="AB133" s="83"/>
      <c r="AC133" s="83"/>
      <c r="AD133" s="83"/>
      <c r="AE133" s="83"/>
      <c r="AF133" s="83"/>
      <c r="AG133" s="83"/>
      <c r="AH133" s="83"/>
    </row>
    <row r="134" spans="1:34">
      <c r="A134" s="83"/>
      <c r="B134" s="83"/>
      <c r="C134" s="83"/>
      <c r="D134" s="83"/>
      <c r="E134" s="83"/>
      <c r="F134" s="83"/>
      <c r="G134" s="83"/>
      <c r="H134" s="83"/>
      <c r="I134" s="83"/>
      <c r="J134" s="54"/>
      <c r="K134" s="83"/>
      <c r="L134" s="83"/>
      <c r="M134" s="83"/>
      <c r="N134" s="83"/>
      <c r="O134" s="83"/>
      <c r="P134" s="83"/>
      <c r="Q134" s="83"/>
      <c r="R134" s="83"/>
      <c r="S134" s="108"/>
      <c r="T134" s="82"/>
      <c r="U134" s="82"/>
      <c r="V134" s="82"/>
      <c r="W134" s="82"/>
      <c r="X134" s="82"/>
      <c r="Y134" s="82"/>
      <c r="Z134" s="82"/>
      <c r="AA134" s="82"/>
      <c r="AB134" s="83"/>
      <c r="AC134" s="83"/>
      <c r="AD134" s="83"/>
      <c r="AE134" s="83"/>
      <c r="AF134" s="83"/>
      <c r="AG134" s="83"/>
      <c r="AH134" s="83"/>
    </row>
    <row r="135" spans="1:34">
      <c r="A135" s="83"/>
      <c r="B135" s="83"/>
      <c r="C135" s="53"/>
      <c r="D135" s="55"/>
      <c r="E135" s="53"/>
      <c r="F135" s="55"/>
      <c r="G135" s="55"/>
      <c r="H135" s="55"/>
      <c r="I135" s="55"/>
      <c r="J135" s="54"/>
      <c r="K135" s="83"/>
      <c r="L135" s="83"/>
      <c r="M135" s="83"/>
      <c r="N135" s="83"/>
      <c r="O135" s="83"/>
      <c r="P135" s="83"/>
      <c r="Q135" s="83"/>
      <c r="R135" s="83"/>
      <c r="S135" s="108"/>
      <c r="T135" s="82"/>
      <c r="U135" s="82"/>
      <c r="V135" s="82"/>
      <c r="W135" s="82"/>
      <c r="X135" s="82"/>
      <c r="Y135" s="82"/>
      <c r="Z135" s="82"/>
      <c r="AA135" s="82"/>
      <c r="AB135" s="83"/>
      <c r="AC135" s="83"/>
      <c r="AD135" s="83"/>
      <c r="AE135" s="83"/>
      <c r="AF135" s="83"/>
      <c r="AG135" s="83"/>
      <c r="AH135" s="83"/>
    </row>
    <row r="136" spans="1:34">
      <c r="A136" s="83"/>
      <c r="B136" s="83"/>
      <c r="C136" s="82"/>
      <c r="D136" s="82"/>
      <c r="E136" s="82"/>
      <c r="F136" s="82"/>
      <c r="G136" s="82"/>
      <c r="H136" s="82"/>
      <c r="I136" s="82"/>
      <c r="J136" s="54"/>
      <c r="K136" s="83"/>
      <c r="L136" s="83"/>
      <c r="M136" s="83"/>
      <c r="N136" s="83"/>
      <c r="O136" s="83"/>
      <c r="P136" s="83"/>
      <c r="Q136" s="83"/>
      <c r="R136" s="83"/>
      <c r="S136" s="108"/>
      <c r="T136" s="82"/>
      <c r="U136" s="82"/>
      <c r="V136" s="82"/>
      <c r="W136" s="82"/>
      <c r="X136" s="82"/>
      <c r="Y136" s="82"/>
      <c r="Z136" s="82"/>
      <c r="AA136" s="82"/>
      <c r="AB136" s="83"/>
      <c r="AC136" s="83"/>
      <c r="AD136" s="83"/>
      <c r="AE136" s="83"/>
      <c r="AF136" s="83"/>
      <c r="AG136" s="83"/>
      <c r="AH136" s="83"/>
    </row>
    <row r="137" spans="1:34">
      <c r="A137" s="83"/>
      <c r="B137" s="108"/>
      <c r="C137" s="82"/>
      <c r="D137" s="82"/>
      <c r="E137" s="82"/>
      <c r="F137" s="82"/>
      <c r="G137" s="82"/>
      <c r="H137" s="82"/>
      <c r="I137" s="82"/>
      <c r="J137" s="54"/>
      <c r="K137" s="83"/>
      <c r="L137" s="83"/>
      <c r="M137" s="83"/>
      <c r="N137" s="83"/>
      <c r="O137" s="83"/>
      <c r="P137" s="83"/>
      <c r="Q137" s="83"/>
      <c r="R137" s="83"/>
      <c r="S137" s="108"/>
      <c r="T137" s="82"/>
      <c r="U137" s="82"/>
      <c r="V137" s="82"/>
      <c r="W137" s="82"/>
      <c r="X137" s="82"/>
      <c r="Y137" s="82"/>
      <c r="Z137" s="82"/>
      <c r="AA137" s="82"/>
      <c r="AB137" s="83"/>
      <c r="AC137" s="83"/>
      <c r="AD137" s="83"/>
      <c r="AE137" s="83"/>
      <c r="AF137" s="83"/>
      <c r="AG137" s="83"/>
      <c r="AH137" s="83"/>
    </row>
    <row r="138" spans="1:34">
      <c r="A138" s="83"/>
      <c r="B138" s="108"/>
      <c r="C138" s="82"/>
      <c r="D138" s="82"/>
      <c r="E138" s="82"/>
      <c r="F138" s="82"/>
      <c r="G138" s="82"/>
      <c r="H138" s="82"/>
      <c r="I138" s="82"/>
      <c r="J138" s="54"/>
      <c r="K138" s="83"/>
      <c r="L138" s="83"/>
      <c r="M138" s="83"/>
      <c r="N138" s="83"/>
      <c r="O138" s="83"/>
      <c r="P138" s="83"/>
      <c r="Q138" s="83"/>
      <c r="R138" s="83"/>
      <c r="S138" s="108"/>
      <c r="T138" s="82"/>
      <c r="U138" s="82"/>
      <c r="V138" s="82"/>
      <c r="W138" s="82"/>
      <c r="X138" s="82"/>
      <c r="Y138" s="82"/>
      <c r="Z138" s="82"/>
      <c r="AA138" s="82"/>
      <c r="AB138" s="83"/>
      <c r="AC138" s="83"/>
      <c r="AD138" s="83"/>
      <c r="AE138" s="83"/>
      <c r="AF138" s="83"/>
      <c r="AG138" s="83"/>
      <c r="AH138" s="83"/>
    </row>
    <row r="139" spans="1:34">
      <c r="A139" s="83"/>
      <c r="B139" s="108"/>
      <c r="C139" s="82"/>
      <c r="D139" s="82"/>
      <c r="E139" s="82"/>
      <c r="F139" s="82"/>
      <c r="G139" s="82"/>
      <c r="H139" s="82"/>
      <c r="I139" s="82"/>
      <c r="J139" s="54"/>
      <c r="K139" s="83"/>
      <c r="L139" s="83"/>
      <c r="M139" s="83"/>
      <c r="N139" s="83"/>
      <c r="O139" s="83"/>
      <c r="P139" s="83"/>
      <c r="Q139" s="83"/>
      <c r="R139" s="83"/>
      <c r="S139" s="83"/>
      <c r="T139" s="54"/>
      <c r="U139" s="54"/>
      <c r="V139" s="54"/>
      <c r="W139" s="54"/>
      <c r="X139" s="54"/>
      <c r="Y139" s="54"/>
      <c r="Z139" s="54"/>
      <c r="AA139" s="54"/>
      <c r="AB139" s="83"/>
      <c r="AC139" s="83"/>
      <c r="AD139" s="83"/>
      <c r="AE139" s="83"/>
      <c r="AF139" s="83"/>
      <c r="AG139" s="83"/>
      <c r="AH139" s="83"/>
    </row>
    <row r="140" spans="1:34">
      <c r="A140" s="83"/>
      <c r="B140" s="108"/>
      <c r="C140" s="82"/>
      <c r="D140" s="82"/>
      <c r="E140" s="82"/>
      <c r="F140" s="82"/>
      <c r="G140" s="82"/>
      <c r="H140" s="82"/>
      <c r="I140" s="82"/>
      <c r="J140" s="54"/>
      <c r="K140" s="83"/>
      <c r="L140" s="83"/>
      <c r="M140" s="83"/>
      <c r="N140" s="83"/>
      <c r="O140" s="83"/>
      <c r="P140" s="83"/>
      <c r="Q140" s="83"/>
      <c r="R140" s="83"/>
      <c r="S140" s="83"/>
      <c r="T140" s="82"/>
      <c r="U140" s="82"/>
      <c r="V140" s="82"/>
      <c r="W140" s="82"/>
      <c r="X140" s="82"/>
      <c r="Y140" s="82"/>
      <c r="Z140" s="82"/>
      <c r="AA140" s="82"/>
      <c r="AB140" s="83"/>
      <c r="AC140" s="83"/>
      <c r="AD140" s="83"/>
      <c r="AE140" s="83"/>
      <c r="AF140" s="83"/>
      <c r="AG140" s="83"/>
      <c r="AH140" s="83"/>
    </row>
    <row r="141" spans="1:34">
      <c r="A141" s="83"/>
      <c r="B141" s="108"/>
      <c r="C141" s="82"/>
      <c r="D141" s="82"/>
      <c r="E141" s="82"/>
      <c r="F141" s="82"/>
      <c r="G141" s="82"/>
      <c r="H141" s="82"/>
      <c r="I141" s="82"/>
      <c r="J141" s="54"/>
      <c r="K141" s="83"/>
      <c r="L141" s="83"/>
      <c r="M141" s="83"/>
      <c r="N141" s="83"/>
      <c r="O141" s="83"/>
      <c r="P141" s="83"/>
      <c r="Q141" s="83"/>
      <c r="R141" s="83"/>
      <c r="S141" s="109"/>
      <c r="T141" s="54"/>
      <c r="U141" s="54"/>
      <c r="V141" s="54"/>
      <c r="W141" s="54"/>
      <c r="X141" s="54"/>
      <c r="Y141" s="54"/>
      <c r="Z141" s="54"/>
      <c r="AA141" s="54"/>
      <c r="AB141" s="83"/>
      <c r="AC141" s="83"/>
      <c r="AD141" s="83"/>
      <c r="AE141" s="83"/>
      <c r="AF141" s="83"/>
      <c r="AG141" s="83"/>
      <c r="AH141" s="83"/>
    </row>
    <row r="142" spans="1:34">
      <c r="A142" s="83"/>
      <c r="B142" s="83"/>
      <c r="C142" s="54"/>
      <c r="D142" s="54"/>
      <c r="E142" s="54"/>
      <c r="F142" s="54"/>
      <c r="G142" s="54"/>
      <c r="H142" s="54"/>
      <c r="I142" s="54"/>
      <c r="J142" s="82"/>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row>
    <row r="143" spans="1:34">
      <c r="A143" s="83"/>
      <c r="B143" s="83"/>
      <c r="C143" s="82"/>
      <c r="D143" s="82"/>
      <c r="E143" s="82"/>
      <c r="F143" s="82"/>
      <c r="G143" s="82"/>
      <c r="H143" s="82"/>
      <c r="I143" s="82"/>
      <c r="J143" s="54"/>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row>
    <row r="144" spans="1:34">
      <c r="A144" s="83"/>
      <c r="B144" s="109"/>
      <c r="C144" s="54"/>
      <c r="D144" s="54"/>
      <c r="E144" s="54"/>
      <c r="F144" s="54"/>
      <c r="G144" s="54"/>
      <c r="H144" s="54"/>
      <c r="I144" s="54"/>
      <c r="J144" s="83"/>
      <c r="AF144" s="83"/>
      <c r="AG144" s="83"/>
      <c r="AH144" s="83"/>
    </row>
    <row r="145" spans="1:34">
      <c r="A145" s="83"/>
      <c r="B145" s="109"/>
      <c r="C145" s="83"/>
      <c r="D145" s="83"/>
      <c r="E145" s="83"/>
      <c r="F145" s="83"/>
      <c r="G145" s="83"/>
      <c r="H145" s="83"/>
      <c r="I145" s="83"/>
      <c r="J145" s="83"/>
      <c r="AF145" s="83"/>
      <c r="AG145" s="83"/>
      <c r="AH145" s="83"/>
    </row>
    <row r="146" spans="1:34">
      <c r="A146" s="83"/>
      <c r="B146" s="109"/>
      <c r="C146" s="83"/>
      <c r="D146" s="83"/>
      <c r="E146" s="83"/>
      <c r="F146" s="83"/>
      <c r="G146" s="83"/>
      <c r="H146" s="83"/>
      <c r="I146" s="83"/>
      <c r="J146" s="55"/>
      <c r="AF146" s="83"/>
      <c r="AG146" s="83"/>
      <c r="AH146" s="83"/>
    </row>
    <row r="147" spans="1:34">
      <c r="A147" s="107"/>
      <c r="J147" s="82"/>
      <c r="AF147" s="83"/>
      <c r="AG147" s="83"/>
      <c r="AH147" s="83"/>
    </row>
    <row r="148" spans="1:34">
      <c r="A148" s="107"/>
      <c r="J148" s="82"/>
      <c r="AF148" s="83"/>
      <c r="AG148" s="83"/>
      <c r="AH148" s="83"/>
    </row>
    <row r="149" spans="1:34">
      <c r="A149" s="107"/>
      <c r="J149" s="82"/>
      <c r="AF149" s="83"/>
      <c r="AG149" s="83"/>
      <c r="AH149" s="83"/>
    </row>
    <row r="150" spans="1:34">
      <c r="A150" s="107"/>
      <c r="J150" s="82"/>
      <c r="AF150" s="83"/>
      <c r="AG150" s="83"/>
      <c r="AH150" s="83"/>
    </row>
    <row r="151" spans="1:34">
      <c r="A151" s="107"/>
      <c r="J151" s="82"/>
      <c r="AF151" s="83"/>
      <c r="AG151" s="83"/>
      <c r="AH151" s="83"/>
    </row>
    <row r="152" spans="1:34">
      <c r="A152" s="107"/>
      <c r="J152" s="82"/>
      <c r="AF152" s="83"/>
      <c r="AG152" s="83"/>
      <c r="AH152" s="83"/>
    </row>
    <row r="153" spans="1:34">
      <c r="A153" s="107"/>
      <c r="J153" s="54"/>
      <c r="AF153" s="83"/>
      <c r="AG153" s="83"/>
      <c r="AH153" s="83"/>
    </row>
    <row r="154" spans="1:34">
      <c r="A154" s="107"/>
      <c r="J154" s="82"/>
      <c r="AF154" s="83"/>
      <c r="AG154" s="83"/>
      <c r="AH154" s="83"/>
    </row>
    <row r="155" spans="1:34">
      <c r="A155" s="107"/>
      <c r="J155" s="54"/>
      <c r="AF155" s="83"/>
      <c r="AG155" s="83"/>
      <c r="AH155" s="83"/>
    </row>
    <row r="156" spans="1:34">
      <c r="A156" s="107"/>
      <c r="J156" s="83"/>
      <c r="AF156" s="83"/>
      <c r="AG156" s="83"/>
      <c r="AH156" s="83"/>
    </row>
    <row r="157" spans="1:34">
      <c r="A157" s="107"/>
      <c r="J157" s="83"/>
      <c r="AF157" s="83"/>
      <c r="AG157" s="83"/>
      <c r="AH157" s="83"/>
    </row>
  </sheetData>
  <mergeCells count="4">
    <mergeCell ref="K61:N62"/>
    <mergeCell ref="K1:U1"/>
    <mergeCell ref="K17:T17"/>
    <mergeCell ref="K11:K12"/>
  </mergeCells>
  <conditionalFormatting sqref="X19:Y22">
    <cfRule type="cellIs" dxfId="8" priority="4" operator="greaterThan">
      <formula>0</formula>
    </cfRule>
  </conditionalFormatting>
  <conditionalFormatting sqref="X24:Z25">
    <cfRule type="cellIs" dxfId="7" priority="3" operator="greaterThan">
      <formula>0</formula>
    </cfRule>
  </conditionalFormatting>
  <conditionalFormatting sqref="R19:U30">
    <cfRule type="cellIs" dxfId="6" priority="2" operator="greaterThan">
      <formula>0</formula>
    </cfRule>
  </conditionalFormatting>
  <pageMargins left="0" right="0" top="0" bottom="0" header="0" footer="0"/>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O182"/>
  <sheetViews>
    <sheetView topLeftCell="A13" zoomScale="70" zoomScaleNormal="70" workbookViewId="0">
      <selection activeCell="D83" sqref="D83:F83"/>
    </sheetView>
  </sheetViews>
  <sheetFormatPr baseColWidth="10" defaultColWidth="11" defaultRowHeight="15"/>
  <cols>
    <col min="1" max="1" width="5.625" style="89" customWidth="1"/>
    <col min="2" max="2" width="28.375" style="89" customWidth="1"/>
    <col min="3" max="3" width="44.125" style="89" customWidth="1"/>
    <col min="4" max="7" width="14.625" style="89" customWidth="1"/>
    <col min="8" max="8" width="8.625" style="89" customWidth="1"/>
    <col min="9" max="9" width="13.125" style="89" bestFit="1" customWidth="1"/>
    <col min="10" max="16" width="10.875" style="89" customWidth="1"/>
    <col min="17" max="17" width="5.875" style="89" customWidth="1"/>
    <col min="18" max="19" width="8.125" style="89" customWidth="1"/>
    <col min="20" max="20" width="42.625" style="89" customWidth="1"/>
    <col min="21" max="21" width="12.5" style="89" customWidth="1"/>
    <col min="22" max="22" width="13.625" style="89" customWidth="1"/>
    <col min="23" max="23" width="13.125" style="89" customWidth="1"/>
    <col min="24" max="25" width="10.875" style="89" customWidth="1"/>
    <col min="26" max="26" width="19.875" style="89" customWidth="1"/>
    <col min="27" max="27" width="15.125" style="89" customWidth="1"/>
    <col min="28" max="32" width="10.875" style="89" customWidth="1"/>
    <col min="33" max="33" width="12.125" style="89" customWidth="1"/>
    <col min="34" max="34" width="9.875" style="89" customWidth="1"/>
    <col min="35" max="38" width="8.125" style="89" customWidth="1"/>
    <col min="39" max="40" width="12.125" style="89" customWidth="1"/>
    <col min="41" max="46" width="9.875" style="89" customWidth="1"/>
    <col min="47" max="53" width="10.875" style="89" customWidth="1"/>
    <col min="54" max="54" width="12.125" style="89" customWidth="1"/>
    <col min="55" max="61" width="8.875" style="89" customWidth="1"/>
    <col min="62" max="69" width="11.875" style="89" customWidth="1"/>
    <col min="70" max="77" width="8.875" style="89" customWidth="1"/>
    <col min="78" max="78" width="5.875" style="89" customWidth="1"/>
    <col min="79" max="85" width="8.125" style="89" customWidth="1"/>
    <col min="86" max="93" width="8.875" style="89" customWidth="1"/>
    <col min="94" max="101" width="9.875" style="89" customWidth="1"/>
    <col min="102" max="109" width="11.875" style="89" customWidth="1"/>
    <col min="110" max="125" width="9.875" style="89" customWidth="1"/>
    <col min="126" max="133" width="10.875" style="89" customWidth="1"/>
    <col min="134" max="141" width="9.875" style="89" customWidth="1"/>
    <col min="142" max="148" width="8.875" style="89" customWidth="1"/>
    <col min="149" max="149" width="9.125" style="89" customWidth="1"/>
    <col min="150" max="157" width="9.875" style="89" customWidth="1"/>
    <col min="158" max="165" width="10.875" style="89" customWidth="1"/>
    <col min="166" max="166" width="6.875" style="89" customWidth="1"/>
    <col min="167" max="172" width="8.125" style="89" customWidth="1"/>
    <col min="173" max="173" width="9.125" style="89" customWidth="1"/>
    <col min="174" max="181" width="11.875" style="89" customWidth="1"/>
    <col min="182" max="189" width="10.875" style="89" customWidth="1"/>
    <col min="190" max="197" width="9.875" style="89" customWidth="1"/>
    <col min="198" max="221" width="10.875" style="89" customWidth="1"/>
    <col min="222" max="222" width="12.125" style="89" customWidth="1"/>
    <col min="223" max="229" width="10.875" style="89" customWidth="1"/>
    <col min="230" max="247" width="9.875" style="89" customWidth="1"/>
    <col min="248" max="265" width="11.875" style="89" customWidth="1"/>
    <col min="266" max="274" width="10.875" style="89" customWidth="1"/>
    <col min="275" max="283" width="11.875" style="89" customWidth="1"/>
    <col min="284" max="301" width="10.875" style="89" customWidth="1"/>
    <col min="302" max="328" width="11.875" style="89" customWidth="1"/>
    <col min="329" max="329" width="12.125" style="89" customWidth="1"/>
    <col min="330" max="336" width="11.875" style="89" customWidth="1"/>
    <col min="337" max="416" width="10.875" style="89" customWidth="1"/>
    <col min="417" max="455" width="11.875" style="89" customWidth="1"/>
    <col min="456" max="456" width="11.875" style="89" bestFit="1" customWidth="1"/>
    <col min="457" max="457" width="12.125" style="89" bestFit="1" customWidth="1"/>
    <col min="458" max="16384" width="11" style="89"/>
  </cols>
  <sheetData>
    <row r="1" spans="2:40" ht="18.75">
      <c r="B1" s="90" t="s">
        <v>572</v>
      </c>
      <c r="T1" s="703" t="s">
        <v>621</v>
      </c>
      <c r="U1" s="703"/>
      <c r="V1" s="703"/>
      <c r="W1" s="703"/>
      <c r="X1" s="703"/>
      <c r="Y1" s="703"/>
      <c r="Z1" s="703"/>
      <c r="AA1" s="703"/>
      <c r="AB1" s="703"/>
      <c r="AC1" s="703"/>
      <c r="AD1" s="92"/>
      <c r="AE1" s="92"/>
      <c r="AF1" s="623"/>
      <c r="AG1" s="623"/>
      <c r="AH1" s="623"/>
      <c r="AI1" s="623"/>
      <c r="AJ1" s="623"/>
      <c r="AK1" s="623"/>
      <c r="AL1" s="623"/>
      <c r="AM1" s="623"/>
      <c r="AN1" s="623"/>
    </row>
    <row r="2" spans="2:40" ht="30">
      <c r="B2" s="216" t="s">
        <v>391</v>
      </c>
      <c r="C2" s="216" t="s">
        <v>389</v>
      </c>
      <c r="D2" s="212" t="s">
        <v>383</v>
      </c>
      <c r="E2" s="212" t="s">
        <v>384</v>
      </c>
      <c r="F2" s="213" t="s">
        <v>943</v>
      </c>
      <c r="G2" s="213" t="s">
        <v>560</v>
      </c>
      <c r="H2" s="149"/>
      <c r="I2" s="149" t="s">
        <v>386</v>
      </c>
      <c r="J2" s="149" t="s">
        <v>385</v>
      </c>
      <c r="K2" s="149" t="s">
        <v>219</v>
      </c>
      <c r="L2" s="149" t="s">
        <v>11</v>
      </c>
      <c r="M2" s="149" t="s">
        <v>218</v>
      </c>
      <c r="N2" s="149" t="s">
        <v>171</v>
      </c>
      <c r="O2" s="149" t="s">
        <v>187</v>
      </c>
      <c r="P2" s="216" t="s">
        <v>7</v>
      </c>
      <c r="T2" s="138"/>
      <c r="U2" s="706" t="s">
        <v>420</v>
      </c>
      <c r="V2" s="707"/>
      <c r="W2" s="707"/>
      <c r="X2" s="708" t="s">
        <v>536</v>
      </c>
      <c r="Y2" s="709"/>
      <c r="Z2" s="709"/>
      <c r="AA2" s="707" t="s">
        <v>7</v>
      </c>
      <c r="AB2" s="707"/>
      <c r="AC2" s="707"/>
      <c r="AD2" s="92"/>
      <c r="AE2" s="92"/>
      <c r="AF2" s="92"/>
      <c r="AG2" s="92"/>
      <c r="AH2" s="92"/>
      <c r="AI2" s="92"/>
      <c r="AJ2" s="92"/>
      <c r="AK2" s="92"/>
      <c r="AL2" s="92"/>
      <c r="AM2" s="92"/>
      <c r="AN2" s="92"/>
    </row>
    <row r="3" spans="2:40" ht="15.75">
      <c r="B3" s="57"/>
      <c r="C3" s="627" t="s">
        <v>540</v>
      </c>
      <c r="D3" s="94">
        <f>SUMIFS('AggrStep1-energy'!D$55:D$80,'AggrStep1-energy'!$B$55:$B$80,Step2!$C3)</f>
        <v>121.58713299999999</v>
      </c>
      <c r="E3" s="94">
        <f>SUMIFS('AggrStep1-energy'!E$55:E$80,'AggrStep1-energy'!$B$55:$B$80,Step2!$C3)</f>
        <v>0</v>
      </c>
      <c r="F3" s="94">
        <f>SUMIFS('AggrStep1-energy'!F$55:F$80,'AggrStep1-energy'!$B$55:$B$80,Step2!$C3)+L3</f>
        <v>37.027999999999999</v>
      </c>
      <c r="G3" s="94">
        <f>SUM(D3:F3)</f>
        <v>158.61513299999999</v>
      </c>
      <c r="I3" s="94">
        <f>SUMIFS('AggrStep1-energy'!I$55:I$80,'AggrStep1-energy'!$B$55:$B$80,Step2!$C3)</f>
        <v>0</v>
      </c>
      <c r="J3" s="94">
        <f>SUMIFS('AggrStep1-energy'!J$55:J$80,'AggrStep1-energy'!$B$55:$B$80,Step2!$C3)</f>
        <v>0</v>
      </c>
      <c r="K3" s="94">
        <f>SUMIFS('AggrStep1-energy'!K$55:K$80,'AggrStep1-energy'!$B$55:$B$80,Step2!$C3)</f>
        <v>0</v>
      </c>
      <c r="L3" s="94">
        <f>SUMIFS('AggrStep1-energy'!L$55:L$80,'AggrStep1-energy'!$B$55:$B$80,Step2!$C3)</f>
        <v>0</v>
      </c>
      <c r="M3" s="94">
        <f>SUMIFS('AggrStep1-energy'!M$55:M$80,'AggrStep1-energy'!$B$55:$B$80,Step2!$C3)</f>
        <v>0</v>
      </c>
      <c r="N3" s="94">
        <f>SUMIFS('AggrStep1-energy'!N$55:N$80,'AggrStep1-energy'!$B$55:$B$80,Step2!$C3)</f>
        <v>0</v>
      </c>
      <c r="O3" s="94">
        <f>SUMIFS('AggrStep1-energy'!O$55:O$80,'AggrStep1-energy'!$B$55:$B$80,Step2!$C3)</f>
        <v>0</v>
      </c>
      <c r="T3" s="67"/>
      <c r="U3" s="53" t="s">
        <v>419</v>
      </c>
      <c r="V3" s="53" t="s">
        <v>384</v>
      </c>
      <c r="W3" s="53" t="s">
        <v>172</v>
      </c>
      <c r="X3" s="53" t="s">
        <v>419</v>
      </c>
      <c r="Y3" s="53" t="s">
        <v>384</v>
      </c>
      <c r="Z3" s="53" t="s">
        <v>172</v>
      </c>
      <c r="AA3" s="53" t="s">
        <v>419</v>
      </c>
      <c r="AB3" s="53" t="s">
        <v>384</v>
      </c>
      <c r="AC3" s="53" t="s">
        <v>172</v>
      </c>
      <c r="AD3" s="98" t="s">
        <v>7</v>
      </c>
      <c r="AF3" s="53"/>
      <c r="AG3" s="53"/>
      <c r="AH3" s="53"/>
      <c r="AJ3" s="92"/>
      <c r="AK3" s="92"/>
      <c r="AL3" s="92"/>
      <c r="AM3" s="92"/>
      <c r="AN3" s="92"/>
    </row>
    <row r="4" spans="2:40" ht="15.75">
      <c r="C4" s="101" t="s">
        <v>199</v>
      </c>
      <c r="D4" s="94">
        <f>SUMIFS('AggrStep1-energy'!D$55:D$80,'AggrStep1-energy'!$B$55:$B$80,Step2!$C4)</f>
        <v>12.032577</v>
      </c>
      <c r="E4" s="94">
        <f>SUMIFS('AggrStep1-energy'!E$55:E$80,'AggrStep1-energy'!$B$55:$B$80,Step2!$C4)</f>
        <v>16.489000000000001</v>
      </c>
      <c r="F4" s="94">
        <f>SUMIFS('AggrStep1-energy'!F$55:F$80,'AggrStep1-energy'!$B$55:$B$80,Step2!$C4)+L4</f>
        <v>11.132000000000001</v>
      </c>
      <c r="G4" s="94">
        <f t="shared" ref="G4:G9" si="0">SUM(D4:F4)</f>
        <v>39.653576999999999</v>
      </c>
      <c r="I4" s="94">
        <f>SUMIFS('AggrStep1-energy'!I$55:I$80,'AggrStep1-energy'!$B$55:$B$80,Step2!$C4)</f>
        <v>59.526828000000002</v>
      </c>
      <c r="J4" s="94">
        <f>SUMIFS('AggrStep1-energy'!J$55:J$80,'AggrStep1-energy'!$B$55:$B$80,Step2!$C4)</f>
        <v>0</v>
      </c>
      <c r="K4" s="94">
        <f>SUMIFS('AggrStep1-energy'!K$55:K$80,'AggrStep1-energy'!$B$55:$B$80,Step2!$C4)</f>
        <v>0</v>
      </c>
      <c r="L4" s="94">
        <f>SUMIFS('AggrStep1-energy'!L$55:L$80,'AggrStep1-energy'!$B$55:$B$80,Step2!$C4)</f>
        <v>0</v>
      </c>
      <c r="M4" s="94">
        <f>SUMIFS('AggrStep1-energy'!M$55:M$80,'AggrStep1-energy'!$B$55:$B$80,Step2!$C4)</f>
        <v>0</v>
      </c>
      <c r="N4" s="94">
        <f>SUMIFS('AggrStep1-energy'!N$55:N$80,'AggrStep1-energy'!$B$55:$B$80,Step2!$C4)</f>
        <v>0</v>
      </c>
      <c r="O4" s="94">
        <f>SUMIFS('AggrStep1-energy'!O$55:O$80,'AggrStep1-energy'!$B$55:$B$80,Step2!$C4)</f>
        <v>0</v>
      </c>
      <c r="T4" s="66" t="s">
        <v>197</v>
      </c>
      <c r="U4" s="139">
        <f t="array" ref="U4:W25">TRANSPOSE([2]Step8!$AM$25:$BH$27)</f>
        <v>16281.629000000003</v>
      </c>
      <c r="V4" s="139">
        <v>5.9706494829678478</v>
      </c>
      <c r="W4" s="139">
        <v>2860.46</v>
      </c>
      <c r="X4" s="139">
        <f t="array" ref="X4:Z25">TRANSPOSE([2]Step8!$Q$70:$AL$72)</f>
        <v>59.310999999999986</v>
      </c>
      <c r="Y4" s="139">
        <v>3.7266061988958232</v>
      </c>
      <c r="Z4" s="139">
        <v>6.6579999999999977</v>
      </c>
      <c r="AA4" s="139">
        <f t="shared" ref="AA4:AC26" si="1">U4+X4</f>
        <v>16340.940000000002</v>
      </c>
      <c r="AB4" s="143">
        <f t="shared" si="1"/>
        <v>9.6972556818636715</v>
      </c>
      <c r="AC4" s="139">
        <f t="shared" si="1"/>
        <v>2867.1179999999999</v>
      </c>
      <c r="AD4" s="144">
        <f>SUM(AA4:AC4)</f>
        <v>19217.755255681866</v>
      </c>
      <c r="AF4" s="145"/>
      <c r="AG4" s="145"/>
      <c r="AH4" s="145"/>
      <c r="AJ4" s="92"/>
      <c r="AK4" s="92"/>
      <c r="AL4" s="92"/>
      <c r="AM4" s="92"/>
      <c r="AN4" s="92"/>
    </row>
    <row r="5" spans="2:40" ht="15.75">
      <c r="C5" s="101" t="s">
        <v>200</v>
      </c>
      <c r="D5" s="94">
        <f>SUMIFS('AggrStep1-energy'!D$55:D$80,'AggrStep1-energy'!$B$55:$B$80,Step2!$C5)</f>
        <v>6.8570200000000003</v>
      </c>
      <c r="E5" s="94">
        <f>SUMIFS('AggrStep1-energy'!E$55:E$80,'AggrStep1-energy'!$B$55:$B$80,Step2!$C5)</f>
        <v>32.664000000000001</v>
      </c>
      <c r="F5" s="94">
        <f>SUMIFS('AggrStep1-energy'!F$55:F$80,'AggrStep1-energy'!$B$55:$B$80,Step2!$C5)+L5</f>
        <v>10.295999999999999</v>
      </c>
      <c r="G5" s="94">
        <f t="shared" si="0"/>
        <v>49.817019999999999</v>
      </c>
      <c r="I5" s="94">
        <f>SUMIFS('AggrStep1-energy'!I$55:I$80,'AggrStep1-energy'!$B$55:$B$80,Step2!$C5)</f>
        <v>0</v>
      </c>
      <c r="J5" s="94">
        <f>SUMIFS('AggrStep1-energy'!J$55:J$80,'AggrStep1-energy'!$B$55:$B$80,Step2!$C5)</f>
        <v>0</v>
      </c>
      <c r="K5" s="94">
        <f>SUMIFS('AggrStep1-energy'!K$55:K$80,'AggrStep1-energy'!$B$55:$B$80,Step2!$C5)</f>
        <v>0</v>
      </c>
      <c r="L5" s="94">
        <f>SUMIFS('AggrStep1-energy'!L$55:L$80,'AggrStep1-energy'!$B$55:$B$80,Step2!$C5)</f>
        <v>0</v>
      </c>
      <c r="M5" s="94">
        <f>SUMIFS('AggrStep1-energy'!M$55:M$80,'AggrStep1-energy'!$B$55:$B$80,Step2!$C5)</f>
        <v>0</v>
      </c>
      <c r="N5" s="94">
        <f>SUMIFS('AggrStep1-energy'!N$55:N$80,'AggrStep1-energy'!$B$55:$B$80,Step2!$C5)</f>
        <v>0</v>
      </c>
      <c r="O5" s="94">
        <f>SUMIFS('AggrStep1-energy'!O$55:O$80,'AggrStep1-energy'!$B$55:$B$80,Step2!$C5)</f>
        <v>0</v>
      </c>
      <c r="T5" s="66" t="s">
        <v>198</v>
      </c>
      <c r="U5" s="139">
        <v>516.78899999999999</v>
      </c>
      <c r="V5" s="139">
        <v>0</v>
      </c>
      <c r="W5" s="139">
        <v>141.48400000000001</v>
      </c>
      <c r="X5" s="139">
        <v>0.60299999999999998</v>
      </c>
      <c r="Y5" s="139">
        <v>0</v>
      </c>
      <c r="Z5" s="139">
        <v>0.32900000000000001</v>
      </c>
      <c r="AA5" s="139">
        <f t="shared" si="1"/>
        <v>517.39199999999994</v>
      </c>
      <c r="AB5" s="139">
        <f t="shared" si="1"/>
        <v>0</v>
      </c>
      <c r="AC5" s="139">
        <f t="shared" si="1"/>
        <v>141.81300000000002</v>
      </c>
      <c r="AD5" s="144">
        <f t="shared" ref="AD5:AD26" si="2">SUM(AA5:AC5)</f>
        <v>659.20499999999993</v>
      </c>
      <c r="AF5" s="145"/>
      <c r="AG5" s="145"/>
      <c r="AH5" s="145"/>
      <c r="AJ5" s="92"/>
      <c r="AK5" s="92"/>
      <c r="AL5" s="92"/>
      <c r="AM5" s="92"/>
      <c r="AN5" s="92"/>
    </row>
    <row r="6" spans="2:40" ht="15.75">
      <c r="C6" s="101" t="s">
        <v>201</v>
      </c>
      <c r="D6" s="94">
        <f>SUMIFS('AggrStep1-energy'!D$55:D$80,'AggrStep1-energy'!$B$55:$B$80,Step2!$C6)</f>
        <v>10.844181000000001</v>
      </c>
      <c r="E6" s="94">
        <f>SUMIFS('AggrStep1-energy'!E$55:E$80,'AggrStep1-energy'!$B$55:$B$80,Step2!$C6)</f>
        <v>177.06700000000001</v>
      </c>
      <c r="F6" s="94">
        <f>SUMIFS('AggrStep1-energy'!F$55:F$80,'AggrStep1-energy'!$B$55:$B$80,Step2!$C6)+L6</f>
        <v>22.242000000000001</v>
      </c>
      <c r="G6" s="94">
        <f t="shared" si="0"/>
        <v>210.15318099999999</v>
      </c>
      <c r="I6" s="94">
        <f>SUMIFS('AggrStep1-energy'!I$55:I$80,'AggrStep1-energy'!$B$55:$B$80,Step2!$C6)</f>
        <v>0</v>
      </c>
      <c r="J6" s="94">
        <f>SUMIFS('AggrStep1-energy'!J$55:J$80,'AggrStep1-energy'!$B$55:$B$80,Step2!$C6)</f>
        <v>0</v>
      </c>
      <c r="K6" s="94">
        <f>SUMIFS('AggrStep1-energy'!K$55:K$80,'AggrStep1-energy'!$B$55:$B$80,Step2!$C6)</f>
        <v>0</v>
      </c>
      <c r="L6" s="94">
        <f>SUMIFS('AggrStep1-energy'!L$55:L$80,'AggrStep1-energy'!$B$55:$B$80,Step2!$C6)</f>
        <v>0</v>
      </c>
      <c r="M6" s="94">
        <f>SUMIFS('AggrStep1-energy'!M$55:M$80,'AggrStep1-energy'!$B$55:$B$80,Step2!$C6)</f>
        <v>0</v>
      </c>
      <c r="N6" s="94">
        <f>SUMIFS('AggrStep1-energy'!N$55:N$80,'AggrStep1-energy'!$B$55:$B$80,Step2!$C6)</f>
        <v>0</v>
      </c>
      <c r="O6" s="94">
        <f>SUMIFS('AggrStep1-energy'!O$55:O$80,'AggrStep1-energy'!$B$55:$B$80,Step2!$C6)</f>
        <v>0</v>
      </c>
      <c r="T6" s="66" t="s">
        <v>199</v>
      </c>
      <c r="U6" s="139">
        <v>12731.066999999999</v>
      </c>
      <c r="V6" s="139">
        <v>8031.4235318540923</v>
      </c>
      <c r="W6" s="139">
        <v>26809.036</v>
      </c>
      <c r="X6" s="139">
        <v>749.39499999999998</v>
      </c>
      <c r="Y6" s="139">
        <v>8943.7967617095019</v>
      </c>
      <c r="Z6" s="139">
        <v>54.044000000000004</v>
      </c>
      <c r="AA6" s="139">
        <f t="shared" si="1"/>
        <v>13480.462</v>
      </c>
      <c r="AB6" s="139">
        <f t="shared" si="1"/>
        <v>16975.220293563594</v>
      </c>
      <c r="AC6" s="139">
        <f t="shared" si="1"/>
        <v>26863.08</v>
      </c>
      <c r="AD6" s="144">
        <f t="shared" si="2"/>
        <v>57318.762293563595</v>
      </c>
      <c r="AF6" s="145"/>
      <c r="AG6" s="145"/>
      <c r="AH6" s="145"/>
      <c r="AJ6" s="92"/>
      <c r="AK6" s="92"/>
      <c r="AL6" s="92"/>
      <c r="AM6" s="92"/>
      <c r="AN6" s="92"/>
    </row>
    <row r="7" spans="2:40" ht="15.75">
      <c r="C7" s="101" t="s">
        <v>202</v>
      </c>
      <c r="D7" s="94">
        <f>SUMIFS('AggrStep1-energy'!D$55:D$80,'AggrStep1-energy'!$B$55:$B$80,Step2!$C7)</f>
        <v>108.61128500000001</v>
      </c>
      <c r="E7" s="94">
        <f>SUMIFS('AggrStep1-energy'!E$55:E$80,'AggrStep1-energy'!$B$55:$B$80,Step2!$C7)</f>
        <v>4.4249999999999998</v>
      </c>
      <c r="F7" s="94">
        <f>SUMIFS('AggrStep1-energy'!F$55:F$80,'AggrStep1-energy'!$B$55:$B$80,Step2!$C7)+L7</f>
        <v>36.133000000000003</v>
      </c>
      <c r="G7" s="94">
        <f t="shared" si="0"/>
        <v>149.169285</v>
      </c>
      <c r="I7" s="94">
        <f>SUMIFS('AggrStep1-energy'!I$55:I$80,'AggrStep1-energy'!$B$55:$B$80,Step2!$C7)</f>
        <v>0</v>
      </c>
      <c r="J7" s="94">
        <f>SUMIFS('AggrStep1-energy'!J$55:J$80,'AggrStep1-energy'!$B$55:$B$80,Step2!$C7)</f>
        <v>0</v>
      </c>
      <c r="K7" s="94">
        <f>SUMIFS('AggrStep1-energy'!K$55:K$80,'AggrStep1-energy'!$B$55:$B$80,Step2!$C7)</f>
        <v>0</v>
      </c>
      <c r="L7" s="94">
        <f>SUMIFS('AggrStep1-energy'!L$55:L$80,'AggrStep1-energy'!$B$55:$B$80,Step2!$C7)</f>
        <v>0</v>
      </c>
      <c r="M7" s="94">
        <f>SUMIFS('AggrStep1-energy'!M$55:M$80,'AggrStep1-energy'!$B$55:$B$80,Step2!$C7)</f>
        <v>0</v>
      </c>
      <c r="N7" s="94">
        <f>SUMIFS('AggrStep1-energy'!N$55:N$80,'AggrStep1-energy'!$B$55:$B$80,Step2!$C7)</f>
        <v>0</v>
      </c>
      <c r="O7" s="94">
        <f>SUMIFS('AggrStep1-energy'!O$55:O$80,'AggrStep1-energy'!$B$55:$B$80,Step2!$C7)</f>
        <v>0</v>
      </c>
      <c r="T7" s="66" t="s">
        <v>200</v>
      </c>
      <c r="U7" s="139">
        <v>2306.7730000000001</v>
      </c>
      <c r="V7" s="139">
        <v>2589.0442925679417</v>
      </c>
      <c r="W7" s="139">
        <v>5691.4509999999991</v>
      </c>
      <c r="X7" s="139">
        <v>223.72200000000001</v>
      </c>
      <c r="Y7" s="139">
        <v>1613.8495814901419</v>
      </c>
      <c r="Z7" s="139">
        <v>88.415000000000006</v>
      </c>
      <c r="AA7" s="139">
        <f t="shared" si="1"/>
        <v>2530.4950000000003</v>
      </c>
      <c r="AB7" s="139">
        <f t="shared" si="1"/>
        <v>4202.8938740580834</v>
      </c>
      <c r="AC7" s="139">
        <f t="shared" si="1"/>
        <v>5779.8659999999991</v>
      </c>
      <c r="AD7" s="144">
        <f t="shared" si="2"/>
        <v>12513.254874058082</v>
      </c>
      <c r="AF7" s="145"/>
      <c r="AG7" s="145"/>
      <c r="AH7" s="145"/>
      <c r="AJ7" s="92"/>
      <c r="AK7" s="92"/>
      <c r="AL7" s="92"/>
      <c r="AM7" s="92"/>
      <c r="AN7" s="92"/>
    </row>
    <row r="8" spans="2:40" ht="15.75">
      <c r="C8" s="101" t="s">
        <v>203</v>
      </c>
      <c r="D8" s="94">
        <f>SUMIFS('AggrStep1-energy'!D$55:D$80,'AggrStep1-energy'!$B$55:$B$80,Step2!$C8)</f>
        <v>71.210695000000001</v>
      </c>
      <c r="E8" s="94">
        <f>SUMIFS('AggrStep1-energy'!E$55:E$80,'AggrStep1-energy'!$B$55:$B$80,Step2!$C8)</f>
        <v>115.285</v>
      </c>
      <c r="F8" s="94">
        <f>SUMIFS('AggrStep1-energy'!F$55:F$80,'AggrStep1-energy'!$B$55:$B$80,Step2!$C8)+L8</f>
        <v>21.582000000000001</v>
      </c>
      <c r="G8" s="94">
        <f t="shared" si="0"/>
        <v>208.07769500000001</v>
      </c>
      <c r="I8" s="94">
        <f>SUMIFS('AggrStep1-energy'!I$55:I$80,'AggrStep1-energy'!$B$55:$B$80,Step2!$C8)</f>
        <v>0</v>
      </c>
      <c r="J8" s="94">
        <f>SUMIFS('AggrStep1-energy'!J$55:J$80,'AggrStep1-energy'!$B$55:$B$80,Step2!$C8)</f>
        <v>0</v>
      </c>
      <c r="K8" s="94">
        <f>SUMIFS('AggrStep1-energy'!K$55:K$80,'AggrStep1-energy'!$B$55:$B$80,Step2!$C8)</f>
        <v>0</v>
      </c>
      <c r="L8" s="94">
        <f>SUMIFS('AggrStep1-energy'!L$55:L$80,'AggrStep1-energy'!$B$55:$B$80,Step2!$C8)</f>
        <v>0</v>
      </c>
      <c r="M8" s="94">
        <f>SUMIFS('AggrStep1-energy'!M$55:M$80,'AggrStep1-energy'!$B$55:$B$80,Step2!$C8)</f>
        <v>0</v>
      </c>
      <c r="N8" s="94">
        <f>SUMIFS('AggrStep1-energy'!N$55:N$80,'AggrStep1-energy'!$B$55:$B$80,Step2!$C8)</f>
        <v>0</v>
      </c>
      <c r="O8" s="94">
        <f>SUMIFS('AggrStep1-energy'!O$55:O$80,'AggrStep1-energy'!$B$55:$B$80,Step2!$C8)</f>
        <v>0</v>
      </c>
      <c r="T8" s="66" t="s">
        <v>201</v>
      </c>
      <c r="U8" s="139">
        <v>39988.79</v>
      </c>
      <c r="V8" s="139">
        <v>15021.208104034034</v>
      </c>
      <c r="W8" s="139">
        <v>7047.6846964529095</v>
      </c>
      <c r="X8" s="139">
        <v>952.64800000000002</v>
      </c>
      <c r="Y8" s="139">
        <v>28199.995532843135</v>
      </c>
      <c r="Z8" s="139">
        <v>16.126166414771056</v>
      </c>
      <c r="AA8" s="139">
        <f t="shared" si="1"/>
        <v>40941.438000000002</v>
      </c>
      <c r="AB8" s="139">
        <f t="shared" si="1"/>
        <v>43221.203636877166</v>
      </c>
      <c r="AC8" s="139">
        <f t="shared" si="1"/>
        <v>7063.810862867681</v>
      </c>
      <c r="AD8" s="144">
        <f t="shared" si="2"/>
        <v>91226.452499744861</v>
      </c>
      <c r="AF8" s="145"/>
      <c r="AG8" s="145"/>
      <c r="AH8" s="145"/>
      <c r="AJ8" s="92"/>
      <c r="AK8" s="92"/>
      <c r="AL8" s="92"/>
      <c r="AM8" s="92"/>
      <c r="AN8" s="92"/>
    </row>
    <row r="9" spans="2:40" ht="15.75">
      <c r="C9" s="101" t="s">
        <v>206</v>
      </c>
      <c r="D9" s="94">
        <f>SUMIFS('AggrStep1-energy'!D$55:D$80,'AggrStep1-energy'!$B$55:$B$80,Step2!$C9)</f>
        <v>10.947546000000001</v>
      </c>
      <c r="E9" s="94">
        <f>SUMIFS('AggrStep1-energy'!E$55:E$80,'AggrStep1-energy'!$B$55:$B$80,Step2!$C9)</f>
        <v>0</v>
      </c>
      <c r="F9" s="94">
        <f>SUMIFS('AggrStep1-energy'!F$55:F$80,'AggrStep1-energy'!$B$55:$B$80,Step2!$C9)+L9</f>
        <v>1.7729999999999999</v>
      </c>
      <c r="G9" s="94">
        <f t="shared" si="0"/>
        <v>12.720546000000001</v>
      </c>
      <c r="I9" s="94">
        <f>SUMIFS('AggrStep1-energy'!I$55:I$80,'AggrStep1-energy'!$B$55:$B$80,Step2!$C9)</f>
        <v>0</v>
      </c>
      <c r="J9" s="94">
        <f>SUMIFS('AggrStep1-energy'!J$55:J$80,'AggrStep1-energy'!$B$55:$B$80,Step2!$C9)</f>
        <v>0</v>
      </c>
      <c r="K9" s="94">
        <f>SUMIFS('AggrStep1-energy'!K$55:K$80,'AggrStep1-energy'!$B$55:$B$80,Step2!$C9)</f>
        <v>0</v>
      </c>
      <c r="L9" s="94">
        <f>SUMIFS('AggrStep1-energy'!L$55:L$80,'AggrStep1-energy'!$B$55:$B$80,Step2!$C9)</f>
        <v>0</v>
      </c>
      <c r="M9" s="94">
        <f>SUMIFS('AggrStep1-energy'!M$55:M$80,'AggrStep1-energy'!$B$55:$B$80,Step2!$C9)</f>
        <v>0</v>
      </c>
      <c r="N9" s="94">
        <f>SUMIFS('AggrStep1-energy'!N$55:N$80,'AggrStep1-energy'!$B$55:$B$80,Step2!$C9)</f>
        <v>0</v>
      </c>
      <c r="O9" s="94">
        <f>SUMIFS('AggrStep1-energy'!O$55:O$80,'AggrStep1-energy'!$B$55:$B$80,Step2!$C9)</f>
        <v>0</v>
      </c>
      <c r="T9" s="66" t="s">
        <v>202</v>
      </c>
      <c r="U9" s="139">
        <v>1486.569</v>
      </c>
      <c r="V9" s="139">
        <v>36.139726226529376</v>
      </c>
      <c r="W9" s="139">
        <v>11459.716</v>
      </c>
      <c r="X9" s="139">
        <v>2189.8240000000001</v>
      </c>
      <c r="Y9" s="139">
        <v>51.841343832020996</v>
      </c>
      <c r="Z9" s="139">
        <v>25.635000000000002</v>
      </c>
      <c r="AA9" s="139">
        <f t="shared" si="1"/>
        <v>3676.393</v>
      </c>
      <c r="AB9" s="139">
        <f t="shared" si="1"/>
        <v>87.981070058550372</v>
      </c>
      <c r="AC9" s="139">
        <f t="shared" si="1"/>
        <v>11485.351000000001</v>
      </c>
      <c r="AD9" s="144">
        <f t="shared" si="2"/>
        <v>15249.72507005855</v>
      </c>
      <c r="AF9" s="145"/>
      <c r="AG9" s="145"/>
      <c r="AH9" s="145"/>
      <c r="AJ9" s="92"/>
      <c r="AK9" s="92"/>
      <c r="AL9" s="92"/>
      <c r="AM9" s="92"/>
      <c r="AN9" s="92"/>
    </row>
    <row r="10" spans="2:40" ht="15.75">
      <c r="B10" s="700" t="s">
        <v>387</v>
      </c>
      <c r="C10" s="101" t="s">
        <v>204</v>
      </c>
      <c r="D10" s="701">
        <f>SUMIFS('AggrStep1-energy'!D$55:D$80,'AggrStep1-energy'!$B$55:$B$80,$B$10)</f>
        <v>190.54729899999995</v>
      </c>
      <c r="E10" s="701">
        <f>SUMIFS('AggrStep1-energy'!E$55:E$80,'AggrStep1-energy'!$B$55:$B$80,$B$10)</f>
        <v>247.25300000000001</v>
      </c>
      <c r="F10" s="701">
        <f>SUMIFS('AggrStep1-energy'!F$55:F$80,'AggrStep1-energy'!$B$55:$B$80,$B$10)+L10</f>
        <v>427.82600000000002</v>
      </c>
      <c r="G10" s="701">
        <f>SUM(D10:F11)</f>
        <v>865.62629900000002</v>
      </c>
      <c r="H10" s="702"/>
      <c r="I10" s="701">
        <f>SUMIFS('AggrStep1-energy'!I$55:I$80,'AggrStep1-energy'!$B$55:$B$80,$B$10)</f>
        <v>4.2556149999999988</v>
      </c>
      <c r="J10" s="701">
        <f>SUMIFS('AggrStep1-energy'!J$55:J$80,'AggrStep1-energy'!$B$55:$B$80,$B$10)</f>
        <v>0</v>
      </c>
      <c r="K10" s="701">
        <f>SUMIFS('AggrStep1-energy'!K$55:K$80,'AggrStep1-energy'!$B$55:$B$80,$B$10)</f>
        <v>0</v>
      </c>
      <c r="L10" s="701">
        <f>SUMIFS('AggrStep1-energy'!L$55:L$80,'AggrStep1-energy'!$B$55:$B$80,$B$10)</f>
        <v>0.38100000000000001</v>
      </c>
      <c r="M10" s="701">
        <f>SUMIFS('AggrStep1-energy'!M$55:M$80,'AggrStep1-energy'!$B$55:$B$80,$B$10)</f>
        <v>0</v>
      </c>
      <c r="N10" s="701">
        <f>SUMIFS('AggrStep1-energy'!N$55:N$80,'AggrStep1-energy'!$B$55:$B$80,$B$10)</f>
        <v>0</v>
      </c>
      <c r="O10" s="701">
        <f>SUMIFS('AggrStep1-energy'!O$55:O$80,'AggrStep1-energy'!$B$55:$B$80,$B$10)</f>
        <v>0</v>
      </c>
      <c r="P10" s="702"/>
      <c r="T10" s="66" t="s">
        <v>203</v>
      </c>
      <c r="U10" s="139">
        <v>2309.3200000000002</v>
      </c>
      <c r="V10" s="139">
        <v>2733.3088366185839</v>
      </c>
      <c r="W10" s="139">
        <v>6369.0559999999996</v>
      </c>
      <c r="X10" s="139">
        <v>4763.8670000000002</v>
      </c>
      <c r="Y10" s="139">
        <v>254.02585417232382</v>
      </c>
      <c r="Z10" s="139">
        <v>54.582999999999998</v>
      </c>
      <c r="AA10" s="139">
        <f t="shared" si="1"/>
        <v>7073.1869999999999</v>
      </c>
      <c r="AB10" s="139">
        <f t="shared" si="1"/>
        <v>2987.3346907909076</v>
      </c>
      <c r="AC10" s="139">
        <f t="shared" si="1"/>
        <v>6423.6389999999992</v>
      </c>
      <c r="AD10" s="144">
        <f t="shared" si="2"/>
        <v>16484.160690790908</v>
      </c>
      <c r="AF10" s="145"/>
      <c r="AG10" s="145"/>
      <c r="AH10" s="145"/>
      <c r="AJ10" s="92"/>
      <c r="AK10" s="92"/>
      <c r="AL10" s="92"/>
      <c r="AM10" s="92"/>
      <c r="AN10" s="92"/>
    </row>
    <row r="11" spans="2:40" ht="15.75">
      <c r="B11" s="710"/>
      <c r="C11" s="101" t="s">
        <v>207</v>
      </c>
      <c r="D11" s="701"/>
      <c r="E11" s="701"/>
      <c r="F11" s="701"/>
      <c r="G11" s="701"/>
      <c r="H11" s="702"/>
      <c r="I11" s="701"/>
      <c r="J11" s="701"/>
      <c r="K11" s="701"/>
      <c r="L11" s="701"/>
      <c r="M11" s="701"/>
      <c r="N11" s="701"/>
      <c r="O11" s="701"/>
      <c r="P11" s="702"/>
      <c r="T11" s="66" t="s">
        <v>204</v>
      </c>
      <c r="U11" s="139">
        <v>6117.14</v>
      </c>
      <c r="V11" s="139">
        <v>959.19068066248633</v>
      </c>
      <c r="W11" s="139">
        <v>29556.031999999992</v>
      </c>
      <c r="X11" s="139">
        <v>1485.4820000000002</v>
      </c>
      <c r="Y11" s="139">
        <v>1216.5018493147104</v>
      </c>
      <c r="Z11" s="139">
        <v>183.346</v>
      </c>
      <c r="AA11" s="139">
        <f t="shared" si="1"/>
        <v>7602.6220000000003</v>
      </c>
      <c r="AB11" s="139">
        <f t="shared" si="1"/>
        <v>2175.6925299771965</v>
      </c>
      <c r="AC11" s="139">
        <f t="shared" si="1"/>
        <v>29739.377999999993</v>
      </c>
      <c r="AD11" s="144">
        <f t="shared" si="2"/>
        <v>39517.69252997719</v>
      </c>
      <c r="AF11" s="145"/>
      <c r="AG11" s="145"/>
      <c r="AH11" s="145"/>
      <c r="AJ11" s="92"/>
      <c r="AK11" s="92"/>
      <c r="AL11" s="92"/>
      <c r="AM11" s="92"/>
      <c r="AN11" s="92"/>
    </row>
    <row r="12" spans="2:40" ht="15.75">
      <c r="C12" s="101" t="s">
        <v>208</v>
      </c>
      <c r="D12" s="94">
        <f>SUMIFS('AggrStep1-energy'!D$55:D$80,'AggrStep1-energy'!$B$55:$B$80,Step2!$C12)</f>
        <v>127.186144</v>
      </c>
      <c r="E12" s="628">
        <f>SUMIFS('AggrStep1-energy'!E$55:E$80,'AggrStep1-energy'!$B$55:$B$80,Step2!$C12)</f>
        <v>0</v>
      </c>
      <c r="F12" s="628">
        <f>SUMIFS('AggrStep1-energy'!F$55:F$80,'AggrStep1-energy'!$B$55:$B$80,Step2!$C12)+L12</f>
        <v>0</v>
      </c>
      <c r="G12" s="94">
        <f t="shared" ref="G12:G18" si="3">SUM(D12:F12)</f>
        <v>127.186144</v>
      </c>
      <c r="I12" s="94">
        <f>SUMIFS('AggrStep1-energy'!I$55:I$80,'AggrStep1-energy'!$B$55:$B$80,Step2!$C12)</f>
        <v>0</v>
      </c>
      <c r="J12" s="94">
        <f>SUMIFS('AggrStep1-energy'!J$55:J$80,'AggrStep1-energy'!$B$55:$B$80,Step2!$C12)</f>
        <v>0</v>
      </c>
      <c r="K12" s="94">
        <f>SUMIFS('AggrStep1-energy'!K$55:K$80,'AggrStep1-energy'!$B$55:$B$80,Step2!$C12)</f>
        <v>0</v>
      </c>
      <c r="L12" s="94">
        <f>SUMIFS('AggrStep1-energy'!L$55:L$80,'AggrStep1-energy'!$B$55:$B$80,Step2!$C12)</f>
        <v>0</v>
      </c>
      <c r="M12" s="94">
        <f>SUMIFS('AggrStep1-energy'!M$55:M$80,'AggrStep1-energy'!$B$55:$B$80,Step2!$C12)</f>
        <v>0</v>
      </c>
      <c r="N12" s="94">
        <f>SUMIFS('AggrStep1-energy'!N$55:N$80,'AggrStep1-energy'!$B$55:$B$80,Step2!$C12)</f>
        <v>0</v>
      </c>
      <c r="O12" s="94">
        <f>SUMIFS('AggrStep1-energy'!O$55:O$80,'AggrStep1-energy'!$B$55:$B$80,Step2!$C12)</f>
        <v>0</v>
      </c>
      <c r="T12" s="66" t="s">
        <v>205</v>
      </c>
      <c r="U12" s="139">
        <v>14261.575999999999</v>
      </c>
      <c r="V12" s="139">
        <v>12955.328258665224</v>
      </c>
      <c r="W12" s="139">
        <v>1702.8230000000001</v>
      </c>
      <c r="X12" s="139">
        <v>32.048999999999999</v>
      </c>
      <c r="Y12" s="139">
        <v>23311.967803228406</v>
      </c>
      <c r="Z12" s="139">
        <v>3.9630000000000001</v>
      </c>
      <c r="AA12" s="139">
        <f t="shared" si="1"/>
        <v>14293.625</v>
      </c>
      <c r="AB12" s="139">
        <f t="shared" si="1"/>
        <v>36267.296061893634</v>
      </c>
      <c r="AC12" s="139">
        <f t="shared" si="1"/>
        <v>1706.7860000000001</v>
      </c>
      <c r="AD12" s="144">
        <f t="shared" si="2"/>
        <v>52267.707061893634</v>
      </c>
      <c r="AF12" s="145"/>
      <c r="AG12" s="145"/>
      <c r="AH12" s="145"/>
      <c r="AJ12" s="92"/>
      <c r="AK12" s="92"/>
      <c r="AL12" s="92"/>
      <c r="AM12" s="92"/>
      <c r="AN12" s="92"/>
    </row>
    <row r="13" spans="2:40" ht="15.75">
      <c r="C13" s="189" t="s">
        <v>541</v>
      </c>
      <c r="D13" s="94">
        <f>SUMIFS('AggrStep1-energy'!D$55:D$80,'AggrStep1-energy'!$B$55:$B$80,Step2!$C13)</f>
        <v>26.448539</v>
      </c>
      <c r="E13" s="94">
        <f>SUMIFS('AggrStep1-energy'!E$55:E$80,'AggrStep1-energy'!$B$55:$B$80,Step2!$C13)</f>
        <v>0</v>
      </c>
      <c r="F13" s="94">
        <f>SUMIFS('AggrStep1-energy'!F$55:F$80,'AggrStep1-energy'!$B$55:$B$80,Step2!$C13)+L13</f>
        <v>4.2269999999999994</v>
      </c>
      <c r="G13" s="94">
        <f t="shared" si="3"/>
        <v>30.675539000000001</v>
      </c>
      <c r="I13" s="94">
        <f>SUMIFS('AggrStep1-energy'!I$55:I$80,'AggrStep1-energy'!$B$55:$B$80,Step2!$C13)</f>
        <v>0</v>
      </c>
      <c r="J13" s="94">
        <f>SUMIFS('AggrStep1-energy'!J$55:J$80,'AggrStep1-energy'!$B$55:$B$80,Step2!$C13)</f>
        <v>0</v>
      </c>
      <c r="K13" s="94">
        <f>SUMIFS('AggrStep1-energy'!K$55:K$80,'AggrStep1-energy'!$B$55:$B$80,Step2!$C13)</f>
        <v>0</v>
      </c>
      <c r="L13" s="94">
        <f>SUMIFS('AggrStep1-energy'!L$55:L$80,'AggrStep1-energy'!$B$55:$B$80,Step2!$C13)</f>
        <v>0</v>
      </c>
      <c r="M13" s="94">
        <f>SUMIFS('AggrStep1-energy'!M$55:M$80,'AggrStep1-energy'!$B$55:$B$80,Step2!$C13)</f>
        <v>0</v>
      </c>
      <c r="N13" s="94">
        <f>SUMIFS('AggrStep1-energy'!N$55:N$80,'AggrStep1-energy'!$B$55:$B$80,Step2!$C13)</f>
        <v>0</v>
      </c>
      <c r="O13" s="94">
        <f>SUMIFS('AggrStep1-energy'!O$55:O$80,'AggrStep1-energy'!$B$55:$B$80,Step2!$C13)</f>
        <v>0</v>
      </c>
      <c r="T13" s="66" t="s">
        <v>206</v>
      </c>
      <c r="U13" s="139">
        <v>30907.031999999996</v>
      </c>
      <c r="V13" s="139">
        <v>1073.2348304259431</v>
      </c>
      <c r="W13" s="139">
        <v>1634.4839999999999</v>
      </c>
      <c r="X13" s="139">
        <v>862.26799999999992</v>
      </c>
      <c r="Y13" s="139">
        <v>604.0613743911822</v>
      </c>
      <c r="Z13" s="139">
        <v>3.6799999999999993</v>
      </c>
      <c r="AA13" s="139">
        <f t="shared" si="1"/>
        <v>31769.299999999996</v>
      </c>
      <c r="AB13" s="139">
        <f t="shared" si="1"/>
        <v>1677.2962048171253</v>
      </c>
      <c r="AC13" s="139">
        <f t="shared" si="1"/>
        <v>1638.164</v>
      </c>
      <c r="AD13" s="144">
        <f t="shared" si="2"/>
        <v>35084.760204817117</v>
      </c>
      <c r="AF13" s="145"/>
      <c r="AG13" s="145"/>
      <c r="AH13" s="145"/>
      <c r="AJ13" s="92"/>
      <c r="AK13" s="92"/>
      <c r="AL13" s="92"/>
      <c r="AM13" s="92"/>
      <c r="AN13" s="92"/>
    </row>
    <row r="14" spans="2:40" ht="15.75">
      <c r="C14" s="101" t="s">
        <v>210</v>
      </c>
      <c r="D14" s="94">
        <f>SUMIFS('AggrStep1-energy'!D$55:D$80,'AggrStep1-energy'!$B$55:$B$80,Step2!$C14)</f>
        <v>28.755616999999997</v>
      </c>
      <c r="E14" s="94">
        <f>SUMIFS('AggrStep1-energy'!E$55:E$80,'AggrStep1-energy'!$B$55:$B$80,Step2!$C14)</f>
        <v>0</v>
      </c>
      <c r="F14" s="94">
        <f>SUMIFS('AggrStep1-energy'!F$55:F$80,'AggrStep1-energy'!$B$55:$B$80,Step2!$C14)+L14</f>
        <v>0</v>
      </c>
      <c r="G14" s="94">
        <f t="shared" si="3"/>
        <v>28.755616999999997</v>
      </c>
      <c r="I14" s="94">
        <f>SUMIFS('AggrStep1-energy'!I$55:I$80,'AggrStep1-energy'!$B$55:$B$80,Step2!$C14)</f>
        <v>0</v>
      </c>
      <c r="J14" s="94">
        <f>SUMIFS('AggrStep1-energy'!J$55:J$80,'AggrStep1-energy'!$B$55:$B$80,Step2!$C14)</f>
        <v>0</v>
      </c>
      <c r="K14" s="94">
        <f>SUMIFS('AggrStep1-energy'!K$55:K$80,'AggrStep1-energy'!$B$55:$B$80,Step2!$C14)</f>
        <v>0</v>
      </c>
      <c r="L14" s="94">
        <f>SUMIFS('AggrStep1-energy'!L$55:L$80,'AggrStep1-energy'!$B$55:$B$80,Step2!$C14)</f>
        <v>0</v>
      </c>
      <c r="M14" s="94">
        <f>SUMIFS('AggrStep1-energy'!M$55:M$80,'AggrStep1-energy'!$B$55:$B$80,Step2!$C14)</f>
        <v>0</v>
      </c>
      <c r="N14" s="94">
        <f>SUMIFS('AggrStep1-energy'!N$55:N$80,'AggrStep1-energy'!$B$55:$B$80,Step2!$C14)</f>
        <v>0</v>
      </c>
      <c r="O14" s="94">
        <f>SUMIFS('AggrStep1-energy'!O$55:O$80,'AggrStep1-energy'!$B$55:$B$80,Step2!$C14)</f>
        <v>0</v>
      </c>
      <c r="T14" s="66" t="s">
        <v>207</v>
      </c>
      <c r="U14" s="139">
        <v>49110.353999999985</v>
      </c>
      <c r="V14" s="139">
        <v>7796.7201667973841</v>
      </c>
      <c r="W14" s="139">
        <v>77773.725999999981</v>
      </c>
      <c r="X14" s="139">
        <v>1856.8489999999999</v>
      </c>
      <c r="Y14" s="139">
        <v>8766.9586793796607</v>
      </c>
      <c r="Z14" s="139">
        <v>337.76800000000009</v>
      </c>
      <c r="AA14" s="139">
        <f t="shared" si="1"/>
        <v>50967.202999999987</v>
      </c>
      <c r="AB14" s="139">
        <f t="shared" si="1"/>
        <v>16563.678846177045</v>
      </c>
      <c r="AC14" s="139">
        <f t="shared" si="1"/>
        <v>78111.493999999977</v>
      </c>
      <c r="AD14" s="144">
        <f t="shared" si="2"/>
        <v>145642.37584617699</v>
      </c>
      <c r="AF14" s="145"/>
      <c r="AG14" s="145"/>
      <c r="AH14" s="145"/>
      <c r="AJ14" s="92"/>
      <c r="AK14" s="92"/>
      <c r="AL14" s="92"/>
      <c r="AM14" s="92"/>
      <c r="AN14" s="92"/>
    </row>
    <row r="15" spans="2:40" ht="15.75">
      <c r="C15" s="627" t="s">
        <v>544</v>
      </c>
      <c r="D15" s="94">
        <f>SUMIFS('AggrStep1-energy'!D$55:D$80,'AggrStep1-energy'!$B$55:$B$80,Step2!$C15)</f>
        <v>2073.7818500000003</v>
      </c>
      <c r="E15" s="94">
        <f>SUMIFS('AggrStep1-energy'!E$55:E$80,'AggrStep1-energy'!$B$55:$B$80,Step2!$C15)</f>
        <v>0.86699999999999999</v>
      </c>
      <c r="F15" s="94">
        <f>SUMIFS('AggrStep1-energy'!F$55:F$80,'AggrStep1-energy'!$B$55:$B$80,Step2!$C15)+L15</f>
        <v>0</v>
      </c>
      <c r="G15" s="94">
        <f t="shared" si="3"/>
        <v>2074.6488500000005</v>
      </c>
      <c r="I15" s="94">
        <f>SUMIFS('AggrStep1-energy'!I$55:I$80,'AggrStep1-energy'!$B$55:$B$80,Step2!$C15)</f>
        <v>0</v>
      </c>
      <c r="J15" s="94">
        <f>SUMIFS('AggrStep1-energy'!J$55:J$80,'AggrStep1-energy'!$B$55:$B$80,Step2!$C15)</f>
        <v>0</v>
      </c>
      <c r="K15" s="94">
        <f>SUMIFS('AggrStep1-energy'!K$55:K$80,'AggrStep1-energy'!$B$55:$B$80,Step2!$C15)</f>
        <v>0</v>
      </c>
      <c r="L15" s="94">
        <f>SUMIFS('AggrStep1-energy'!L$55:L$80,'AggrStep1-energy'!$B$55:$B$80,Step2!$C15)</f>
        <v>0</v>
      </c>
      <c r="M15" s="94">
        <f>SUMIFS('AggrStep1-energy'!M$55:M$80,'AggrStep1-energy'!$B$55:$B$80,Step2!$C15)</f>
        <v>0</v>
      </c>
      <c r="N15" s="94">
        <f>SUMIFS('AggrStep1-energy'!N$55:N$80,'AggrStep1-energy'!$B$55:$B$80,Step2!$C15)</f>
        <v>0</v>
      </c>
      <c r="O15" s="94">
        <f>SUMIFS('AggrStep1-energy'!O$55:O$80,'AggrStep1-energy'!$B$55:$B$80,Step2!$C15)</f>
        <v>0</v>
      </c>
      <c r="T15" s="66" t="s">
        <v>208</v>
      </c>
      <c r="U15" s="139">
        <v>34208.651000000005</v>
      </c>
      <c r="V15" s="139">
        <v>8.2100000000000009</v>
      </c>
      <c r="W15" s="139">
        <v>728.29300000000001</v>
      </c>
      <c r="X15" s="139">
        <v>439.94299999999998</v>
      </c>
      <c r="Y15" s="139">
        <v>11.154</v>
      </c>
      <c r="Z15" s="139">
        <v>1.6950000000000001</v>
      </c>
      <c r="AA15" s="139">
        <f t="shared" si="1"/>
        <v>34648.594000000005</v>
      </c>
      <c r="AB15" s="139">
        <f t="shared" si="1"/>
        <v>19.364000000000001</v>
      </c>
      <c r="AC15" s="139">
        <f t="shared" si="1"/>
        <v>729.98800000000006</v>
      </c>
      <c r="AD15" s="144">
        <f t="shared" si="2"/>
        <v>35397.946000000004</v>
      </c>
      <c r="AF15" s="145"/>
      <c r="AG15" s="145"/>
      <c r="AH15" s="145"/>
      <c r="AJ15" s="92"/>
      <c r="AK15" s="92"/>
      <c r="AL15" s="92"/>
      <c r="AM15" s="92"/>
      <c r="AN15" s="92"/>
    </row>
    <row r="16" spans="2:40" ht="15.75">
      <c r="C16" s="101" t="s">
        <v>214</v>
      </c>
      <c r="D16" s="94">
        <f>SUMIFS('AggrStep1-energy'!D$55:D$80,'AggrStep1-energy'!$B$55:$B$80,Step2!$C16)</f>
        <v>69.427137000000002</v>
      </c>
      <c r="E16" s="94">
        <f>SUMIFS('AggrStep1-energy'!E$55:E$80,'AggrStep1-energy'!$B$55:$B$80,Step2!$C16)</f>
        <v>11.097</v>
      </c>
      <c r="F16" s="94">
        <f>SUMIFS('AggrStep1-energy'!F$55:F$80,'AggrStep1-energy'!$B$55:$B$80,Step2!$C16)+L16</f>
        <v>52.900000000000006</v>
      </c>
      <c r="G16" s="94">
        <f t="shared" si="3"/>
        <v>133.424137</v>
      </c>
      <c r="I16" s="94">
        <f>SUMIFS('AggrStep1-energy'!I$55:I$80,'AggrStep1-energy'!$B$55:$B$80,Step2!$C16)</f>
        <v>0</v>
      </c>
      <c r="J16" s="94">
        <f>SUMIFS('AggrStep1-energy'!J$55:J$80,'AggrStep1-energy'!$B$55:$B$80,Step2!$C16)</f>
        <v>0</v>
      </c>
      <c r="K16" s="94">
        <f>SUMIFS('AggrStep1-energy'!K$55:K$80,'AggrStep1-energy'!$B$55:$B$80,Step2!$C16)</f>
        <v>0</v>
      </c>
      <c r="L16" s="94">
        <f>SUMIFS('AggrStep1-energy'!L$55:L$80,'AggrStep1-energy'!$B$55:$B$80,Step2!$C16)</f>
        <v>2.819</v>
      </c>
      <c r="M16" s="94">
        <f>SUMIFS('AggrStep1-energy'!M$55:M$80,'AggrStep1-energy'!$B$55:$B$80,Step2!$C16)</f>
        <v>0</v>
      </c>
      <c r="N16" s="94">
        <f>SUMIFS('AggrStep1-energy'!N$55:N$80,'AggrStep1-energy'!$B$55:$B$80,Step2!$C16)</f>
        <v>0</v>
      </c>
      <c r="O16" s="94">
        <f>SUMIFS('AggrStep1-energy'!O$55:O$80,'AggrStep1-energy'!$B$55:$B$80,Step2!$C16)</f>
        <v>0</v>
      </c>
      <c r="T16" s="66" t="s">
        <v>209</v>
      </c>
      <c r="U16" s="139">
        <v>7607.076</v>
      </c>
      <c r="V16" s="139">
        <v>0</v>
      </c>
      <c r="W16" s="139">
        <v>39.372</v>
      </c>
      <c r="X16" s="139">
        <v>97.722000000000008</v>
      </c>
      <c r="Y16" s="139">
        <v>0</v>
      </c>
      <c r="Z16" s="139">
        <v>9.1000000000000011E-2</v>
      </c>
      <c r="AA16" s="139">
        <f t="shared" si="1"/>
        <v>7704.7979999999998</v>
      </c>
      <c r="AB16" s="139">
        <f t="shared" si="1"/>
        <v>0</v>
      </c>
      <c r="AC16" s="139">
        <f t="shared" si="1"/>
        <v>39.463000000000001</v>
      </c>
      <c r="AD16" s="144">
        <f t="shared" si="2"/>
        <v>7744.2609999999995</v>
      </c>
      <c r="AF16" s="145"/>
      <c r="AG16" s="145"/>
      <c r="AH16" s="145"/>
      <c r="AJ16" s="92"/>
      <c r="AK16" s="92"/>
      <c r="AL16" s="92"/>
      <c r="AM16" s="92"/>
      <c r="AN16" s="92"/>
    </row>
    <row r="17" spans="2:457" ht="15.75">
      <c r="C17" s="189" t="s">
        <v>542</v>
      </c>
      <c r="D17" s="94">
        <f>SUMIFS('AggrStep1-energy'!D$55:D$80,'AggrStep1-energy'!$B$55:$B$80,Step2!$C17)</f>
        <v>0</v>
      </c>
      <c r="E17" s="94">
        <f>SUMIFS('AggrStep1-energy'!E$55:E$80,'AggrStep1-energy'!$B$55:$B$80,Step2!$C17)</f>
        <v>0</v>
      </c>
      <c r="F17" s="94">
        <f>SUMIFS('AggrStep1-energy'!F$55:F$80,'AggrStep1-energy'!$B$55:$B$80,Step2!$C17)+L17</f>
        <v>33.427</v>
      </c>
      <c r="G17" s="94">
        <f t="shared" si="3"/>
        <v>33.427</v>
      </c>
      <c r="I17" s="94">
        <f>SUMIFS('AggrStep1-energy'!I$55:I$80,'AggrStep1-energy'!$B$55:$B$80,Step2!$C17)</f>
        <v>0</v>
      </c>
      <c r="J17" s="94">
        <f>SUMIFS('AggrStep1-energy'!J$55:J$80,'AggrStep1-energy'!$B$55:$B$80,Step2!$C17)</f>
        <v>0</v>
      </c>
      <c r="K17" s="94">
        <f>SUMIFS('AggrStep1-energy'!K$55:K$80,'AggrStep1-energy'!$B$55:$B$80,Step2!$C17)</f>
        <v>0</v>
      </c>
      <c r="L17" s="94">
        <f>SUMIFS('AggrStep1-energy'!L$55:L$80,'AggrStep1-energy'!$B$55:$B$80,Step2!$C17)</f>
        <v>0</v>
      </c>
      <c r="M17" s="94">
        <f>SUMIFS('AggrStep1-energy'!M$55:M$80,'AggrStep1-energy'!$B$55:$B$80,Step2!$C17)</f>
        <v>0</v>
      </c>
      <c r="N17" s="94">
        <f>SUMIFS('AggrStep1-energy'!N$55:N$80,'AggrStep1-energy'!$B$55:$B$80,Step2!$C17)</f>
        <v>0</v>
      </c>
      <c r="O17" s="94">
        <f>SUMIFS('AggrStep1-energy'!O$55:O$80,'AggrStep1-energy'!$B$55:$B$80,Step2!$C17)</f>
        <v>0</v>
      </c>
      <c r="T17" s="66" t="s">
        <v>210</v>
      </c>
      <c r="U17" s="139">
        <v>1141.748</v>
      </c>
      <c r="V17" s="139">
        <v>3.1160000000000001</v>
      </c>
      <c r="W17" s="139">
        <v>104.24799999999999</v>
      </c>
      <c r="X17" s="139">
        <v>6.3380000000000001</v>
      </c>
      <c r="Y17" s="139">
        <v>4.234</v>
      </c>
      <c r="Z17" s="139">
        <v>0.24099999999999999</v>
      </c>
      <c r="AA17" s="139">
        <f t="shared" si="1"/>
        <v>1148.086</v>
      </c>
      <c r="AB17" s="139">
        <f t="shared" si="1"/>
        <v>7.35</v>
      </c>
      <c r="AC17" s="139">
        <f t="shared" si="1"/>
        <v>104.48899999999999</v>
      </c>
      <c r="AD17" s="144">
        <f t="shared" si="2"/>
        <v>1259.925</v>
      </c>
      <c r="AF17" s="145"/>
      <c r="AG17" s="145"/>
      <c r="AH17" s="145"/>
      <c r="AJ17" s="92"/>
      <c r="AK17" s="92"/>
      <c r="AL17" s="92"/>
      <c r="AM17" s="92"/>
      <c r="AN17" s="92"/>
    </row>
    <row r="18" spans="2:457" ht="15.75">
      <c r="C18" s="625" t="s">
        <v>942</v>
      </c>
      <c r="D18" s="94">
        <f>SUMIFS('AggrStep1-energy'!D$55:D$80,'AggrStep1-energy'!$B$55:$B$80,Step2!$C18)</f>
        <v>258.308876</v>
      </c>
      <c r="E18" s="94">
        <f>SUMIFS('AggrStep1-energy'!E$55:E$80,'AggrStep1-energy'!$B$55:$B$80,Step2!$C18)</f>
        <v>33.802999999999997</v>
      </c>
      <c r="F18" s="94">
        <f>SUMIFS('AggrStep1-energy'!F$55:F$80,'AggrStep1-energy'!$B$55:$B$80,Step2!$C18)+L18</f>
        <v>195.17500000000001</v>
      </c>
      <c r="G18" s="94">
        <f t="shared" si="3"/>
        <v>487.28687600000001</v>
      </c>
      <c r="H18" s="632"/>
      <c r="I18" s="94">
        <f>SUMIFS('AggrStep1-energy'!I$55:I$80,'AggrStep1-energy'!$B$55:$B$80,Step2!$C18)</f>
        <v>255.42239699999999</v>
      </c>
      <c r="J18" s="94">
        <f>SUMIFS('AggrStep1-energy'!J$55:J$80,'AggrStep1-energy'!$B$55:$B$80,Step2!$C18)</f>
        <v>0</v>
      </c>
      <c r="K18" s="94">
        <f>SUMIFS('AggrStep1-energy'!K$55:K$80,'AggrStep1-energy'!$B$55:$B$80,Step2!$C18)</f>
        <v>0</v>
      </c>
      <c r="L18" s="94">
        <f>SUMIFS('AggrStep1-energy'!L$55:L$80,'AggrStep1-energy'!$B$55:$B$80,Step2!$C18)</f>
        <v>4.0359999999999996</v>
      </c>
      <c r="M18" s="94">
        <f>SUMIFS('AggrStep1-energy'!M$55:M$80,'AggrStep1-energy'!$B$55:$B$80,Step2!$C18)</f>
        <v>0</v>
      </c>
      <c r="N18" s="94">
        <f>SUMIFS('AggrStep1-energy'!N$55:N$80,'AggrStep1-energy'!$B$55:$B$80,Step2!$C18)</f>
        <v>0</v>
      </c>
      <c r="O18" s="94">
        <f>SUMIFS('AggrStep1-energy'!O$55:O$80,'AggrStep1-energy'!$B$55:$B$80,Step2!$C18)</f>
        <v>0</v>
      </c>
      <c r="P18" s="632"/>
      <c r="T18" s="66" t="s">
        <v>211</v>
      </c>
      <c r="U18" s="139">
        <v>62477.72</v>
      </c>
      <c r="V18" s="139">
        <v>49.407039999999995</v>
      </c>
      <c r="W18" s="139">
        <v>1340.5</v>
      </c>
      <c r="X18" s="139">
        <v>42613.156000000003</v>
      </c>
      <c r="Y18" s="139">
        <v>67.126829999999998</v>
      </c>
      <c r="Z18" s="139">
        <v>3.169</v>
      </c>
      <c r="AA18" s="139">
        <f t="shared" si="1"/>
        <v>105090.876</v>
      </c>
      <c r="AB18" s="139">
        <f t="shared" si="1"/>
        <v>116.53386999999999</v>
      </c>
      <c r="AC18" s="139">
        <f t="shared" si="1"/>
        <v>1343.6690000000001</v>
      </c>
      <c r="AD18" s="144">
        <f t="shared" si="2"/>
        <v>106551.07887</v>
      </c>
      <c r="AF18" s="145"/>
      <c r="AG18" s="145"/>
      <c r="AH18" s="145"/>
      <c r="AJ18" s="92"/>
      <c r="AK18" s="92"/>
      <c r="AL18" s="92"/>
      <c r="AM18" s="92"/>
      <c r="AN18" s="92"/>
    </row>
    <row r="19" spans="2:457" ht="15.75">
      <c r="C19" s="90" t="s">
        <v>368</v>
      </c>
      <c r="D19" s="95">
        <f>SUM(D3:D18)</f>
        <v>3116.5458990000002</v>
      </c>
      <c r="E19" s="103">
        <f t="shared" ref="E19" si="4">SUM(E3:E18)</f>
        <v>638.95000000000005</v>
      </c>
      <c r="F19" s="634">
        <f>SUM(F3:F18)</f>
        <v>853.74099999999999</v>
      </c>
      <c r="G19" s="634">
        <f>SUM(G3:G18)</f>
        <v>4609.2368990000004</v>
      </c>
      <c r="H19" s="632"/>
      <c r="I19" s="95">
        <f>SUM(I3:I18)</f>
        <v>319.20483999999999</v>
      </c>
      <c r="J19" s="95">
        <f t="shared" ref="J19:O19" si="5">SUM(J3:J18)</f>
        <v>0</v>
      </c>
      <c r="K19" s="95">
        <f t="shared" si="5"/>
        <v>0</v>
      </c>
      <c r="L19" s="95">
        <f t="shared" si="5"/>
        <v>7.2359999999999998</v>
      </c>
      <c r="M19" s="95">
        <f t="shared" si="5"/>
        <v>0</v>
      </c>
      <c r="N19" s="95">
        <f t="shared" si="5"/>
        <v>0</v>
      </c>
      <c r="O19" s="95">
        <f t="shared" si="5"/>
        <v>0</v>
      </c>
      <c r="P19" s="632"/>
      <c r="T19" s="66" t="s">
        <v>212</v>
      </c>
      <c r="U19" s="139">
        <v>120540.09299999999</v>
      </c>
      <c r="V19" s="139">
        <v>68.727239999999995</v>
      </c>
      <c r="W19" s="139">
        <v>1718.752</v>
      </c>
      <c r="X19" s="139">
        <v>3451.8700000000003</v>
      </c>
      <c r="Y19" s="139">
        <v>93.376180000000019</v>
      </c>
      <c r="Z19" s="139">
        <v>3.9979999999999998</v>
      </c>
      <c r="AA19" s="139">
        <f t="shared" si="1"/>
        <v>123991.96299999999</v>
      </c>
      <c r="AB19" s="139">
        <f t="shared" si="1"/>
        <v>162.10342000000003</v>
      </c>
      <c r="AC19" s="139">
        <f t="shared" si="1"/>
        <v>1722.75</v>
      </c>
      <c r="AD19" s="144">
        <f t="shared" si="2"/>
        <v>125876.81641999999</v>
      </c>
      <c r="AF19" s="145"/>
      <c r="AG19" s="145"/>
      <c r="AH19" s="145"/>
      <c r="AJ19" s="92"/>
      <c r="AK19" s="92"/>
      <c r="AL19" s="92"/>
      <c r="AM19" s="92"/>
      <c r="AN19" s="92"/>
    </row>
    <row r="20" spans="2:457" ht="15.75">
      <c r="C20" s="90"/>
      <c r="D20" s="95"/>
      <c r="E20" s="103"/>
      <c r="F20" s="634"/>
      <c r="G20" s="634"/>
      <c r="H20" s="632"/>
      <c r="I20" s="95"/>
      <c r="J20" s="95"/>
      <c r="K20" s="95"/>
      <c r="L20" s="95"/>
      <c r="M20" s="95"/>
      <c r="N20" s="95"/>
      <c r="O20" s="95"/>
      <c r="P20" s="632"/>
      <c r="T20" s="66" t="s">
        <v>213</v>
      </c>
      <c r="U20" s="139">
        <v>603.56499999999994</v>
      </c>
      <c r="V20" s="139">
        <v>2.7269700000000001</v>
      </c>
      <c r="W20" s="139">
        <v>168.89699999999999</v>
      </c>
      <c r="X20" s="139">
        <v>20.029999999999998</v>
      </c>
      <c r="Y20" s="139">
        <v>1.57419</v>
      </c>
      <c r="Z20" s="139">
        <v>0.34499999999999997</v>
      </c>
      <c r="AA20" s="139">
        <f t="shared" si="1"/>
        <v>623.59499999999991</v>
      </c>
      <c r="AB20" s="139">
        <f t="shared" si="1"/>
        <v>4.3011600000000003</v>
      </c>
      <c r="AC20" s="139">
        <f t="shared" si="1"/>
        <v>169.24199999999999</v>
      </c>
      <c r="AD20" s="144">
        <f t="shared" si="2"/>
        <v>797.13815999999986</v>
      </c>
      <c r="AF20" s="145"/>
      <c r="AG20" s="145"/>
      <c r="AH20" s="145"/>
      <c r="AJ20" s="92"/>
      <c r="AK20" s="92"/>
      <c r="AL20" s="92"/>
      <c r="AM20" s="92"/>
      <c r="AN20" s="92"/>
    </row>
    <row r="21" spans="2:457" ht="15.75">
      <c r="C21" s="637" t="s">
        <v>211</v>
      </c>
      <c r="D21" s="641">
        <f>D$15*Y51</f>
        <v>950.45751023019739</v>
      </c>
      <c r="E21" s="641">
        <f t="shared" ref="E21:F23" si="6">E$15*Z51</f>
        <v>0</v>
      </c>
      <c r="F21" s="641">
        <f t="shared" si="6"/>
        <v>0</v>
      </c>
      <c r="G21" s="94">
        <f t="shared" ref="G21:G23" si="7">SUM(D21:F21)</f>
        <v>950.45751023019739</v>
      </c>
      <c r="H21" s="632"/>
      <c r="I21" s="95"/>
      <c r="J21" s="95"/>
      <c r="K21" s="95"/>
      <c r="L21" s="95"/>
      <c r="M21" s="95"/>
      <c r="N21" s="95"/>
      <c r="O21" s="95"/>
      <c r="P21" s="632"/>
      <c r="T21" s="66" t="s">
        <v>214</v>
      </c>
      <c r="U21" s="139">
        <v>71886.799000000014</v>
      </c>
      <c r="V21" s="139">
        <v>906.27792000000022</v>
      </c>
      <c r="W21" s="139">
        <v>85005.48900000006</v>
      </c>
      <c r="X21" s="139">
        <v>1294.8979999999992</v>
      </c>
      <c r="Y21" s="139">
        <v>1568.2868799999999</v>
      </c>
      <c r="Z21" s="139">
        <v>196.09000000000003</v>
      </c>
      <c r="AA21" s="139">
        <f t="shared" si="1"/>
        <v>73181.697000000015</v>
      </c>
      <c r="AB21" s="139">
        <f t="shared" si="1"/>
        <v>2474.5648000000001</v>
      </c>
      <c r="AC21" s="139">
        <f t="shared" si="1"/>
        <v>85201.579000000056</v>
      </c>
      <c r="AD21" s="144">
        <f t="shared" si="2"/>
        <v>160857.84080000006</v>
      </c>
      <c r="AF21" s="145"/>
      <c r="AG21" s="145"/>
      <c r="AH21" s="145"/>
      <c r="AJ21" s="92"/>
      <c r="AK21" s="92"/>
      <c r="AL21" s="92"/>
      <c r="AM21" s="92"/>
      <c r="AN21" s="92"/>
    </row>
    <row r="22" spans="2:457" ht="15.75">
      <c r="C22" s="637" t="s">
        <v>944</v>
      </c>
      <c r="D22" s="641">
        <f t="shared" ref="D22:D23" si="8">D$15*Y52</f>
        <v>111.93394060926772</v>
      </c>
      <c r="E22" s="641">
        <f t="shared" si="6"/>
        <v>0</v>
      </c>
      <c r="F22" s="641">
        <f t="shared" si="6"/>
        <v>0</v>
      </c>
      <c r="G22" s="94">
        <f t="shared" si="7"/>
        <v>111.93394060926772</v>
      </c>
      <c r="H22" s="632"/>
      <c r="I22" s="95"/>
      <c r="J22" s="95"/>
      <c r="K22" s="95"/>
      <c r="L22" s="95"/>
      <c r="M22" s="95"/>
      <c r="N22" s="95"/>
      <c r="O22" s="95"/>
      <c r="P22" s="632"/>
      <c r="T22" s="66" t="s">
        <v>215</v>
      </c>
      <c r="U22" s="139">
        <v>14162.569</v>
      </c>
      <c r="V22" s="139">
        <v>0</v>
      </c>
      <c r="W22" s="139">
        <v>14479.469000000001</v>
      </c>
      <c r="X22" s="139">
        <v>143.16899999999998</v>
      </c>
      <c r="Y22" s="139">
        <v>0</v>
      </c>
      <c r="Z22" s="139">
        <v>58.888999999999996</v>
      </c>
      <c r="AA22" s="139">
        <f t="shared" si="1"/>
        <v>14305.737999999999</v>
      </c>
      <c r="AB22" s="139">
        <f t="shared" si="1"/>
        <v>0</v>
      </c>
      <c r="AC22" s="139">
        <f t="shared" si="1"/>
        <v>14538.358</v>
      </c>
      <c r="AD22" s="144">
        <f t="shared" si="2"/>
        <v>28844.095999999998</v>
      </c>
      <c r="AF22" s="145"/>
      <c r="AG22" s="145"/>
      <c r="AH22" s="145"/>
      <c r="AJ22" s="92"/>
      <c r="AK22" s="92"/>
      <c r="AL22" s="92"/>
      <c r="AM22" s="92"/>
      <c r="AN22" s="92"/>
    </row>
    <row r="23" spans="2:457" ht="15.75">
      <c r="C23" s="89" t="s">
        <v>378</v>
      </c>
      <c r="D23" s="641">
        <f t="shared" si="8"/>
        <v>1011.3903991605353</v>
      </c>
      <c r="E23" s="641">
        <f t="shared" si="6"/>
        <v>0</v>
      </c>
      <c r="F23" s="641">
        <f t="shared" si="6"/>
        <v>0</v>
      </c>
      <c r="G23" s="94">
        <f t="shared" si="7"/>
        <v>1011.3903991605353</v>
      </c>
      <c r="H23" s="632"/>
      <c r="I23" s="95"/>
      <c r="J23" s="95"/>
      <c r="K23" s="95"/>
      <c r="L23" s="95"/>
      <c r="M23" s="95"/>
      <c r="N23" s="95"/>
      <c r="O23" s="95"/>
      <c r="P23" s="632"/>
      <c r="T23" s="66" t="s">
        <v>216</v>
      </c>
      <c r="U23" s="139">
        <v>7444.2049999999999</v>
      </c>
      <c r="V23" s="139">
        <v>60570.934552815132</v>
      </c>
      <c r="W23" s="139">
        <v>755.84900000000005</v>
      </c>
      <c r="X23" s="139">
        <v>328415.43699999998</v>
      </c>
      <c r="Y23" s="139">
        <v>6751.2572386257489</v>
      </c>
      <c r="Z23" s="139">
        <v>1.76</v>
      </c>
      <c r="AA23" s="139">
        <f t="shared" si="1"/>
        <v>335859.64199999999</v>
      </c>
      <c r="AB23" s="139">
        <f t="shared" si="1"/>
        <v>67322.191791440884</v>
      </c>
      <c r="AC23" s="139">
        <f t="shared" si="1"/>
        <v>757.60900000000004</v>
      </c>
      <c r="AD23" s="144">
        <f t="shared" si="2"/>
        <v>403939.44279144087</v>
      </c>
      <c r="AF23" s="145"/>
      <c r="AG23" s="145"/>
      <c r="AH23" s="145"/>
      <c r="AJ23" s="92"/>
      <c r="AK23" s="92"/>
      <c r="AL23" s="92"/>
      <c r="AM23" s="92"/>
      <c r="AN23" s="92"/>
    </row>
    <row r="24" spans="2:457" ht="15.75">
      <c r="C24" s="90" t="s">
        <v>7</v>
      </c>
      <c r="D24" s="95">
        <f>SUM(D21:D23)</f>
        <v>2073.7818500000003</v>
      </c>
      <c r="E24" s="95">
        <f t="shared" ref="E24:G24" si="9">SUM(E21:E23)</f>
        <v>0</v>
      </c>
      <c r="F24" s="95">
        <f t="shared" si="9"/>
        <v>0</v>
      </c>
      <c r="G24" s="95">
        <f t="shared" si="9"/>
        <v>2073.7818500000003</v>
      </c>
      <c r="H24" s="632"/>
      <c r="I24" s="632"/>
      <c r="J24" s="632"/>
      <c r="K24" s="632"/>
      <c r="L24" s="632"/>
      <c r="M24" s="632"/>
      <c r="N24" s="632"/>
      <c r="O24" s="632"/>
      <c r="P24" s="632"/>
      <c r="T24" s="66" t="s">
        <v>217</v>
      </c>
      <c r="U24" s="139">
        <v>23.548999999999999</v>
      </c>
      <c r="V24" s="139">
        <v>6514.4988748825435</v>
      </c>
      <c r="W24" s="139">
        <v>1415.9473035470903</v>
      </c>
      <c r="X24" s="139">
        <v>0.36</v>
      </c>
      <c r="Y24" s="139">
        <v>38620.861541775164</v>
      </c>
      <c r="Z24" s="139">
        <v>3.2828335852289441</v>
      </c>
      <c r="AA24" s="139">
        <f t="shared" si="1"/>
        <v>23.908999999999999</v>
      </c>
      <c r="AB24" s="139">
        <f t="shared" si="1"/>
        <v>45135.360416657706</v>
      </c>
      <c r="AC24" s="139">
        <f t="shared" si="1"/>
        <v>1419.2301371323192</v>
      </c>
      <c r="AD24" s="144">
        <f t="shared" si="2"/>
        <v>46578.499553790025</v>
      </c>
      <c r="AF24" s="145"/>
      <c r="AG24" s="145"/>
      <c r="AH24" s="145"/>
      <c r="AJ24" s="92"/>
      <c r="AK24" s="92"/>
      <c r="AL24" s="92"/>
      <c r="AM24" s="92"/>
      <c r="AN24" s="92"/>
    </row>
    <row r="25" spans="2:457" ht="15.75">
      <c r="E25" s="632"/>
      <c r="F25" s="635"/>
      <c r="G25" s="632"/>
      <c r="H25" s="632"/>
      <c r="I25" s="632"/>
      <c r="J25" s="632"/>
      <c r="K25" s="632"/>
      <c r="L25" s="632"/>
      <c r="M25" s="632"/>
      <c r="N25" s="632"/>
      <c r="O25" s="632"/>
      <c r="P25" s="632"/>
      <c r="T25" s="66" t="s">
        <v>418</v>
      </c>
      <c r="U25" s="139">
        <v>81222.350000000006</v>
      </c>
      <c r="V25" s="139">
        <v>27556.933948516333</v>
      </c>
      <c r="W25" s="139">
        <v>1386.096</v>
      </c>
      <c r="X25" s="139">
        <v>421.95100000000002</v>
      </c>
      <c r="Y25" s="139">
        <v>2622.2195695659325</v>
      </c>
      <c r="Z25" s="139">
        <v>1.177</v>
      </c>
      <c r="AA25" s="139">
        <f t="shared" si="1"/>
        <v>81644.301000000007</v>
      </c>
      <c r="AB25" s="139">
        <f t="shared" si="1"/>
        <v>30179.153518082265</v>
      </c>
      <c r="AC25" s="139">
        <f t="shared" si="1"/>
        <v>1387.2729999999999</v>
      </c>
      <c r="AD25" s="144">
        <f t="shared" si="2"/>
        <v>113210.72751808228</v>
      </c>
      <c r="AF25" s="145"/>
      <c r="AG25" s="145"/>
      <c r="AH25" s="145"/>
      <c r="AJ25" s="92"/>
      <c r="AK25" s="92"/>
      <c r="AL25" s="92"/>
      <c r="AM25" s="92"/>
      <c r="AN25" s="92"/>
    </row>
    <row r="26" spans="2:457" ht="15.75">
      <c r="B26" s="629" t="s">
        <v>388</v>
      </c>
      <c r="C26" s="101" t="s">
        <v>216</v>
      </c>
      <c r="D26" s="705">
        <f>'AggrStep1-energy'!D102</f>
        <v>3.526732</v>
      </c>
      <c r="E26" s="705">
        <f>'AggrStep1-energy'!E102</f>
        <v>858.4313663876394</v>
      </c>
      <c r="F26" s="705">
        <f>'AggrStep1-energy'!F102</f>
        <v>0</v>
      </c>
      <c r="G26" s="705">
        <f>SUM(D26:F28)</f>
        <v>861.95809838763944</v>
      </c>
      <c r="H26" s="632"/>
      <c r="I26" s="705">
        <f>'AggrStep1-energy'!I102</f>
        <v>0</v>
      </c>
      <c r="J26" s="705">
        <f>'AggrStep1-energy'!J102</f>
        <v>0</v>
      </c>
      <c r="K26" s="705">
        <f>'AggrStep1-energy'!K102</f>
        <v>0</v>
      </c>
      <c r="L26" s="705">
        <f>'AggrStep1-energy'!L102</f>
        <v>0</v>
      </c>
      <c r="M26" s="705">
        <f>'AggrStep1-energy'!M102</f>
        <v>0</v>
      </c>
      <c r="N26" s="705">
        <f>'AggrStep1-energy'!N102</f>
        <v>0</v>
      </c>
      <c r="O26" s="705">
        <f>'AggrStep1-energy'!O102</f>
        <v>0</v>
      </c>
      <c r="P26" s="632"/>
      <c r="T26" s="56" t="s">
        <v>537</v>
      </c>
      <c r="U26" s="140">
        <f t="shared" ref="U26:Z26" si="10">SUM(U4:U25)</f>
        <v>577335.36400000006</v>
      </c>
      <c r="V26" s="140">
        <f t="shared" si="10"/>
        <v>146882.4016235492</v>
      </c>
      <c r="W26" s="140">
        <f t="shared" si="10"/>
        <v>278188.86500000005</v>
      </c>
      <c r="X26" s="140">
        <f t="shared" si="10"/>
        <v>390080.89199999999</v>
      </c>
      <c r="Y26" s="140">
        <f t="shared" si="10"/>
        <v>122706.81581652683</v>
      </c>
      <c r="Z26" s="140">
        <f t="shared" si="10"/>
        <v>1045.2850000000001</v>
      </c>
      <c r="AA26" s="140">
        <f t="shared" si="1"/>
        <v>967416.25600000005</v>
      </c>
      <c r="AB26" s="140">
        <f t="shared" si="1"/>
        <v>269589.21744007606</v>
      </c>
      <c r="AC26" s="140">
        <f t="shared" si="1"/>
        <v>279234.15000000002</v>
      </c>
      <c r="AD26" s="144">
        <f t="shared" si="2"/>
        <v>1516239.6234400761</v>
      </c>
      <c r="AF26" s="140"/>
      <c r="AG26" s="140"/>
      <c r="AH26" s="140"/>
      <c r="AJ26" s="92"/>
      <c r="AK26" s="92"/>
      <c r="AL26" s="92"/>
      <c r="AM26" s="92"/>
      <c r="AN26" s="92"/>
    </row>
    <row r="27" spans="2:457" ht="15.75">
      <c r="B27" s="626"/>
      <c r="C27" s="101" t="s">
        <v>217</v>
      </c>
      <c r="D27" s="705"/>
      <c r="E27" s="705"/>
      <c r="F27" s="705"/>
      <c r="G27" s="705"/>
      <c r="I27" s="705"/>
      <c r="J27" s="705"/>
      <c r="K27" s="705"/>
      <c r="L27" s="705"/>
      <c r="M27" s="705"/>
      <c r="N27" s="705"/>
      <c r="O27" s="705"/>
      <c r="T27" s="186" t="s">
        <v>240</v>
      </c>
      <c r="U27" s="139">
        <f t="array" ref="U27:W27">TRANSPOSE([2]Step8!$BI$25:$BI$27)</f>
        <v>363423.54499999998</v>
      </c>
      <c r="V27" s="139">
        <v>9122.0974100000003</v>
      </c>
      <c r="W27" s="139">
        <v>37854.733</v>
      </c>
      <c r="X27" s="139">
        <f t="array" ref="X27:Z27">TRANSPOSE([2]Step8!$AM$70:$AM$72)</f>
        <v>18.373000000000001</v>
      </c>
      <c r="Y27" s="139">
        <v>161.10099</v>
      </c>
      <c r="Z27" s="139">
        <v>0</v>
      </c>
      <c r="AA27" s="139">
        <f>U27+X27</f>
        <v>363441.91800000001</v>
      </c>
      <c r="AB27" s="139">
        <f>V27+Y27</f>
        <v>9283.1984000000011</v>
      </c>
      <c r="AC27" s="139">
        <f>W27+Z27</f>
        <v>37854.733</v>
      </c>
      <c r="AD27" s="144">
        <f>SUM(AA27:AC27)</f>
        <v>410579.84940000001</v>
      </c>
      <c r="AF27" s="140"/>
      <c r="AG27" s="140"/>
      <c r="AH27" s="140"/>
      <c r="AI27" s="92"/>
      <c r="AJ27" s="92"/>
      <c r="AK27" s="92"/>
      <c r="AL27" s="92"/>
      <c r="AM27" s="92"/>
      <c r="AN27" s="92"/>
    </row>
    <row r="28" spans="2:457" ht="18.75">
      <c r="B28" s="626"/>
      <c r="C28" s="215" t="s">
        <v>205</v>
      </c>
      <c r="D28" s="705"/>
      <c r="E28" s="705"/>
      <c r="F28" s="705"/>
      <c r="G28" s="705"/>
      <c r="I28" s="705"/>
      <c r="J28" s="705"/>
      <c r="K28" s="705"/>
      <c r="L28" s="705"/>
      <c r="M28" s="705"/>
      <c r="N28" s="705"/>
      <c r="O28" s="705"/>
      <c r="T28" s="261"/>
      <c r="U28" s="262"/>
      <c r="V28" s="262"/>
      <c r="W28" s="262"/>
      <c r="X28" s="262"/>
      <c r="Y28" s="262"/>
      <c r="Z28" s="262"/>
      <c r="AA28" s="262"/>
      <c r="AB28" s="262"/>
      <c r="AC28" s="262"/>
      <c r="AD28" s="263"/>
      <c r="AF28" s="140"/>
      <c r="AG28" s="140"/>
      <c r="AH28" s="140"/>
      <c r="AI28" s="92"/>
      <c r="AJ28" s="92"/>
      <c r="AK28" s="92"/>
      <c r="AL28" s="92"/>
      <c r="AM28" s="92"/>
      <c r="AN28" s="92"/>
      <c r="AO28" s="623"/>
      <c r="AP28" s="92"/>
      <c r="AQ28" s="92"/>
      <c r="AR28" s="92"/>
      <c r="AS28" s="92"/>
      <c r="AT28" s="92"/>
      <c r="AU28" s="92"/>
      <c r="AV28" s="92"/>
      <c r="AW28" s="92"/>
      <c r="AX28" s="92"/>
      <c r="AY28" s="92"/>
      <c r="AZ28" s="92"/>
      <c r="BA28" s="92"/>
      <c r="BB28" s="92"/>
      <c r="BC28" s="92"/>
    </row>
    <row r="29" spans="2:457">
      <c r="B29" s="629" t="s">
        <v>940</v>
      </c>
      <c r="C29" s="101" t="s">
        <v>418</v>
      </c>
      <c r="D29" s="630">
        <f>'Step1-electricity '!C16</f>
        <v>828.16699999999992</v>
      </c>
      <c r="E29" s="630">
        <f>'Step1-electricity '!D16</f>
        <v>1303.69</v>
      </c>
      <c r="F29" s="630">
        <f>'Step1-electricity '!E16</f>
        <v>36.530536082770865</v>
      </c>
      <c r="G29" s="94">
        <f t="shared" ref="G29" si="11">SUM(D29:F29)</f>
        <v>2168.387536082771</v>
      </c>
      <c r="I29" s="630">
        <f>'AggrStep1-energy'!I103</f>
        <v>60.542000000000002</v>
      </c>
      <c r="J29" s="630">
        <f>'AggrStep1-energy'!J103</f>
        <v>0</v>
      </c>
      <c r="K29" s="630">
        <f>'AggrStep1-energy'!K103</f>
        <v>15.064</v>
      </c>
      <c r="L29" s="630">
        <f>'AggrStep1-energy'!L103</f>
        <v>0.36</v>
      </c>
      <c r="M29" s="630">
        <f>'AggrStep1-energy'!M103</f>
        <v>100.87700000000001</v>
      </c>
      <c r="N29" s="630">
        <f>'AggrStep1-energy'!N103</f>
        <v>131.316</v>
      </c>
      <c r="O29" s="630">
        <f>'AggrStep1-energy'!O103</f>
        <v>122.598</v>
      </c>
      <c r="T29" s="264"/>
      <c r="U29" s="265"/>
      <c r="V29" s="265"/>
      <c r="W29" s="265"/>
      <c r="X29" s="265"/>
      <c r="Y29" s="265"/>
      <c r="Z29" s="265"/>
      <c r="AA29" s="265"/>
      <c r="AB29" s="265"/>
      <c r="AC29" s="265"/>
      <c r="AD29" s="266"/>
      <c r="AF29" s="140"/>
      <c r="AG29" s="140"/>
      <c r="AH29" s="140"/>
      <c r="AI29" s="92"/>
      <c r="AJ29" s="92"/>
      <c r="AK29" s="92"/>
      <c r="AL29" s="92"/>
      <c r="AM29" s="92"/>
      <c r="AN29" s="92"/>
      <c r="AO29" s="92"/>
      <c r="AP29" s="92"/>
      <c r="AQ29" s="92"/>
      <c r="AR29" s="92"/>
      <c r="AS29" s="92"/>
      <c r="AT29" s="92"/>
      <c r="AU29" s="92"/>
      <c r="AV29" s="92"/>
      <c r="AW29" s="92"/>
      <c r="AX29" s="92"/>
      <c r="AY29" s="92"/>
      <c r="AZ29" s="92"/>
      <c r="BA29" s="92"/>
      <c r="BB29" s="92"/>
      <c r="BC29" s="92"/>
    </row>
    <row r="30" spans="2:457" ht="15.75">
      <c r="C30" s="90" t="s">
        <v>368</v>
      </c>
      <c r="D30" s="633">
        <f>SUM(D26:D29)</f>
        <v>831.69373199999995</v>
      </c>
      <c r="E30" s="633">
        <f t="shared" ref="E30" si="12">SUM(E26:E29)</f>
        <v>2162.1213663876397</v>
      </c>
      <c r="F30" s="633">
        <f>SUM(F26:F29)</f>
        <v>36.530536082770865</v>
      </c>
      <c r="G30" s="633">
        <f>SUM(G26:G29)</f>
        <v>3030.3456344704105</v>
      </c>
      <c r="I30" s="633">
        <f>SUM(I26:I29)</f>
        <v>60.542000000000002</v>
      </c>
      <c r="J30" s="633">
        <f t="shared" ref="J30:O30" si="13">SUM(J26:J29)</f>
        <v>0</v>
      </c>
      <c r="K30" s="633">
        <f t="shared" si="13"/>
        <v>15.064</v>
      </c>
      <c r="L30" s="633">
        <f t="shared" si="13"/>
        <v>0.36</v>
      </c>
      <c r="M30" s="633">
        <f t="shared" si="13"/>
        <v>100.87700000000001</v>
      </c>
      <c r="N30" s="633">
        <f t="shared" si="13"/>
        <v>131.316</v>
      </c>
      <c r="O30" s="633">
        <f t="shared" si="13"/>
        <v>122.598</v>
      </c>
      <c r="T30" s="186"/>
      <c r="U30" s="139"/>
      <c r="V30" s="139"/>
      <c r="W30" s="139"/>
      <c r="X30" s="139"/>
      <c r="Y30" s="139"/>
      <c r="Z30" s="139"/>
      <c r="AA30" s="139"/>
      <c r="AB30" s="139"/>
      <c r="AC30" s="139"/>
      <c r="AD30" s="144"/>
      <c r="AF30" s="140"/>
      <c r="AG30" s="140"/>
      <c r="AH30" s="140"/>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c r="IW30" s="92"/>
      <c r="IX30" s="92"/>
      <c r="IY30" s="92"/>
      <c r="IZ30" s="92"/>
      <c r="JA30" s="92"/>
      <c r="JB30" s="92"/>
      <c r="JC30" s="92"/>
      <c r="JD30" s="92"/>
      <c r="JE30" s="92"/>
      <c r="JF30" s="92"/>
      <c r="JG30" s="92"/>
      <c r="JH30" s="92"/>
      <c r="JI30" s="92"/>
      <c r="JJ30" s="92"/>
      <c r="JK30" s="92"/>
      <c r="JL30" s="92"/>
      <c r="JM30" s="92"/>
      <c r="JN30" s="92"/>
      <c r="JO30" s="92"/>
      <c r="JP30" s="92"/>
      <c r="JQ30" s="92"/>
      <c r="JR30" s="92"/>
      <c r="JS30" s="92"/>
      <c r="JT30" s="92"/>
      <c r="JU30" s="92"/>
      <c r="JV30" s="92"/>
      <c r="JW30" s="92"/>
      <c r="JX30" s="92"/>
      <c r="JY30" s="92"/>
      <c r="JZ30" s="92"/>
      <c r="KA30" s="92"/>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2"/>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2"/>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2"/>
      <c r="MY30" s="92"/>
      <c r="MZ30" s="92"/>
      <c r="NA30" s="92"/>
      <c r="NB30" s="92"/>
      <c r="NC30" s="92"/>
      <c r="ND30" s="92"/>
      <c r="NE30" s="92"/>
      <c r="NF30" s="92"/>
      <c r="NG30" s="92"/>
      <c r="NH30" s="92"/>
      <c r="NI30" s="92"/>
      <c r="NJ30" s="92"/>
      <c r="NK30" s="92"/>
      <c r="NL30" s="92"/>
      <c r="NM30" s="92"/>
      <c r="NN30" s="92"/>
      <c r="NO30" s="92"/>
      <c r="NP30" s="92"/>
      <c r="NQ30" s="92"/>
      <c r="NR30" s="92"/>
      <c r="NS30" s="92"/>
      <c r="NT30" s="92"/>
      <c r="NU30" s="92"/>
      <c r="NV30" s="92"/>
      <c r="NW30" s="92"/>
      <c r="NX30" s="92"/>
      <c r="NY30" s="92"/>
      <c r="NZ30" s="92"/>
      <c r="OA30" s="92"/>
      <c r="OB30" s="92"/>
      <c r="OC30" s="92"/>
      <c r="OD30" s="92"/>
      <c r="OE30" s="92"/>
      <c r="OF30" s="92"/>
      <c r="OG30" s="92"/>
      <c r="OH30" s="92"/>
      <c r="OI30" s="92"/>
      <c r="OJ30" s="92"/>
      <c r="OK30" s="92"/>
      <c r="OL30" s="92"/>
      <c r="OM30" s="92"/>
      <c r="ON30" s="92"/>
      <c r="OO30" s="92"/>
      <c r="OP30" s="92"/>
      <c r="OQ30" s="92"/>
      <c r="OR30" s="92"/>
      <c r="OS30" s="92"/>
      <c r="OT30" s="92"/>
      <c r="OU30" s="92"/>
      <c r="OV30" s="92"/>
      <c r="OW30" s="92"/>
      <c r="OX30" s="92"/>
      <c r="OY30" s="92"/>
      <c r="OZ30" s="92"/>
      <c r="PA30" s="92"/>
      <c r="PB30" s="92"/>
      <c r="PC30" s="92"/>
      <c r="PD30" s="92"/>
      <c r="PE30" s="92"/>
      <c r="PF30" s="92"/>
      <c r="PG30" s="92"/>
      <c r="PH30" s="92"/>
      <c r="PI30" s="92"/>
      <c r="PJ30" s="92"/>
      <c r="PK30" s="92"/>
      <c r="PL30" s="92"/>
      <c r="PM30" s="92"/>
      <c r="PN30" s="92"/>
      <c r="PO30" s="92"/>
      <c r="PP30" s="92"/>
      <c r="PQ30" s="92"/>
      <c r="PR30" s="92"/>
      <c r="PS30" s="92"/>
      <c r="PT30" s="92"/>
      <c r="PU30" s="92"/>
      <c r="PV30" s="92"/>
      <c r="PW30" s="92"/>
      <c r="PX30" s="92"/>
      <c r="PY30" s="92"/>
      <c r="PZ30" s="92"/>
      <c r="QA30" s="92"/>
      <c r="QB30" s="92"/>
      <c r="QC30" s="92"/>
      <c r="QD30" s="92"/>
      <c r="QE30" s="92"/>
      <c r="QF30" s="92"/>
      <c r="QG30" s="92"/>
      <c r="QH30" s="92"/>
      <c r="QI30" s="92"/>
      <c r="QJ30" s="92"/>
      <c r="QK30" s="92"/>
      <c r="QL30" s="92"/>
      <c r="QM30" s="92"/>
      <c r="QN30" s="92"/>
      <c r="QO30" s="92"/>
    </row>
    <row r="31" spans="2:457">
      <c r="T31" s="90" t="s">
        <v>372</v>
      </c>
      <c r="U31" s="115">
        <f t="shared" ref="U31:AD31" si="14">U26+U27</f>
        <v>940758.90899999999</v>
      </c>
      <c r="V31" s="115">
        <f t="shared" si="14"/>
        <v>156004.49903354919</v>
      </c>
      <c r="W31" s="115">
        <f t="shared" si="14"/>
        <v>316043.59800000006</v>
      </c>
      <c r="X31" s="115">
        <f t="shared" si="14"/>
        <v>390099.26500000001</v>
      </c>
      <c r="Y31" s="115">
        <f t="shared" si="14"/>
        <v>122867.91680652683</v>
      </c>
      <c r="Z31" s="115">
        <f t="shared" si="14"/>
        <v>1045.2850000000001</v>
      </c>
      <c r="AA31" s="115">
        <f t="shared" si="14"/>
        <v>1330858.1740000001</v>
      </c>
      <c r="AB31" s="115">
        <f t="shared" si="14"/>
        <v>278872.41584007605</v>
      </c>
      <c r="AC31" s="115">
        <f t="shared" si="14"/>
        <v>317088.88300000003</v>
      </c>
      <c r="AD31" s="115">
        <f t="shared" si="14"/>
        <v>1926819.4728400761</v>
      </c>
      <c r="AF31" s="140"/>
      <c r="AG31" s="140"/>
      <c r="AH31" s="140"/>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c r="IW31" s="92"/>
      <c r="IX31" s="92"/>
      <c r="IY31" s="92"/>
      <c r="IZ31" s="92"/>
      <c r="JA31" s="92"/>
      <c r="JB31" s="92"/>
      <c r="JC31" s="92"/>
      <c r="JD31" s="92"/>
      <c r="JE31" s="92"/>
      <c r="JF31" s="92"/>
      <c r="JG31" s="92"/>
      <c r="JH31" s="92"/>
      <c r="JI31" s="92"/>
      <c r="JJ31" s="92"/>
      <c r="JK31" s="92"/>
      <c r="JL31" s="92"/>
      <c r="JM31" s="92"/>
      <c r="JN31" s="92"/>
      <c r="JO31" s="92"/>
      <c r="JP31" s="92"/>
      <c r="JQ31" s="92"/>
      <c r="JR31" s="92"/>
      <c r="JS31" s="92"/>
      <c r="JT31" s="92"/>
      <c r="JU31" s="92"/>
      <c r="JV31" s="92"/>
      <c r="JW31" s="92"/>
      <c r="JX31" s="92"/>
      <c r="JY31" s="92"/>
      <c r="JZ31" s="92"/>
      <c r="KA31" s="92"/>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2"/>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2"/>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2"/>
      <c r="MY31" s="92"/>
      <c r="MZ31" s="92"/>
      <c r="NA31" s="92"/>
      <c r="NB31" s="92"/>
      <c r="NC31" s="92"/>
      <c r="ND31" s="92"/>
      <c r="NE31" s="92"/>
      <c r="NF31" s="92"/>
      <c r="NG31" s="92"/>
      <c r="NH31" s="92"/>
      <c r="NI31" s="92"/>
      <c r="NJ31" s="92"/>
      <c r="NK31" s="92"/>
      <c r="NL31" s="92"/>
      <c r="NM31" s="92"/>
      <c r="NN31" s="92"/>
      <c r="NO31" s="92"/>
      <c r="NP31" s="92"/>
      <c r="NQ31" s="92"/>
      <c r="NR31" s="92"/>
      <c r="NS31" s="92"/>
      <c r="NT31" s="92"/>
      <c r="NU31" s="92"/>
      <c r="NV31" s="92"/>
      <c r="NW31" s="92"/>
      <c r="NX31" s="92"/>
      <c r="NY31" s="92"/>
      <c r="NZ31" s="92"/>
      <c r="OA31" s="92"/>
      <c r="OB31" s="92"/>
      <c r="OC31" s="92"/>
      <c r="OD31" s="92"/>
      <c r="OE31" s="92"/>
      <c r="OF31" s="92"/>
      <c r="OG31" s="92"/>
      <c r="OH31" s="92"/>
      <c r="OI31" s="92"/>
      <c r="OJ31" s="92"/>
      <c r="OK31" s="92"/>
      <c r="OL31" s="92"/>
      <c r="OM31" s="92"/>
      <c r="ON31" s="92"/>
      <c r="OO31" s="92"/>
      <c r="OP31" s="92"/>
      <c r="OQ31" s="92"/>
      <c r="OR31" s="92"/>
      <c r="OS31" s="92"/>
      <c r="OT31" s="92"/>
      <c r="OU31" s="92"/>
      <c r="OV31" s="92"/>
      <c r="OW31" s="92"/>
      <c r="OX31" s="92"/>
      <c r="OY31" s="92"/>
      <c r="OZ31" s="92"/>
      <c r="PA31" s="92"/>
      <c r="PB31" s="92"/>
      <c r="PC31" s="92"/>
      <c r="PD31" s="92"/>
      <c r="PE31" s="92"/>
      <c r="PF31" s="92"/>
      <c r="PG31" s="92"/>
      <c r="PH31" s="92"/>
      <c r="PI31" s="92"/>
      <c r="PJ31" s="92"/>
      <c r="PK31" s="92"/>
      <c r="PL31" s="92"/>
      <c r="PM31" s="92"/>
      <c r="PN31" s="92"/>
      <c r="PO31" s="92"/>
      <c r="PP31" s="92"/>
      <c r="PQ31" s="92"/>
      <c r="PR31" s="92"/>
      <c r="PS31" s="92"/>
      <c r="PT31" s="92"/>
      <c r="PU31" s="92"/>
      <c r="PV31" s="92"/>
      <c r="PW31" s="92"/>
      <c r="PX31" s="92"/>
      <c r="PY31" s="92"/>
      <c r="PZ31" s="92"/>
      <c r="QA31" s="92"/>
      <c r="QB31" s="92"/>
      <c r="QC31" s="92"/>
      <c r="QD31" s="92"/>
      <c r="QE31" s="92"/>
      <c r="QF31" s="92"/>
      <c r="QG31" s="92"/>
      <c r="QH31" s="92"/>
      <c r="QI31" s="92"/>
      <c r="QJ31" s="92"/>
      <c r="QK31" s="92"/>
      <c r="QL31" s="92"/>
      <c r="QM31" s="92"/>
      <c r="QN31" s="92"/>
      <c r="QO31" s="92"/>
    </row>
    <row r="32" spans="2:457" ht="15.75">
      <c r="T32" s="56"/>
      <c r="U32" s="140"/>
      <c r="V32" s="140"/>
      <c r="W32" s="140"/>
      <c r="X32" s="140"/>
      <c r="Y32" s="140"/>
      <c r="Z32" s="140"/>
      <c r="AA32" s="140"/>
      <c r="AB32" s="140"/>
      <c r="AC32" s="140"/>
      <c r="AD32" s="144"/>
      <c r="AF32" s="140"/>
      <c r="AG32" s="140"/>
      <c r="AH32" s="140"/>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c r="IW32" s="92"/>
      <c r="IX32" s="92"/>
      <c r="IY32" s="92"/>
      <c r="IZ32" s="92"/>
      <c r="JA32" s="92"/>
      <c r="JB32" s="92"/>
      <c r="JC32" s="92"/>
      <c r="JD32" s="92"/>
      <c r="JE32" s="92"/>
      <c r="JF32" s="92"/>
      <c r="JG32" s="92"/>
      <c r="JH32" s="92"/>
      <c r="JI32" s="92"/>
      <c r="JJ32" s="92"/>
      <c r="JK32" s="92"/>
      <c r="JL32" s="92"/>
      <c r="JM32" s="92"/>
      <c r="JN32" s="92"/>
      <c r="JO32" s="92"/>
      <c r="JP32" s="92"/>
      <c r="JQ32" s="92"/>
      <c r="JR32" s="92"/>
      <c r="JS32" s="92"/>
      <c r="JT32" s="92"/>
      <c r="JU32" s="92"/>
      <c r="JV32" s="92"/>
      <c r="JW32" s="92"/>
      <c r="JX32" s="92"/>
      <c r="JY32" s="92"/>
      <c r="JZ32" s="92"/>
      <c r="KA32" s="92"/>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2"/>
      <c r="LA32" s="92"/>
      <c r="LB32" s="92"/>
      <c r="LC32" s="92"/>
      <c r="LD32" s="92"/>
      <c r="LE32" s="92"/>
      <c r="LF32" s="92"/>
      <c r="LG32" s="92"/>
      <c r="LH32" s="92"/>
      <c r="LI32" s="92"/>
      <c r="LJ32" s="92"/>
      <c r="LK32" s="92"/>
      <c r="LL32" s="92"/>
      <c r="LM32" s="92"/>
      <c r="LN32" s="92"/>
      <c r="LO32" s="92"/>
      <c r="LP32" s="92"/>
      <c r="LQ32" s="92"/>
      <c r="LR32" s="92"/>
      <c r="LS32" s="92"/>
      <c r="LT32" s="92"/>
      <c r="LU32" s="92"/>
      <c r="LV32" s="92"/>
      <c r="LW32" s="92"/>
      <c r="LX32" s="92"/>
      <c r="LY32" s="92"/>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2"/>
      <c r="MY32" s="92"/>
      <c r="MZ32" s="92"/>
      <c r="NA32" s="92"/>
      <c r="NB32" s="92"/>
      <c r="NC32" s="92"/>
      <c r="ND32" s="92"/>
      <c r="NE32" s="92"/>
      <c r="NF32" s="92"/>
      <c r="NG32" s="92"/>
      <c r="NH32" s="92"/>
      <c r="NI32" s="92"/>
      <c r="NJ32" s="92"/>
      <c r="NK32" s="92"/>
      <c r="NL32" s="92"/>
      <c r="NM32" s="92"/>
      <c r="NN32" s="92"/>
      <c r="NO32" s="92"/>
      <c r="NP32" s="92"/>
      <c r="NQ32" s="92"/>
      <c r="NR32" s="92"/>
      <c r="NS32" s="92"/>
      <c r="NT32" s="92"/>
      <c r="NU32" s="92"/>
      <c r="NV32" s="92"/>
      <c r="NW32" s="92"/>
      <c r="NX32" s="92"/>
      <c r="NY32" s="92"/>
      <c r="NZ32" s="92"/>
      <c r="OA32" s="92"/>
      <c r="OB32" s="92"/>
      <c r="OC32" s="92"/>
      <c r="OD32" s="92"/>
      <c r="OE32" s="92"/>
      <c r="OF32" s="92"/>
      <c r="OG32" s="92"/>
      <c r="OH32" s="92"/>
      <c r="OI32" s="92"/>
      <c r="OJ32" s="92"/>
      <c r="OK32" s="92"/>
      <c r="OL32" s="92"/>
      <c r="OM32" s="92"/>
      <c r="ON32" s="92"/>
      <c r="OO32" s="92"/>
      <c r="OP32" s="92"/>
      <c r="OQ32" s="92"/>
      <c r="OR32" s="92"/>
      <c r="OS32" s="92"/>
      <c r="OT32" s="92"/>
      <c r="OU32" s="92"/>
      <c r="OV32" s="92"/>
      <c r="OW32" s="92"/>
      <c r="OX32" s="92"/>
      <c r="OY32" s="92"/>
      <c r="OZ32" s="92"/>
      <c r="PA32" s="92"/>
      <c r="PB32" s="92"/>
      <c r="PC32" s="92"/>
      <c r="PD32" s="92"/>
      <c r="PE32" s="92"/>
      <c r="PF32" s="92"/>
      <c r="PG32" s="92"/>
      <c r="PH32" s="92"/>
      <c r="PI32" s="92"/>
      <c r="PJ32" s="92"/>
      <c r="PK32" s="92"/>
      <c r="PL32" s="92"/>
      <c r="PM32" s="92"/>
      <c r="PN32" s="92"/>
      <c r="PO32" s="92"/>
      <c r="PP32" s="92"/>
      <c r="PQ32" s="92"/>
      <c r="PR32" s="92"/>
      <c r="PS32" s="92"/>
      <c r="PT32" s="92"/>
      <c r="PU32" s="92"/>
      <c r="PV32" s="92"/>
      <c r="PW32" s="92"/>
      <c r="PX32" s="92"/>
      <c r="PY32" s="92"/>
      <c r="PZ32" s="92"/>
      <c r="QA32" s="92"/>
      <c r="QB32" s="92"/>
      <c r="QC32" s="92"/>
      <c r="QD32" s="92"/>
      <c r="QE32" s="92"/>
      <c r="QF32" s="92"/>
      <c r="QG32" s="92"/>
      <c r="QH32" s="92"/>
      <c r="QI32" s="92"/>
      <c r="QJ32" s="92"/>
      <c r="QK32" s="92"/>
      <c r="QL32" s="92"/>
      <c r="QM32" s="92"/>
      <c r="QN32" s="92"/>
      <c r="QO32" s="92"/>
    </row>
    <row r="33" spans="1:457">
      <c r="T33" s="57"/>
      <c r="U33" s="57"/>
      <c r="V33" s="57"/>
      <c r="W33" s="57"/>
      <c r="X33" s="57"/>
      <c r="Y33" s="57"/>
      <c r="Z33" s="57"/>
      <c r="AA33" s="57"/>
      <c r="AB33" s="57"/>
      <c r="AC33" s="57"/>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92"/>
      <c r="FC33" s="92"/>
      <c r="FD33" s="92"/>
      <c r="FE33" s="92"/>
      <c r="FF33" s="92"/>
      <c r="FG33" s="92"/>
      <c r="FH33" s="92"/>
      <c r="FI33" s="92"/>
      <c r="FJ33" s="92"/>
      <c r="FK33" s="92"/>
      <c r="FL33" s="92"/>
      <c r="FM33" s="92"/>
      <c r="FN33" s="92"/>
      <c r="FO33" s="92"/>
      <c r="FP33" s="92"/>
      <c r="FQ33" s="92"/>
      <c r="FR33" s="92"/>
      <c r="FS33" s="92"/>
      <c r="FT33" s="92"/>
      <c r="FU33" s="92"/>
      <c r="FV33" s="92"/>
      <c r="FW33" s="92"/>
      <c r="FX33" s="92"/>
      <c r="FY33" s="92"/>
      <c r="FZ33" s="92"/>
      <c r="GA33" s="92"/>
      <c r="GB33" s="92"/>
      <c r="GC33" s="92"/>
      <c r="GD33" s="92"/>
      <c r="GE33" s="92"/>
      <c r="GF33" s="92"/>
      <c r="GG33" s="92"/>
      <c r="GH33" s="92"/>
      <c r="GI33" s="92"/>
      <c r="GJ33" s="92"/>
      <c r="GK33" s="92"/>
      <c r="GL33" s="92"/>
      <c r="GM33" s="92"/>
      <c r="GN33" s="92"/>
      <c r="GO33" s="92"/>
      <c r="GP33" s="92"/>
      <c r="GQ33" s="92"/>
      <c r="GR33" s="92"/>
      <c r="GS33" s="92"/>
      <c r="GT33" s="92"/>
      <c r="GU33" s="92"/>
      <c r="GV33" s="92"/>
      <c r="GW33" s="92"/>
      <c r="GX33" s="92"/>
      <c r="GY33" s="92"/>
      <c r="GZ33" s="92"/>
      <c r="HA33" s="92"/>
      <c r="HB33" s="92"/>
      <c r="HC33" s="92"/>
      <c r="HD33" s="92"/>
      <c r="HE33" s="92"/>
      <c r="HF33" s="92"/>
      <c r="HG33" s="92"/>
      <c r="HH33" s="92"/>
      <c r="HI33" s="92"/>
      <c r="HJ33" s="92"/>
      <c r="HK33" s="92"/>
      <c r="HL33" s="92"/>
      <c r="HM33" s="92"/>
      <c r="HN33" s="92"/>
      <c r="HO33" s="92"/>
      <c r="HP33" s="92"/>
      <c r="HQ33" s="92"/>
      <c r="HR33" s="92"/>
      <c r="HS33" s="92"/>
      <c r="HT33" s="92"/>
      <c r="HU33" s="92"/>
      <c r="HV33" s="92"/>
      <c r="HW33" s="92"/>
      <c r="HX33" s="92"/>
      <c r="HY33" s="92"/>
      <c r="HZ33" s="92"/>
      <c r="IA33" s="92"/>
      <c r="IB33" s="92"/>
      <c r="IC33" s="92"/>
      <c r="ID33" s="92"/>
      <c r="IE33" s="92"/>
      <c r="IF33" s="92"/>
      <c r="IG33" s="92"/>
      <c r="IH33" s="92"/>
      <c r="II33" s="92"/>
      <c r="IJ33" s="92"/>
      <c r="IK33" s="92"/>
      <c r="IL33" s="92"/>
      <c r="IM33" s="92"/>
      <c r="IN33" s="92"/>
      <c r="IO33" s="92"/>
      <c r="IP33" s="92"/>
      <c r="IQ33" s="92"/>
      <c r="IR33" s="92"/>
      <c r="IS33" s="92"/>
      <c r="IT33" s="92"/>
      <c r="IU33" s="92"/>
      <c r="IV33" s="92"/>
      <c r="IW33" s="92"/>
      <c r="IX33" s="92"/>
      <c r="IY33" s="92"/>
      <c r="IZ33" s="92"/>
      <c r="JA33" s="92"/>
      <c r="JB33" s="92"/>
      <c r="JC33" s="92"/>
      <c r="JD33" s="92"/>
      <c r="JE33" s="92"/>
      <c r="JF33" s="92"/>
      <c r="JG33" s="92"/>
      <c r="JH33" s="92"/>
      <c r="JI33" s="92"/>
      <c r="JJ33" s="92"/>
      <c r="JK33" s="92"/>
      <c r="JL33" s="92"/>
      <c r="JM33" s="92"/>
      <c r="JN33" s="92"/>
      <c r="JO33" s="92"/>
      <c r="JP33" s="92"/>
      <c r="JQ33" s="92"/>
      <c r="JR33" s="92"/>
      <c r="JS33" s="92"/>
      <c r="JT33" s="92"/>
      <c r="JU33" s="92"/>
      <c r="JV33" s="92"/>
      <c r="JW33" s="92"/>
      <c r="JX33" s="92"/>
      <c r="JY33" s="92"/>
      <c r="JZ33" s="92"/>
      <c r="KA33" s="92"/>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2"/>
      <c r="LA33" s="92"/>
      <c r="LB33" s="92"/>
      <c r="LC33" s="92"/>
      <c r="LD33" s="92"/>
      <c r="LE33" s="92"/>
      <c r="LF33" s="92"/>
      <c r="LG33" s="92"/>
      <c r="LH33" s="92"/>
      <c r="LI33" s="92"/>
      <c r="LJ33" s="92"/>
      <c r="LK33" s="92"/>
      <c r="LL33" s="92"/>
      <c r="LM33" s="92"/>
      <c r="LN33" s="92"/>
      <c r="LO33" s="92"/>
      <c r="LP33" s="92"/>
      <c r="LQ33" s="92"/>
      <c r="LR33" s="92"/>
      <c r="LS33" s="92"/>
      <c r="LT33" s="92"/>
      <c r="LU33" s="92"/>
      <c r="LV33" s="92"/>
      <c r="LW33" s="92"/>
      <c r="LX33" s="92"/>
      <c r="LY33" s="92"/>
      <c r="LZ33" s="92"/>
      <c r="MA33" s="92"/>
      <c r="MB33" s="92"/>
      <c r="MC33" s="92"/>
      <c r="MD33" s="92"/>
      <c r="ME33" s="92"/>
      <c r="MF33" s="92"/>
      <c r="MG33" s="92"/>
      <c r="MH33" s="92"/>
      <c r="MI33" s="92"/>
      <c r="MJ33" s="92"/>
      <c r="MK33" s="92"/>
      <c r="ML33" s="92"/>
      <c r="MM33" s="92"/>
      <c r="MN33" s="92"/>
      <c r="MO33" s="92"/>
      <c r="MP33" s="92"/>
      <c r="MQ33" s="92"/>
      <c r="MR33" s="92"/>
      <c r="MS33" s="92"/>
      <c r="MT33" s="92"/>
      <c r="MU33" s="92"/>
      <c r="MV33" s="92"/>
      <c r="MW33" s="92"/>
      <c r="MX33" s="92"/>
      <c r="MY33" s="92"/>
      <c r="MZ33" s="92"/>
      <c r="NA33" s="92"/>
      <c r="NB33" s="92"/>
      <c r="NC33" s="92"/>
      <c r="ND33" s="92"/>
      <c r="NE33" s="92"/>
      <c r="NF33" s="92"/>
      <c r="NG33" s="92"/>
      <c r="NH33" s="92"/>
      <c r="NI33" s="92"/>
      <c r="NJ33" s="92"/>
      <c r="NK33" s="92"/>
      <c r="NL33" s="92"/>
      <c r="NM33" s="92"/>
      <c r="NN33" s="92"/>
      <c r="NO33" s="92"/>
      <c r="NP33" s="92"/>
      <c r="NQ33" s="92"/>
      <c r="NR33" s="92"/>
      <c r="NS33" s="92"/>
      <c r="NT33" s="92"/>
      <c r="NU33" s="92"/>
      <c r="NV33" s="92"/>
      <c r="NW33" s="92"/>
      <c r="NX33" s="92"/>
      <c r="NY33" s="92"/>
      <c r="NZ33" s="92"/>
      <c r="OA33" s="92"/>
      <c r="OB33" s="92"/>
      <c r="OC33" s="92"/>
      <c r="OD33" s="92"/>
      <c r="OE33" s="92"/>
      <c r="OF33" s="92"/>
      <c r="OG33" s="92"/>
      <c r="OH33" s="92"/>
      <c r="OI33" s="92"/>
      <c r="OJ33" s="92"/>
      <c r="OK33" s="92"/>
      <c r="OL33" s="92"/>
      <c r="OM33" s="92"/>
      <c r="ON33" s="92"/>
      <c r="OO33" s="92"/>
      <c r="OP33" s="92"/>
      <c r="OQ33" s="92"/>
      <c r="OR33" s="92"/>
      <c r="OS33" s="92"/>
      <c r="OT33" s="92"/>
      <c r="OU33" s="92"/>
      <c r="OV33" s="92"/>
      <c r="OW33" s="92"/>
      <c r="OX33" s="92"/>
      <c r="OY33" s="92"/>
      <c r="OZ33" s="92"/>
      <c r="PA33" s="92"/>
      <c r="PB33" s="92"/>
      <c r="PC33" s="92"/>
      <c r="PD33" s="92"/>
      <c r="PE33" s="92"/>
      <c r="PF33" s="92"/>
      <c r="PG33" s="92"/>
      <c r="PH33" s="92"/>
      <c r="PI33" s="92"/>
      <c r="PJ33" s="92"/>
      <c r="PK33" s="92"/>
      <c r="PL33" s="92"/>
      <c r="PM33" s="92"/>
      <c r="PN33" s="92"/>
      <c r="PO33" s="92"/>
      <c r="PP33" s="92"/>
      <c r="PQ33" s="92"/>
      <c r="PR33" s="92"/>
      <c r="PS33" s="92"/>
      <c r="PT33" s="92"/>
      <c r="PU33" s="92"/>
      <c r="PV33" s="92"/>
      <c r="PW33" s="92"/>
      <c r="PX33" s="92"/>
      <c r="PY33" s="92"/>
      <c r="PZ33" s="92"/>
      <c r="QA33" s="92"/>
      <c r="QB33" s="92"/>
      <c r="QC33" s="92"/>
      <c r="QD33" s="92"/>
      <c r="QE33" s="92"/>
      <c r="QF33" s="92"/>
      <c r="QG33" s="92"/>
      <c r="QH33" s="92"/>
      <c r="QI33" s="92"/>
      <c r="QJ33" s="92"/>
      <c r="QK33" s="92"/>
      <c r="QL33" s="92"/>
      <c r="QM33" s="92"/>
      <c r="QN33" s="92"/>
      <c r="QO33" s="92"/>
    </row>
    <row r="34" spans="1:457">
      <c r="B34" s="90" t="s">
        <v>572</v>
      </c>
      <c r="T34" s="90" t="s">
        <v>422</v>
      </c>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c r="BZ34" s="92"/>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2"/>
      <c r="CZ34" s="92"/>
      <c r="DA34" s="92"/>
      <c r="DB34" s="92"/>
      <c r="DC34" s="92"/>
      <c r="DD34" s="92"/>
      <c r="DE34" s="92"/>
      <c r="DF34" s="92"/>
      <c r="DG34" s="92"/>
      <c r="DH34" s="92"/>
      <c r="DI34" s="92"/>
      <c r="DJ34" s="92"/>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92"/>
      <c r="FC34" s="92"/>
      <c r="FD34" s="92"/>
      <c r="FE34" s="92"/>
      <c r="FF34" s="92"/>
      <c r="FG34" s="92"/>
      <c r="FH34" s="92"/>
      <c r="FI34" s="92"/>
      <c r="FJ34" s="92"/>
      <c r="FK34" s="92"/>
      <c r="FL34" s="92"/>
      <c r="FM34" s="92"/>
      <c r="FN34" s="92"/>
      <c r="FO34" s="92"/>
      <c r="FP34" s="92"/>
      <c r="FQ34" s="92"/>
      <c r="FR34" s="92"/>
      <c r="FS34" s="92"/>
      <c r="FT34" s="92"/>
      <c r="FU34" s="92"/>
      <c r="FV34" s="92"/>
      <c r="FW34" s="92"/>
      <c r="FX34" s="92"/>
      <c r="FY34" s="92"/>
      <c r="FZ34" s="92"/>
      <c r="GA34" s="92"/>
      <c r="GB34" s="92"/>
      <c r="GC34" s="92"/>
      <c r="GD34" s="92"/>
      <c r="GE34" s="92"/>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2"/>
      <c r="HE34" s="92"/>
      <c r="HF34" s="92"/>
      <c r="HG34" s="92"/>
      <c r="HH34" s="92"/>
      <c r="HI34" s="92"/>
      <c r="HJ34" s="92"/>
      <c r="HK34" s="92"/>
      <c r="HL34" s="92"/>
      <c r="HM34" s="92"/>
      <c r="HN34" s="92"/>
      <c r="HO34" s="92"/>
      <c r="HP34" s="92"/>
      <c r="HQ34" s="92"/>
      <c r="HR34" s="92"/>
      <c r="HS34" s="92"/>
      <c r="HT34" s="92"/>
      <c r="HU34" s="92"/>
      <c r="HV34" s="92"/>
      <c r="HW34" s="92"/>
      <c r="HX34" s="92"/>
      <c r="HY34" s="92"/>
      <c r="HZ34" s="92"/>
      <c r="IA34" s="92"/>
      <c r="IB34" s="92"/>
      <c r="IC34" s="92"/>
      <c r="ID34" s="92"/>
      <c r="IE34" s="92"/>
      <c r="IF34" s="92"/>
      <c r="IG34" s="92"/>
      <c r="IH34" s="92"/>
      <c r="II34" s="92"/>
      <c r="IJ34" s="92"/>
      <c r="IK34" s="92"/>
      <c r="IL34" s="92"/>
      <c r="IM34" s="92"/>
      <c r="IN34" s="92"/>
      <c r="IO34" s="92"/>
      <c r="IP34" s="92"/>
      <c r="IQ34" s="92"/>
      <c r="IR34" s="92"/>
      <c r="IS34" s="92"/>
      <c r="IT34" s="92"/>
      <c r="IU34" s="92"/>
      <c r="IV34" s="92"/>
      <c r="IW34" s="92"/>
      <c r="IX34" s="92"/>
      <c r="IY34" s="92"/>
      <c r="IZ34" s="92"/>
      <c r="JA34" s="92"/>
      <c r="JB34" s="92"/>
      <c r="JC34" s="92"/>
      <c r="JD34" s="92"/>
      <c r="JE34" s="92"/>
      <c r="JF34" s="92"/>
      <c r="JG34" s="92"/>
      <c r="JH34" s="92"/>
      <c r="JI34" s="92"/>
      <c r="JJ34" s="92"/>
      <c r="JK34" s="92"/>
      <c r="JL34" s="92"/>
      <c r="JM34" s="92"/>
      <c r="JN34" s="92"/>
      <c r="JO34" s="92"/>
      <c r="JP34" s="92"/>
      <c r="JQ34" s="92"/>
      <c r="JR34" s="92"/>
      <c r="JS34" s="92"/>
      <c r="JT34" s="92"/>
      <c r="JU34" s="92"/>
      <c r="JV34" s="92"/>
      <c r="JW34" s="92"/>
      <c r="JX34" s="92"/>
      <c r="JY34" s="92"/>
      <c r="JZ34" s="92"/>
      <c r="KA34" s="92"/>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2"/>
      <c r="LA34" s="92"/>
      <c r="LB34" s="92"/>
      <c r="LC34" s="92"/>
      <c r="LD34" s="92"/>
      <c r="LE34" s="92"/>
      <c r="LF34" s="92"/>
      <c r="LG34" s="92"/>
      <c r="LH34" s="92"/>
      <c r="LI34" s="92"/>
      <c r="LJ34" s="92"/>
      <c r="LK34" s="92"/>
      <c r="LL34" s="92"/>
      <c r="LM34" s="92"/>
      <c r="LN34" s="92"/>
      <c r="LO34" s="92"/>
      <c r="LP34" s="92"/>
      <c r="LQ34" s="92"/>
      <c r="LR34" s="92"/>
      <c r="LS34" s="92"/>
      <c r="LT34" s="92"/>
      <c r="LU34" s="92"/>
      <c r="LV34" s="92"/>
      <c r="LW34" s="92"/>
      <c r="LX34" s="92"/>
      <c r="LY34" s="92"/>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2"/>
      <c r="MY34" s="92"/>
      <c r="MZ34" s="92"/>
      <c r="NA34" s="92"/>
      <c r="NB34" s="92"/>
      <c r="NC34" s="92"/>
      <c r="ND34" s="92"/>
      <c r="NE34" s="92"/>
      <c r="NF34" s="92"/>
      <c r="NG34" s="92"/>
      <c r="NH34" s="92"/>
      <c r="NI34" s="92"/>
      <c r="NJ34" s="92"/>
      <c r="NK34" s="92"/>
      <c r="NL34" s="92"/>
      <c r="NM34" s="92"/>
      <c r="NN34" s="92"/>
      <c r="NO34" s="92"/>
      <c r="NP34" s="92"/>
      <c r="NQ34" s="92"/>
      <c r="NR34" s="92"/>
      <c r="NS34" s="92"/>
      <c r="NT34" s="92"/>
      <c r="NU34" s="92"/>
      <c r="NV34" s="92"/>
      <c r="NW34" s="92"/>
      <c r="NX34" s="92"/>
      <c r="NY34" s="92"/>
      <c r="NZ34" s="92"/>
      <c r="OA34" s="92"/>
      <c r="OB34" s="92"/>
      <c r="OC34" s="92"/>
      <c r="OD34" s="92"/>
      <c r="OE34" s="92"/>
      <c r="OF34" s="92"/>
      <c r="OG34" s="92"/>
      <c r="OH34" s="92"/>
      <c r="OI34" s="92"/>
      <c r="OJ34" s="92"/>
      <c r="OK34" s="92"/>
      <c r="OL34" s="92"/>
      <c r="OM34" s="92"/>
      <c r="ON34" s="92"/>
      <c r="OO34" s="92"/>
      <c r="OP34" s="92"/>
      <c r="OQ34" s="92"/>
      <c r="OR34" s="92"/>
      <c r="OS34" s="92"/>
      <c r="OT34" s="92"/>
      <c r="OU34" s="92"/>
      <c r="OV34" s="92"/>
      <c r="OW34" s="92"/>
      <c r="OX34" s="92"/>
      <c r="OY34" s="92"/>
      <c r="OZ34" s="92"/>
      <c r="PA34" s="92"/>
      <c r="PB34" s="92"/>
      <c r="PC34" s="92"/>
      <c r="PD34" s="92"/>
      <c r="PE34" s="92"/>
      <c r="PF34" s="92"/>
      <c r="PG34" s="92"/>
      <c r="PH34" s="92"/>
      <c r="PI34" s="92"/>
      <c r="PJ34" s="92"/>
      <c r="PK34" s="92"/>
      <c r="PL34" s="92"/>
      <c r="PM34" s="92"/>
      <c r="PN34" s="92"/>
      <c r="PO34" s="92"/>
      <c r="PP34" s="92"/>
      <c r="PQ34" s="92"/>
      <c r="PR34" s="92"/>
      <c r="PS34" s="92"/>
      <c r="PT34" s="92"/>
      <c r="PU34" s="92"/>
      <c r="PV34" s="92"/>
      <c r="PW34" s="92"/>
      <c r="PX34" s="92"/>
      <c r="PY34" s="92"/>
      <c r="PZ34" s="92"/>
      <c r="QA34" s="92"/>
      <c r="QB34" s="92"/>
      <c r="QC34" s="92"/>
      <c r="QD34" s="92"/>
      <c r="QE34" s="92"/>
      <c r="QF34" s="92"/>
      <c r="QG34" s="92"/>
      <c r="QH34" s="92"/>
      <c r="QI34" s="92"/>
      <c r="QJ34" s="92"/>
      <c r="QK34" s="92"/>
      <c r="QL34" s="92"/>
      <c r="QM34" s="92"/>
      <c r="QN34" s="92"/>
      <c r="QO34" s="92"/>
    </row>
    <row r="35" spans="1:457" ht="30">
      <c r="B35" s="216" t="s">
        <v>391</v>
      </c>
      <c r="C35" s="216" t="s">
        <v>389</v>
      </c>
      <c r="D35" s="212" t="s">
        <v>383</v>
      </c>
      <c r="E35" s="212" t="s">
        <v>384</v>
      </c>
      <c r="F35" s="213" t="s">
        <v>172</v>
      </c>
      <c r="G35" s="213" t="s">
        <v>560</v>
      </c>
      <c r="H35" s="149"/>
      <c r="I35" s="149" t="s">
        <v>386</v>
      </c>
      <c r="J35" s="149" t="s">
        <v>385</v>
      </c>
      <c r="K35" s="149" t="s">
        <v>219</v>
      </c>
      <c r="L35" s="149" t="s">
        <v>11</v>
      </c>
      <c r="M35" s="149" t="s">
        <v>218</v>
      </c>
      <c r="N35" s="149" t="s">
        <v>171</v>
      </c>
      <c r="O35" s="149" t="s">
        <v>187</v>
      </c>
      <c r="P35" s="216" t="s">
        <v>7</v>
      </c>
      <c r="Q35" s="92"/>
      <c r="R35" s="92"/>
      <c r="S35" s="92"/>
      <c r="T35" s="146" t="s">
        <v>226</v>
      </c>
      <c r="U35" s="78">
        <f>U4+U5</f>
        <v>16798.418000000001</v>
      </c>
      <c r="V35" s="78">
        <f t="shared" ref="V35:AC35" si="15">V4+V5</f>
        <v>5.9706494829678478</v>
      </c>
      <c r="W35" s="78">
        <f t="shared" si="15"/>
        <v>3001.944</v>
      </c>
      <c r="X35" s="78">
        <f t="shared" si="15"/>
        <v>59.913999999999987</v>
      </c>
      <c r="Y35" s="78">
        <f t="shared" si="15"/>
        <v>3.7266061988958232</v>
      </c>
      <c r="Z35" s="78">
        <f t="shared" si="15"/>
        <v>6.9869999999999974</v>
      </c>
      <c r="AA35" s="78">
        <f t="shared" si="15"/>
        <v>16858.332000000002</v>
      </c>
      <c r="AB35" s="78">
        <f t="shared" si="15"/>
        <v>9.6972556818636715</v>
      </c>
      <c r="AC35" s="78">
        <f t="shared" si="15"/>
        <v>3008.931</v>
      </c>
      <c r="AD35" s="140">
        <f>SUM(AA35:AC35)</f>
        <v>19876.960255681865</v>
      </c>
      <c r="AE35" s="142"/>
      <c r="AF35" s="145"/>
      <c r="AG35" s="145"/>
      <c r="AH35" s="145"/>
      <c r="AI35" s="92"/>
      <c r="AJ35" s="92"/>
      <c r="AK35" s="92"/>
      <c r="AL35" s="92"/>
      <c r="AM35" s="92"/>
      <c r="AN35" s="92"/>
      <c r="AO35" s="92"/>
      <c r="AP35" s="92"/>
      <c r="AQ35" s="92"/>
      <c r="AR35" s="92"/>
      <c r="AS35" s="92"/>
      <c r="AT35" s="92"/>
      <c r="AU35" s="92"/>
      <c r="AV35" s="92"/>
      <c r="AW35" s="92"/>
      <c r="AX35" s="92"/>
      <c r="AY35" s="92"/>
      <c r="AZ35" s="92"/>
      <c r="BA35" s="92"/>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2"/>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2"/>
      <c r="CZ35" s="92"/>
      <c r="DA35" s="92"/>
      <c r="DB35" s="92"/>
      <c r="DC35" s="92"/>
      <c r="DD35" s="92"/>
      <c r="DE35" s="92"/>
      <c r="DF35" s="92"/>
      <c r="DG35" s="92"/>
      <c r="DH35" s="92"/>
      <c r="DI35" s="92"/>
      <c r="DJ35" s="92"/>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2"/>
      <c r="FV35" s="92"/>
      <c r="FW35" s="92"/>
      <c r="FX35" s="92"/>
      <c r="FY35" s="92"/>
      <c r="FZ35" s="92"/>
      <c r="GA35" s="92"/>
      <c r="GB35" s="92"/>
      <c r="GC35" s="92"/>
      <c r="GD35" s="92"/>
      <c r="GE35" s="92"/>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2"/>
      <c r="HE35" s="92"/>
      <c r="HF35" s="92"/>
      <c r="HG35" s="92"/>
      <c r="HH35" s="92"/>
      <c r="HI35" s="92"/>
      <c r="HJ35" s="92"/>
      <c r="HK35" s="92"/>
      <c r="HL35" s="92"/>
      <c r="HM35" s="92"/>
      <c r="HN35" s="92"/>
      <c r="HO35" s="92"/>
      <c r="HP35" s="92"/>
      <c r="HQ35" s="92"/>
      <c r="HR35" s="92"/>
      <c r="HS35" s="92"/>
      <c r="HT35" s="92"/>
      <c r="HU35" s="92"/>
      <c r="HV35" s="92"/>
      <c r="HW35" s="92"/>
      <c r="HX35" s="92"/>
      <c r="HY35" s="92"/>
      <c r="HZ35" s="92"/>
      <c r="IA35" s="92"/>
      <c r="IB35" s="92"/>
      <c r="IC35" s="92"/>
      <c r="ID35" s="92"/>
      <c r="IE35" s="92"/>
      <c r="IF35" s="92"/>
      <c r="IG35" s="92"/>
      <c r="IH35" s="92"/>
      <c r="II35" s="92"/>
      <c r="IJ35" s="92"/>
      <c r="IK35" s="92"/>
      <c r="IL35" s="92"/>
      <c r="IM35" s="92"/>
      <c r="IN35" s="92"/>
      <c r="IO35" s="92"/>
      <c r="IP35" s="92"/>
      <c r="IQ35" s="92"/>
      <c r="IR35" s="92"/>
      <c r="IS35" s="92"/>
      <c r="IT35" s="92"/>
      <c r="IU35" s="92"/>
      <c r="IV35" s="92"/>
      <c r="IW35" s="92"/>
      <c r="IX35" s="92"/>
      <c r="IY35" s="92"/>
      <c r="IZ35" s="92"/>
      <c r="JA35" s="92"/>
      <c r="JB35" s="92"/>
      <c r="JC35" s="92"/>
      <c r="JD35" s="92"/>
      <c r="JE35" s="92"/>
      <c r="JF35" s="92"/>
      <c r="JG35" s="92"/>
      <c r="JH35" s="92"/>
      <c r="JI35" s="92"/>
      <c r="JJ35" s="92"/>
      <c r="JK35" s="92"/>
      <c r="JL35" s="92"/>
      <c r="JM35" s="92"/>
      <c r="JN35" s="92"/>
      <c r="JO35" s="92"/>
      <c r="JP35" s="92"/>
      <c r="JQ35" s="92"/>
      <c r="JR35" s="92"/>
      <c r="JS35" s="92"/>
      <c r="JT35" s="92"/>
      <c r="JU35" s="92"/>
      <c r="JV35" s="92"/>
      <c r="JW35" s="92"/>
      <c r="JX35" s="92"/>
      <c r="JY35" s="92"/>
      <c r="JZ35" s="92"/>
      <c r="KA35" s="92"/>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2"/>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2"/>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2"/>
      <c r="MY35" s="92"/>
      <c r="MZ35" s="92"/>
      <c r="NA35" s="92"/>
      <c r="NB35" s="92"/>
      <c r="NC35" s="92"/>
      <c r="ND35" s="92"/>
      <c r="NE35" s="92"/>
      <c r="NF35" s="92"/>
      <c r="NG35" s="92"/>
      <c r="NH35" s="92"/>
      <c r="NI35" s="92"/>
      <c r="NJ35" s="92"/>
      <c r="NK35" s="92"/>
      <c r="NL35" s="92"/>
      <c r="NM35" s="92"/>
      <c r="NN35" s="92"/>
      <c r="NO35" s="92"/>
      <c r="NP35" s="92"/>
      <c r="NQ35" s="92"/>
      <c r="NR35" s="92"/>
      <c r="NS35" s="92"/>
      <c r="NT35" s="92"/>
      <c r="NU35" s="92"/>
      <c r="NV35" s="92"/>
      <c r="NW35" s="92"/>
      <c r="NX35" s="92"/>
      <c r="NY35" s="92"/>
      <c r="NZ35" s="92"/>
      <c r="OA35" s="92"/>
      <c r="OB35" s="92"/>
      <c r="OC35" s="92"/>
      <c r="OD35" s="92"/>
      <c r="OE35" s="92"/>
      <c r="OF35" s="92"/>
      <c r="OG35" s="92"/>
      <c r="OH35" s="92"/>
      <c r="OI35" s="92"/>
      <c r="OJ35" s="92"/>
      <c r="OK35" s="92"/>
      <c r="OL35" s="92"/>
      <c r="OM35" s="92"/>
      <c r="ON35" s="92"/>
      <c r="OO35" s="92"/>
      <c r="OP35" s="92"/>
      <c r="OQ35" s="92"/>
      <c r="OR35" s="92"/>
      <c r="OS35" s="92"/>
      <c r="OT35" s="92"/>
      <c r="OU35" s="92"/>
      <c r="OV35" s="92"/>
      <c r="OW35" s="92"/>
      <c r="OX35" s="92"/>
      <c r="OY35" s="92"/>
      <c r="OZ35" s="92"/>
      <c r="PA35" s="92"/>
      <c r="PB35" s="92"/>
      <c r="PC35" s="92"/>
      <c r="PD35" s="92"/>
      <c r="PE35" s="92"/>
      <c r="PF35" s="92"/>
      <c r="PG35" s="92"/>
      <c r="PH35" s="92"/>
      <c r="PI35" s="92"/>
      <c r="PJ35" s="92"/>
      <c r="PK35" s="92"/>
      <c r="PL35" s="92"/>
      <c r="PM35" s="92"/>
      <c r="PN35" s="92"/>
      <c r="PO35" s="92"/>
      <c r="PP35" s="92"/>
      <c r="PQ35" s="92"/>
      <c r="PR35" s="92"/>
      <c r="PS35" s="92"/>
      <c r="PT35" s="92"/>
      <c r="PU35" s="92"/>
      <c r="PV35" s="92"/>
      <c r="PW35" s="92"/>
      <c r="PX35" s="92"/>
      <c r="PY35" s="92"/>
      <c r="PZ35" s="92"/>
      <c r="QA35" s="92"/>
      <c r="QB35" s="92"/>
      <c r="QC35" s="92"/>
      <c r="QD35" s="92"/>
      <c r="QE35" s="92"/>
      <c r="QF35" s="92"/>
      <c r="QG35" s="92"/>
      <c r="QH35" s="92"/>
      <c r="QI35" s="92"/>
      <c r="QJ35" s="92"/>
      <c r="QK35" s="92"/>
      <c r="QL35" s="92"/>
      <c r="QM35" s="92"/>
      <c r="QN35" s="92"/>
      <c r="QO35" s="92"/>
    </row>
    <row r="36" spans="1:457">
      <c r="A36" s="89">
        <v>1</v>
      </c>
      <c r="B36" s="89" t="s">
        <v>226</v>
      </c>
      <c r="C36" s="101" t="str">
        <f>T4</f>
        <v>Agriculture, livestockand fishing</v>
      </c>
      <c r="D36" s="270">
        <f t="shared" ref="D36:F37" si="16">AA4/U$87</f>
        <v>117.85555327330248</v>
      </c>
      <c r="E36" s="270">
        <f t="shared" si="16"/>
        <v>7.5365014935901156E-2</v>
      </c>
      <c r="F36" s="270">
        <f t="shared" si="16"/>
        <v>35.28284473921137</v>
      </c>
      <c r="G36" s="271">
        <f>SUM(D36:F36)</f>
        <v>153.21376302744974</v>
      </c>
      <c r="H36" s="94"/>
      <c r="I36" s="94"/>
      <c r="J36" s="94"/>
      <c r="K36" s="94"/>
      <c r="L36" s="94"/>
      <c r="M36" s="94"/>
      <c r="N36" s="94"/>
      <c r="P36" s="95">
        <f>SUM(G36,I36:O36)</f>
        <v>153.21376302744974</v>
      </c>
      <c r="Q36" s="92"/>
      <c r="R36" s="92"/>
      <c r="S36" s="92"/>
      <c r="T36" s="147" t="s">
        <v>387</v>
      </c>
      <c r="U36" s="148">
        <f t="shared" ref="U36:AC36" si="17">SUM(U6:U11,U13:U14)</f>
        <v>144957.04499999998</v>
      </c>
      <c r="V36" s="148">
        <f t="shared" si="17"/>
        <v>38240.270169186995</v>
      </c>
      <c r="W36" s="148">
        <f t="shared" si="17"/>
        <v>166341.18569645286</v>
      </c>
      <c r="X36" s="148">
        <f t="shared" si="17"/>
        <v>13084.055</v>
      </c>
      <c r="Y36" s="148">
        <f t="shared" si="17"/>
        <v>49651.030977132672</v>
      </c>
      <c r="Z36" s="148">
        <f t="shared" si="17"/>
        <v>763.59716641477121</v>
      </c>
      <c r="AA36" s="148">
        <f t="shared" si="17"/>
        <v>158041.09999999998</v>
      </c>
      <c r="AB36" s="148">
        <f t="shared" si="17"/>
        <v>87891.301146319689</v>
      </c>
      <c r="AC36" s="148">
        <f t="shared" si="17"/>
        <v>167104.78286286767</v>
      </c>
      <c r="AD36" s="140">
        <f t="shared" ref="AD36" si="18">SUM(AA36:AC36)</f>
        <v>413037.18400918733</v>
      </c>
      <c r="AE36" s="92"/>
      <c r="AF36" s="321"/>
      <c r="AG36" s="145"/>
      <c r="AH36" s="145"/>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2"/>
      <c r="FV36" s="92"/>
      <c r="FW36" s="92"/>
      <c r="FX36" s="92"/>
      <c r="FY36" s="92"/>
      <c r="FZ36" s="92"/>
      <c r="GA36" s="92"/>
      <c r="GB36" s="92"/>
      <c r="GC36" s="92"/>
      <c r="GD36" s="92"/>
      <c r="GE36" s="92"/>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2"/>
      <c r="HE36" s="92"/>
      <c r="HF36" s="92"/>
      <c r="HG36" s="92"/>
      <c r="HH36" s="92"/>
      <c r="HI36" s="92"/>
      <c r="HJ36" s="92"/>
      <c r="HK36" s="92"/>
      <c r="HL36" s="92"/>
      <c r="HM36" s="92"/>
      <c r="HN36" s="92"/>
      <c r="HO36" s="92"/>
      <c r="HP36" s="92"/>
      <c r="HQ36" s="92"/>
      <c r="HR36" s="92"/>
      <c r="HS36" s="92"/>
      <c r="HT36" s="92"/>
      <c r="HU36" s="92"/>
      <c r="HV36" s="92"/>
      <c r="HW36" s="92"/>
      <c r="HX36" s="92"/>
      <c r="HY36" s="92"/>
      <c r="HZ36" s="92"/>
      <c r="IA36" s="92"/>
      <c r="IB36" s="92"/>
      <c r="IC36" s="92"/>
      <c r="ID36" s="92"/>
      <c r="IE36" s="92"/>
      <c r="IF36" s="92"/>
      <c r="IG36" s="92"/>
      <c r="IH36" s="92"/>
      <c r="II36" s="92"/>
      <c r="IJ36" s="92"/>
      <c r="IK36" s="92"/>
      <c r="IL36" s="92"/>
      <c r="IM36" s="92"/>
      <c r="IN36" s="92"/>
      <c r="IO36" s="92"/>
      <c r="IP36" s="92"/>
      <c r="IQ36" s="92"/>
      <c r="IR36" s="92"/>
      <c r="IS36" s="92"/>
      <c r="IT36" s="92"/>
      <c r="IU36" s="92"/>
      <c r="IV36" s="92"/>
      <c r="IW36" s="92"/>
      <c r="IX36" s="92"/>
      <c r="IY36" s="92"/>
      <c r="IZ36" s="92"/>
      <c r="JA36" s="92"/>
      <c r="JB36" s="92"/>
      <c r="JC36" s="92"/>
      <c r="JD36" s="92"/>
      <c r="JE36" s="92"/>
      <c r="JF36" s="92"/>
      <c r="JG36" s="92"/>
      <c r="JH36" s="92"/>
      <c r="JI36" s="92"/>
      <c r="JJ36" s="92"/>
      <c r="JK36" s="92"/>
      <c r="JL36" s="92"/>
      <c r="JM36" s="92"/>
      <c r="JN36" s="92"/>
      <c r="JO36" s="92"/>
      <c r="JP36" s="92"/>
      <c r="JQ36" s="92"/>
      <c r="JR36" s="92"/>
      <c r="JS36" s="92"/>
      <c r="JT36" s="92"/>
      <c r="JU36" s="92"/>
      <c r="JV36" s="92"/>
      <c r="JW36" s="92"/>
      <c r="JX36" s="92"/>
      <c r="JY36" s="92"/>
      <c r="JZ36" s="92"/>
      <c r="KA36" s="92"/>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2"/>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2"/>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2"/>
      <c r="MY36" s="92"/>
      <c r="MZ36" s="92"/>
      <c r="NA36" s="92"/>
      <c r="NB36" s="92"/>
      <c r="NC36" s="92"/>
      <c r="ND36" s="92"/>
      <c r="NE36" s="92"/>
      <c r="NF36" s="92"/>
      <c r="NG36" s="92"/>
      <c r="NH36" s="92"/>
      <c r="NI36" s="92"/>
      <c r="NJ36" s="92"/>
      <c r="NK36" s="92"/>
      <c r="NL36" s="92"/>
      <c r="NM36" s="92"/>
      <c r="NN36" s="92"/>
      <c r="NO36" s="92"/>
      <c r="NP36" s="92"/>
      <c r="NQ36" s="92"/>
      <c r="NR36" s="92"/>
      <c r="NS36" s="92"/>
      <c r="NT36" s="92"/>
      <c r="NU36" s="92"/>
      <c r="NV36" s="92"/>
      <c r="NW36" s="92"/>
      <c r="NX36" s="92"/>
      <c r="NY36" s="92"/>
      <c r="NZ36" s="92"/>
      <c r="OA36" s="92"/>
      <c r="OB36" s="92"/>
      <c r="OC36" s="92"/>
      <c r="OD36" s="92"/>
      <c r="OE36" s="92"/>
      <c r="OF36" s="92"/>
      <c r="OG36" s="92"/>
      <c r="OH36" s="92"/>
      <c r="OI36" s="92"/>
      <c r="OJ36" s="92"/>
      <c r="OK36" s="92"/>
      <c r="OL36" s="92"/>
      <c r="OM36" s="92"/>
      <c r="ON36" s="92"/>
      <c r="OO36" s="92"/>
      <c r="OP36" s="92"/>
      <c r="OQ36" s="92"/>
      <c r="OR36" s="92"/>
      <c r="OS36" s="92"/>
      <c r="OT36" s="92"/>
      <c r="OU36" s="92"/>
      <c r="OV36" s="92"/>
      <c r="OW36" s="92"/>
      <c r="OX36" s="92"/>
      <c r="OY36" s="92"/>
      <c r="OZ36" s="92"/>
      <c r="PA36" s="92"/>
      <c r="PB36" s="92"/>
      <c r="PC36" s="92"/>
      <c r="PD36" s="92"/>
      <c r="PE36" s="92"/>
      <c r="PF36" s="92"/>
      <c r="PG36" s="92"/>
      <c r="PH36" s="92"/>
      <c r="PI36" s="92"/>
      <c r="PJ36" s="92"/>
      <c r="PK36" s="92"/>
      <c r="PL36" s="92"/>
      <c r="PM36" s="92"/>
      <c r="PN36" s="92"/>
      <c r="PO36" s="92"/>
      <c r="PP36" s="92"/>
      <c r="PQ36" s="92"/>
      <c r="PR36" s="92"/>
      <c r="PS36" s="92"/>
      <c r="PT36" s="92"/>
      <c r="PU36" s="92"/>
      <c r="PV36" s="92"/>
      <c r="PW36" s="92"/>
      <c r="PX36" s="92"/>
      <c r="PY36" s="92"/>
      <c r="PZ36" s="92"/>
      <c r="QA36" s="92"/>
      <c r="QB36" s="92"/>
      <c r="QC36" s="92"/>
      <c r="QD36" s="92"/>
      <c r="QE36" s="92"/>
      <c r="QF36" s="92"/>
      <c r="QG36" s="92"/>
      <c r="QH36" s="92"/>
      <c r="QI36" s="92"/>
      <c r="QJ36" s="92"/>
      <c r="QK36" s="92"/>
      <c r="QL36" s="92"/>
      <c r="QM36" s="92"/>
      <c r="QN36" s="92"/>
      <c r="QO36" s="92"/>
    </row>
    <row r="37" spans="1:457">
      <c r="A37" s="89">
        <v>2</v>
      </c>
      <c r="B37" s="89" t="s">
        <v>226</v>
      </c>
      <c r="C37" s="101" t="str">
        <f t="shared" ref="C37:C58" si="19">T5</f>
        <v>Forestry</v>
      </c>
      <c r="D37" s="270">
        <f t="shared" si="16"/>
        <v>3.7315797266975155</v>
      </c>
      <c r="E37" s="270">
        <f t="shared" si="16"/>
        <v>0</v>
      </c>
      <c r="F37" s="270">
        <f t="shared" si="16"/>
        <v>1.7451552607886325</v>
      </c>
      <c r="G37" s="271">
        <f>SUM(D37:F37)</f>
        <v>5.4767349874861484</v>
      </c>
      <c r="H37" s="94"/>
      <c r="I37" s="94"/>
      <c r="J37" s="94"/>
      <c r="K37" s="94"/>
      <c r="L37" s="94"/>
      <c r="M37" s="94"/>
      <c r="N37" s="94"/>
      <c r="P37" s="95">
        <f t="shared" ref="P37:P60" si="20">SUM(G37,I37:O37)</f>
        <v>5.4767349874861484</v>
      </c>
      <c r="Q37" s="92"/>
      <c r="R37" s="92"/>
      <c r="S37" s="92"/>
      <c r="T37" s="650" t="s">
        <v>239</v>
      </c>
      <c r="U37" s="148">
        <f>SUM(U15:U20)</f>
        <v>226578.853</v>
      </c>
      <c r="V37" s="148">
        <f t="shared" ref="V37:AC37" si="21">SUM(V15:V20)</f>
        <v>132.18724999999998</v>
      </c>
      <c r="W37" s="148">
        <f t="shared" si="21"/>
        <v>4100.0619999999999</v>
      </c>
      <c r="X37" s="148">
        <f t="shared" si="21"/>
        <v>46629.059000000001</v>
      </c>
      <c r="Y37" s="148">
        <f t="shared" si="21"/>
        <v>177.46520000000001</v>
      </c>
      <c r="Z37" s="148">
        <f t="shared" si="21"/>
        <v>9.5389999999999997</v>
      </c>
      <c r="AA37" s="148">
        <f t="shared" si="21"/>
        <v>273207.91200000001</v>
      </c>
      <c r="AB37" s="148">
        <f t="shared" si="21"/>
        <v>309.65244999999999</v>
      </c>
      <c r="AC37" s="148">
        <f t="shared" si="21"/>
        <v>4109.6010000000006</v>
      </c>
      <c r="AD37" s="140">
        <f>SUM(AA37:AC37)</f>
        <v>277627.16545000003</v>
      </c>
      <c r="AE37" s="92"/>
      <c r="AF37" s="148"/>
      <c r="AG37" s="322"/>
      <c r="AH37" s="145"/>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2"/>
      <c r="FV37" s="92"/>
      <c r="FW37" s="92"/>
      <c r="FX37" s="92"/>
      <c r="FY37" s="92"/>
      <c r="FZ37" s="92"/>
      <c r="GA37" s="92"/>
      <c r="GB37" s="92"/>
      <c r="GC37" s="92"/>
      <c r="GD37" s="92"/>
      <c r="GE37" s="92"/>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2"/>
      <c r="HE37" s="92"/>
      <c r="HF37" s="92"/>
      <c r="HG37" s="92"/>
      <c r="HH37" s="92"/>
      <c r="HI37" s="92"/>
      <c r="HJ37" s="92"/>
      <c r="HK37" s="92"/>
      <c r="HL37" s="92"/>
      <c r="HM37" s="92"/>
      <c r="HN37" s="92"/>
      <c r="HO37" s="92"/>
      <c r="HP37" s="92"/>
      <c r="HQ37" s="92"/>
      <c r="HR37" s="92"/>
      <c r="HS37" s="92"/>
      <c r="HT37" s="92"/>
      <c r="HU37" s="92"/>
      <c r="HV37" s="92"/>
      <c r="HW37" s="92"/>
      <c r="HX37" s="92"/>
      <c r="HY37" s="92"/>
      <c r="HZ37" s="92"/>
      <c r="IA37" s="92"/>
      <c r="IB37" s="92"/>
      <c r="IC37" s="92"/>
      <c r="ID37" s="92"/>
      <c r="IE37" s="92"/>
      <c r="IF37" s="92"/>
      <c r="IG37" s="92"/>
      <c r="IH37" s="92"/>
      <c r="II37" s="92"/>
      <c r="IJ37" s="92"/>
      <c r="IK37" s="92"/>
      <c r="IL37" s="92"/>
      <c r="IM37" s="92"/>
      <c r="IN37" s="92"/>
      <c r="IO37" s="92"/>
      <c r="IP37" s="92"/>
      <c r="IQ37" s="92"/>
      <c r="IR37" s="92"/>
      <c r="IS37" s="92"/>
      <c r="IT37" s="92"/>
      <c r="IU37" s="92"/>
      <c r="IV37" s="92"/>
      <c r="IW37" s="92"/>
      <c r="IX37" s="92"/>
      <c r="IY37" s="92"/>
      <c r="IZ37" s="92"/>
      <c r="JA37" s="92"/>
      <c r="JB37" s="92"/>
      <c r="JC37" s="92"/>
      <c r="JD37" s="92"/>
      <c r="JE37" s="92"/>
      <c r="JF37" s="92"/>
      <c r="JG37" s="92"/>
      <c r="JH37" s="92"/>
      <c r="JI37" s="92"/>
      <c r="JJ37" s="92"/>
      <c r="JK37" s="92"/>
      <c r="JL37" s="92"/>
      <c r="JM37" s="92"/>
      <c r="JN37" s="92"/>
      <c r="JO37" s="92"/>
      <c r="JP37" s="92"/>
      <c r="JQ37" s="92"/>
      <c r="JR37" s="92"/>
      <c r="JS37" s="92"/>
      <c r="JT37" s="92"/>
      <c r="JU37" s="92"/>
      <c r="JV37" s="92"/>
      <c r="JW37" s="92"/>
      <c r="JX37" s="92"/>
      <c r="JY37" s="92"/>
      <c r="JZ37" s="92"/>
      <c r="KA37" s="92"/>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2"/>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2"/>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2"/>
      <c r="MY37" s="92"/>
      <c r="MZ37" s="92"/>
      <c r="NA37" s="92"/>
      <c r="NB37" s="92"/>
      <c r="NC37" s="92"/>
      <c r="ND37" s="92"/>
      <c r="NE37" s="92"/>
      <c r="NF37" s="92"/>
      <c r="NG37" s="92"/>
      <c r="NH37" s="92"/>
      <c r="NI37" s="92"/>
      <c r="NJ37" s="92"/>
      <c r="NK37" s="92"/>
      <c r="NL37" s="92"/>
      <c r="NM37" s="92"/>
      <c r="NN37" s="92"/>
      <c r="NO37" s="92"/>
      <c r="NP37" s="92"/>
      <c r="NQ37" s="92"/>
      <c r="NR37" s="92"/>
      <c r="NS37" s="92"/>
      <c r="NT37" s="92"/>
      <c r="NU37" s="92"/>
      <c r="NV37" s="92"/>
      <c r="NW37" s="92"/>
      <c r="NX37" s="92"/>
      <c r="NY37" s="92"/>
      <c r="NZ37" s="92"/>
      <c r="OA37" s="92"/>
      <c r="OB37" s="92"/>
      <c r="OC37" s="92"/>
      <c r="OD37" s="92"/>
      <c r="OE37" s="92"/>
      <c r="OF37" s="92"/>
      <c r="OG37" s="92"/>
      <c r="OH37" s="92"/>
      <c r="OI37" s="92"/>
      <c r="OJ37" s="92"/>
      <c r="OK37" s="92"/>
      <c r="OL37" s="92"/>
      <c r="OM37" s="92"/>
      <c r="ON37" s="92"/>
      <c r="OO37" s="92"/>
      <c r="OP37" s="92"/>
      <c r="OQ37" s="92"/>
      <c r="OR37" s="92"/>
      <c r="OS37" s="92"/>
      <c r="OT37" s="92"/>
      <c r="OU37" s="92"/>
      <c r="OV37" s="92"/>
      <c r="OW37" s="92"/>
      <c r="OX37" s="92"/>
      <c r="OY37" s="92"/>
      <c r="OZ37" s="92"/>
      <c r="PA37" s="92"/>
      <c r="PB37" s="92"/>
      <c r="PC37" s="92"/>
      <c r="PD37" s="92"/>
      <c r="PE37" s="92"/>
      <c r="PF37" s="92"/>
      <c r="PG37" s="92"/>
      <c r="PH37" s="92"/>
      <c r="PI37" s="92"/>
      <c r="PJ37" s="92"/>
      <c r="PK37" s="92"/>
      <c r="PL37" s="92"/>
      <c r="PM37" s="92"/>
      <c r="PN37" s="92"/>
      <c r="PO37" s="92"/>
      <c r="PP37" s="92"/>
      <c r="PQ37" s="92"/>
      <c r="PR37" s="92"/>
      <c r="PS37" s="92"/>
      <c r="PT37" s="92"/>
      <c r="PU37" s="92"/>
      <c r="PV37" s="92"/>
      <c r="PW37" s="92"/>
      <c r="PX37" s="92"/>
      <c r="PY37" s="92"/>
      <c r="PZ37" s="92"/>
      <c r="QA37" s="92"/>
      <c r="QB37" s="92"/>
      <c r="QC37" s="92"/>
      <c r="QD37" s="92"/>
      <c r="QE37" s="92"/>
      <c r="QF37" s="92"/>
      <c r="QG37" s="92"/>
      <c r="QH37" s="92"/>
      <c r="QI37" s="92"/>
      <c r="QJ37" s="92"/>
      <c r="QK37" s="92"/>
      <c r="QL37" s="92"/>
      <c r="QM37" s="92"/>
      <c r="QN37" s="92"/>
      <c r="QO37" s="92"/>
    </row>
    <row r="38" spans="1:457" ht="15.75">
      <c r="A38" s="89">
        <v>3</v>
      </c>
      <c r="B38" s="89" t="s">
        <v>387</v>
      </c>
      <c r="C38" s="101" t="str">
        <f t="shared" si="19"/>
        <v>Manufacture of food, beverages and snuff</v>
      </c>
      <c r="D38" s="272">
        <f t="shared" ref="D38:F42" si="22">AA6/U88</f>
        <v>12.032577</v>
      </c>
      <c r="E38" s="272">
        <f t="shared" si="22"/>
        <v>16.489000000000001</v>
      </c>
      <c r="F38" s="272">
        <f t="shared" si="22"/>
        <v>11.132000000000001</v>
      </c>
      <c r="G38" s="271">
        <f t="shared" ref="G38:G58" si="23">SUM(D38:F38)</f>
        <v>39.653576999999999</v>
      </c>
      <c r="H38" s="94"/>
      <c r="I38" s="94">
        <f>'AggrStep1-energy'!I59</f>
        <v>59.526828000000002</v>
      </c>
      <c r="J38" s="94"/>
      <c r="K38" s="94"/>
      <c r="L38" s="94"/>
      <c r="M38" s="94"/>
      <c r="N38" s="94"/>
      <c r="O38" s="95"/>
      <c r="P38" s="95">
        <f t="shared" si="20"/>
        <v>99.180405000000007</v>
      </c>
      <c r="Q38" s="92"/>
      <c r="R38" s="92"/>
      <c r="S38" s="92"/>
      <c r="T38" s="314" t="s">
        <v>214</v>
      </c>
      <c r="U38" s="148">
        <f>U21</f>
        <v>71886.799000000014</v>
      </c>
      <c r="V38" s="148">
        <f t="shared" ref="V38:AC38" si="24">V21</f>
        <v>906.27792000000022</v>
      </c>
      <c r="W38" s="148">
        <f t="shared" si="24"/>
        <v>85005.48900000006</v>
      </c>
      <c r="X38" s="148">
        <f t="shared" si="24"/>
        <v>1294.8979999999992</v>
      </c>
      <c r="Y38" s="148">
        <f t="shared" si="24"/>
        <v>1568.2868799999999</v>
      </c>
      <c r="Z38" s="148">
        <f t="shared" si="24"/>
        <v>196.09000000000003</v>
      </c>
      <c r="AA38" s="148">
        <f t="shared" si="24"/>
        <v>73181.697000000015</v>
      </c>
      <c r="AB38" s="315">
        <f t="shared" si="24"/>
        <v>2474.5648000000001</v>
      </c>
      <c r="AC38" s="148">
        <f t="shared" si="24"/>
        <v>85201.579000000056</v>
      </c>
      <c r="AD38" s="140">
        <f t="shared" ref="AD38:AD40" si="25">SUM(AA38:AC38)</f>
        <v>160857.84080000006</v>
      </c>
      <c r="AE38" s="92"/>
      <c r="AF38" s="148"/>
      <c r="AG38" s="322"/>
      <c r="AH38" s="145"/>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2"/>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2"/>
      <c r="CZ38" s="92"/>
      <c r="DA38" s="92"/>
      <c r="DB38" s="92"/>
      <c r="DC38" s="92"/>
      <c r="DD38" s="92"/>
      <c r="DE38" s="92"/>
      <c r="DF38" s="92"/>
      <c r="DG38" s="92"/>
      <c r="DH38" s="92"/>
      <c r="DI38" s="92"/>
      <c r="DJ38" s="92"/>
      <c r="DK38" s="92"/>
      <c r="DL38" s="92"/>
      <c r="DM38" s="92"/>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2"/>
      <c r="FV38" s="92"/>
      <c r="FW38" s="92"/>
      <c r="FX38" s="92"/>
      <c r="FY38" s="92"/>
      <c r="FZ38" s="92"/>
      <c r="GA38" s="92"/>
      <c r="GB38" s="92"/>
      <c r="GC38" s="92"/>
      <c r="GD38" s="92"/>
      <c r="GE38" s="92"/>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2"/>
      <c r="HE38" s="92"/>
      <c r="HF38" s="92"/>
      <c r="HG38" s="92"/>
      <c r="HH38" s="92"/>
      <c r="HI38" s="92"/>
      <c r="HJ38" s="92"/>
      <c r="HK38" s="92"/>
      <c r="HL38" s="92"/>
      <c r="HM38" s="92"/>
      <c r="HN38" s="92"/>
      <c r="HO38" s="92"/>
      <c r="HP38" s="92"/>
      <c r="HQ38" s="92"/>
      <c r="HR38" s="92"/>
      <c r="HS38" s="92"/>
      <c r="HT38" s="92"/>
      <c r="HU38" s="92"/>
      <c r="HV38" s="92"/>
      <c r="HW38" s="92"/>
      <c r="HX38" s="92"/>
      <c r="HY38" s="92"/>
      <c r="HZ38" s="92"/>
      <c r="IA38" s="92"/>
      <c r="IB38" s="92"/>
      <c r="IC38" s="92"/>
      <c r="ID38" s="92"/>
      <c r="IE38" s="92"/>
      <c r="IF38" s="92"/>
      <c r="IG38" s="92"/>
      <c r="IH38" s="92"/>
      <c r="II38" s="92"/>
      <c r="IJ38" s="92"/>
      <c r="IK38" s="92"/>
      <c r="IL38" s="92"/>
      <c r="IM38" s="92"/>
      <c r="IN38" s="92"/>
      <c r="IO38" s="92"/>
      <c r="IP38" s="92"/>
      <c r="IQ38" s="92"/>
      <c r="IR38" s="92"/>
      <c r="IS38" s="92"/>
      <c r="IT38" s="92"/>
      <c r="IU38" s="92"/>
      <c r="IV38" s="92"/>
      <c r="IW38" s="92"/>
      <c r="IX38" s="92"/>
      <c r="IY38" s="92"/>
      <c r="IZ38" s="92"/>
      <c r="JA38" s="92"/>
      <c r="JB38" s="92"/>
      <c r="JC38" s="92"/>
      <c r="JD38" s="92"/>
      <c r="JE38" s="92"/>
      <c r="JF38" s="92"/>
      <c r="JG38" s="92"/>
      <c r="JH38" s="92"/>
      <c r="JI38" s="92"/>
      <c r="JJ38" s="92"/>
      <c r="JK38" s="92"/>
      <c r="JL38" s="92"/>
      <c r="JM38" s="92"/>
      <c r="JN38" s="92"/>
      <c r="JO38" s="92"/>
      <c r="JP38" s="92"/>
      <c r="JQ38" s="92"/>
      <c r="JR38" s="92"/>
      <c r="JS38" s="92"/>
      <c r="JT38" s="92"/>
      <c r="JU38" s="92"/>
      <c r="JV38" s="92"/>
      <c r="JW38" s="92"/>
      <c r="JX38" s="92"/>
      <c r="JY38" s="92"/>
      <c r="JZ38" s="92"/>
      <c r="KA38" s="92"/>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2"/>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2"/>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2"/>
      <c r="MY38" s="92"/>
      <c r="MZ38" s="92"/>
      <c r="NA38" s="92"/>
      <c r="NB38" s="92"/>
      <c r="NC38" s="92"/>
      <c r="ND38" s="92"/>
      <c r="NE38" s="92"/>
      <c r="NF38" s="92"/>
      <c r="NG38" s="92"/>
      <c r="NH38" s="92"/>
      <c r="NI38" s="92"/>
      <c r="NJ38" s="92"/>
      <c r="NK38" s="92"/>
      <c r="NL38" s="92"/>
      <c r="NM38" s="92"/>
      <c r="NN38" s="92"/>
      <c r="NO38" s="92"/>
      <c r="NP38" s="92"/>
      <c r="NQ38" s="92"/>
      <c r="NR38" s="92"/>
      <c r="NS38" s="92"/>
      <c r="NT38" s="92"/>
      <c r="NU38" s="92"/>
      <c r="NV38" s="92"/>
      <c r="NW38" s="92"/>
      <c r="NX38" s="92"/>
      <c r="NY38" s="92"/>
      <c r="NZ38" s="92"/>
      <c r="OA38" s="92"/>
      <c r="OB38" s="92"/>
      <c r="OC38" s="92"/>
      <c r="OD38" s="92"/>
      <c r="OE38" s="92"/>
      <c r="OF38" s="92"/>
      <c r="OG38" s="92"/>
      <c r="OH38" s="92"/>
      <c r="OI38" s="92"/>
      <c r="OJ38" s="92"/>
      <c r="OK38" s="92"/>
      <c r="OL38" s="92"/>
      <c r="OM38" s="92"/>
      <c r="ON38" s="92"/>
      <c r="OO38" s="92"/>
      <c r="OP38" s="92"/>
      <c r="OQ38" s="92"/>
      <c r="OR38" s="92"/>
      <c r="OS38" s="92"/>
      <c r="OT38" s="92"/>
      <c r="OU38" s="92"/>
      <c r="OV38" s="92"/>
      <c r="OW38" s="92"/>
      <c r="OX38" s="92"/>
      <c r="OY38" s="92"/>
      <c r="OZ38" s="92"/>
      <c r="PA38" s="92"/>
      <c r="PB38" s="92"/>
      <c r="PC38" s="92"/>
      <c r="PD38" s="92"/>
      <c r="PE38" s="92"/>
      <c r="PF38" s="92"/>
      <c r="PG38" s="92"/>
      <c r="PH38" s="92"/>
      <c r="PI38" s="92"/>
      <c r="PJ38" s="92"/>
      <c r="PK38" s="92"/>
      <c r="PL38" s="92"/>
      <c r="PM38" s="92"/>
      <c r="PN38" s="92"/>
      <c r="PO38" s="92"/>
      <c r="PP38" s="92"/>
      <c r="PQ38" s="92"/>
      <c r="PR38" s="92"/>
      <c r="PS38" s="92"/>
      <c r="PT38" s="92"/>
      <c r="PU38" s="92"/>
      <c r="PV38" s="92"/>
      <c r="PW38" s="92"/>
      <c r="PX38" s="92"/>
      <c r="PY38" s="92"/>
      <c r="PZ38" s="92"/>
      <c r="QA38" s="92"/>
      <c r="QB38" s="92"/>
      <c r="QC38" s="92"/>
      <c r="QD38" s="92"/>
      <c r="QE38" s="92"/>
      <c r="QF38" s="92"/>
      <c r="QG38" s="92"/>
      <c r="QH38" s="92"/>
      <c r="QI38" s="92"/>
      <c r="QJ38" s="92"/>
      <c r="QK38" s="92"/>
      <c r="QL38" s="92"/>
      <c r="QM38" s="92"/>
      <c r="QN38" s="92"/>
      <c r="QO38" s="92"/>
    </row>
    <row r="39" spans="1:457" ht="15.75">
      <c r="A39" s="89">
        <v>4</v>
      </c>
      <c r="B39" s="89" t="s">
        <v>387</v>
      </c>
      <c r="C39" s="101" t="str">
        <f t="shared" si="19"/>
        <v>Manufacture of articles of paper and paperboard</v>
      </c>
      <c r="D39" s="272">
        <f t="shared" si="22"/>
        <v>6.8570200000000003</v>
      </c>
      <c r="E39" s="272">
        <f t="shared" si="22"/>
        <v>32.664000000000001</v>
      </c>
      <c r="F39" s="272">
        <f t="shared" si="22"/>
        <v>10.295999999999999</v>
      </c>
      <c r="G39" s="271">
        <f t="shared" si="23"/>
        <v>49.817019999999999</v>
      </c>
      <c r="H39" s="94"/>
      <c r="I39" s="94"/>
      <c r="J39" s="94"/>
      <c r="K39" s="94"/>
      <c r="L39" s="94"/>
      <c r="M39" s="94"/>
      <c r="N39" s="94"/>
      <c r="O39" s="95"/>
      <c r="P39" s="95">
        <f t="shared" si="20"/>
        <v>49.817019999999999</v>
      </c>
      <c r="Q39" s="92"/>
      <c r="R39" s="92"/>
      <c r="S39" s="92"/>
      <c r="T39" s="314" t="s">
        <v>215</v>
      </c>
      <c r="U39" s="148">
        <f t="shared" ref="U39:AC39" si="26">U22</f>
        <v>14162.569</v>
      </c>
      <c r="V39" s="148">
        <f t="shared" si="26"/>
        <v>0</v>
      </c>
      <c r="W39" s="148">
        <f t="shared" si="26"/>
        <v>14479.469000000001</v>
      </c>
      <c r="X39" s="148">
        <f t="shared" si="26"/>
        <v>143.16899999999998</v>
      </c>
      <c r="Y39" s="148">
        <f t="shared" si="26"/>
        <v>0</v>
      </c>
      <c r="Z39" s="148">
        <f t="shared" si="26"/>
        <v>58.888999999999996</v>
      </c>
      <c r="AA39" s="148">
        <f t="shared" si="26"/>
        <v>14305.737999999999</v>
      </c>
      <c r="AB39" s="315">
        <f t="shared" si="26"/>
        <v>0</v>
      </c>
      <c r="AC39" s="148">
        <f t="shared" si="26"/>
        <v>14538.358</v>
      </c>
      <c r="AD39" s="140">
        <f t="shared" si="25"/>
        <v>28844.095999999998</v>
      </c>
      <c r="AF39" s="148"/>
      <c r="AG39" s="322"/>
      <c r="AH39" s="145"/>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92"/>
      <c r="FC39" s="92"/>
      <c r="FD39" s="92"/>
      <c r="FE39" s="92"/>
      <c r="FF39" s="92"/>
      <c r="FG39" s="92"/>
      <c r="FH39" s="92"/>
      <c r="FI39" s="92"/>
      <c r="FJ39" s="92"/>
      <c r="FK39" s="92"/>
      <c r="FL39" s="92"/>
      <c r="FM39" s="92"/>
      <c r="FN39" s="92"/>
      <c r="FO39" s="92"/>
      <c r="FP39" s="92"/>
      <c r="FQ39" s="92"/>
      <c r="FR39" s="92"/>
      <c r="FS39" s="92"/>
      <c r="FT39" s="92"/>
      <c r="FU39" s="92"/>
      <c r="FV39" s="92"/>
      <c r="FW39" s="92"/>
      <c r="FX39" s="92"/>
      <c r="FY39" s="92"/>
      <c r="FZ39" s="92"/>
      <c r="GA39" s="92"/>
      <c r="GB39" s="92"/>
      <c r="GC39" s="92"/>
      <c r="GD39" s="92"/>
      <c r="GE39" s="92"/>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2"/>
      <c r="HE39" s="92"/>
      <c r="HF39" s="92"/>
      <c r="HG39" s="92"/>
      <c r="HH39" s="92"/>
      <c r="HI39" s="92"/>
      <c r="HJ39" s="92"/>
      <c r="HK39" s="92"/>
      <c r="HL39" s="92"/>
      <c r="HM39" s="92"/>
      <c r="HN39" s="92"/>
      <c r="HO39" s="92"/>
      <c r="HP39" s="92"/>
      <c r="HQ39" s="92"/>
      <c r="HR39" s="92"/>
      <c r="HS39" s="92"/>
      <c r="HT39" s="92"/>
      <c r="HU39" s="92"/>
      <c r="HV39" s="92"/>
      <c r="HW39" s="92"/>
      <c r="HX39" s="92"/>
      <c r="HY39" s="92"/>
      <c r="HZ39" s="92"/>
      <c r="IA39" s="92"/>
      <c r="IB39" s="92"/>
      <c r="IC39" s="92"/>
      <c r="ID39" s="92"/>
      <c r="IE39" s="92"/>
      <c r="IF39" s="92"/>
      <c r="IG39" s="92"/>
      <c r="IH39" s="92"/>
      <c r="II39" s="92"/>
      <c r="IJ39" s="92"/>
      <c r="IK39" s="92"/>
      <c r="IL39" s="92"/>
      <c r="IM39" s="92"/>
      <c r="IN39" s="92"/>
      <c r="IO39" s="92"/>
      <c r="IP39" s="92"/>
      <c r="IQ39" s="92"/>
      <c r="IR39" s="92"/>
      <c r="IS39" s="92"/>
      <c r="IT39" s="92"/>
      <c r="IU39" s="92"/>
      <c r="IV39" s="92"/>
      <c r="IW39" s="92"/>
      <c r="IX39" s="92"/>
      <c r="IY39" s="92"/>
      <c r="IZ39" s="92"/>
      <c r="JA39" s="92"/>
      <c r="JB39" s="92"/>
      <c r="JC39" s="92"/>
      <c r="JD39" s="92"/>
      <c r="JE39" s="92"/>
      <c r="JF39" s="92"/>
      <c r="JG39" s="92"/>
      <c r="JH39" s="92"/>
      <c r="JI39" s="92"/>
      <c r="JJ39" s="92"/>
      <c r="JK39" s="92"/>
      <c r="JL39" s="92"/>
      <c r="JM39" s="92"/>
      <c r="JN39" s="92"/>
      <c r="JO39" s="92"/>
      <c r="JP39" s="92"/>
      <c r="JQ39" s="92"/>
      <c r="JR39" s="92"/>
      <c r="JS39" s="92"/>
      <c r="JT39" s="92"/>
      <c r="JU39" s="92"/>
      <c r="JV39" s="92"/>
      <c r="JW39" s="92"/>
      <c r="JX39" s="92"/>
      <c r="JY39" s="92"/>
      <c r="JZ39" s="92"/>
      <c r="KA39" s="92"/>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2"/>
      <c r="LA39" s="92"/>
      <c r="LB39" s="92"/>
      <c r="LC39" s="92"/>
      <c r="LD39" s="92"/>
      <c r="LE39" s="92"/>
      <c r="LF39" s="92"/>
      <c r="LG39" s="92"/>
      <c r="LH39" s="92"/>
      <c r="LI39" s="92"/>
      <c r="LJ39" s="92"/>
      <c r="LK39" s="92"/>
      <c r="LL39" s="92"/>
      <c r="LM39" s="92"/>
      <c r="LN39" s="92"/>
      <c r="LO39" s="92"/>
      <c r="LP39" s="92"/>
      <c r="LQ39" s="92"/>
      <c r="LR39" s="92"/>
      <c r="LS39" s="92"/>
      <c r="LT39" s="92"/>
      <c r="LU39" s="92"/>
      <c r="LV39" s="92"/>
      <c r="LW39" s="92"/>
      <c r="LX39" s="92"/>
      <c r="LY39" s="92"/>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2"/>
      <c r="MY39" s="92"/>
      <c r="MZ39" s="92"/>
      <c r="NA39" s="92"/>
      <c r="NB39" s="92"/>
      <c r="NC39" s="92"/>
      <c r="ND39" s="92"/>
      <c r="NE39" s="92"/>
      <c r="NF39" s="92"/>
      <c r="NG39" s="92"/>
      <c r="NH39" s="92"/>
      <c r="NI39" s="92"/>
      <c r="NJ39" s="92"/>
      <c r="NK39" s="92"/>
      <c r="NL39" s="92"/>
      <c r="NM39" s="92"/>
      <c r="NN39" s="92"/>
      <c r="NO39" s="92"/>
      <c r="NP39" s="92"/>
      <c r="NQ39" s="92"/>
      <c r="NR39" s="92"/>
      <c r="NS39" s="92"/>
      <c r="NT39" s="92"/>
      <c r="NU39" s="92"/>
      <c r="NV39" s="92"/>
      <c r="NW39" s="92"/>
      <c r="NX39" s="92"/>
      <c r="NY39" s="92"/>
      <c r="NZ39" s="92"/>
      <c r="OA39" s="92"/>
      <c r="OB39" s="92"/>
      <c r="OC39" s="92"/>
      <c r="OD39" s="92"/>
      <c r="OE39" s="92"/>
      <c r="OF39" s="92"/>
      <c r="OG39" s="92"/>
      <c r="OH39" s="92"/>
      <c r="OI39" s="92"/>
      <c r="OJ39" s="92"/>
      <c r="OK39" s="92"/>
      <c r="OL39" s="92"/>
      <c r="OM39" s="92"/>
      <c r="ON39" s="92"/>
      <c r="OO39" s="92"/>
      <c r="OP39" s="92"/>
      <c r="OQ39" s="92"/>
      <c r="OR39" s="92"/>
      <c r="OS39" s="92"/>
      <c r="OT39" s="92"/>
      <c r="OU39" s="92"/>
      <c r="OV39" s="92"/>
      <c r="OW39" s="92"/>
      <c r="OX39" s="92"/>
      <c r="OY39" s="92"/>
      <c r="OZ39" s="92"/>
      <c r="PA39" s="92"/>
      <c r="PB39" s="92"/>
      <c r="PC39" s="92"/>
      <c r="PD39" s="92"/>
      <c r="PE39" s="92"/>
      <c r="PF39" s="92"/>
      <c r="PG39" s="92"/>
      <c r="PH39" s="92"/>
      <c r="PI39" s="92"/>
      <c r="PJ39" s="92"/>
      <c r="PK39" s="92"/>
      <c r="PL39" s="92"/>
      <c r="PM39" s="92"/>
      <c r="PN39" s="92"/>
      <c r="PO39" s="92"/>
      <c r="PP39" s="92"/>
      <c r="PQ39" s="92"/>
      <c r="PR39" s="92"/>
      <c r="PS39" s="92"/>
      <c r="PT39" s="92"/>
      <c r="PU39" s="92"/>
      <c r="PV39" s="92"/>
      <c r="PW39" s="92"/>
      <c r="PX39" s="92"/>
      <c r="PY39" s="92"/>
      <c r="PZ39" s="92"/>
      <c r="QA39" s="92"/>
      <c r="QB39" s="92"/>
      <c r="QC39" s="92"/>
      <c r="QD39" s="92"/>
      <c r="QE39" s="92"/>
      <c r="QF39" s="92"/>
      <c r="QG39" s="92"/>
      <c r="QH39" s="92"/>
      <c r="QI39" s="92"/>
      <c r="QJ39" s="92"/>
      <c r="QK39" s="92"/>
      <c r="QL39" s="92"/>
      <c r="QM39" s="92"/>
      <c r="QN39" s="92"/>
      <c r="QO39" s="92"/>
    </row>
    <row r="40" spans="1:457">
      <c r="A40" s="89">
        <v>5</v>
      </c>
      <c r="B40" s="89" t="s">
        <v>387</v>
      </c>
      <c r="C40" s="101" t="str">
        <f t="shared" si="19"/>
        <v>Manufacture of chemical</v>
      </c>
      <c r="D40" s="272">
        <f t="shared" si="22"/>
        <v>10.844181000000001</v>
      </c>
      <c r="E40" s="272">
        <f t="shared" si="22"/>
        <v>177.06700000000001</v>
      </c>
      <c r="F40" s="272">
        <f t="shared" si="22"/>
        <v>22.242000000000001</v>
      </c>
      <c r="G40" s="271">
        <f t="shared" si="23"/>
        <v>210.15318099999999</v>
      </c>
      <c r="H40" s="94"/>
      <c r="I40" s="94"/>
      <c r="J40" s="94"/>
      <c r="K40" s="94"/>
      <c r="L40" s="94"/>
      <c r="M40" s="94"/>
      <c r="N40" s="94"/>
      <c r="O40" s="95"/>
      <c r="P40" s="95">
        <f t="shared" si="20"/>
        <v>210.15318099999999</v>
      </c>
      <c r="Q40" s="92"/>
      <c r="R40" s="92"/>
      <c r="S40" s="92"/>
      <c r="T40" s="637" t="s">
        <v>240</v>
      </c>
      <c r="U40" s="562">
        <f>U27</f>
        <v>363423.54499999998</v>
      </c>
      <c r="V40" s="562">
        <f t="shared" ref="V40:AC40" si="27">V27</f>
        <v>9122.0974100000003</v>
      </c>
      <c r="W40" s="562">
        <f t="shared" si="27"/>
        <v>37854.733</v>
      </c>
      <c r="X40" s="562">
        <f t="shared" si="27"/>
        <v>18.373000000000001</v>
      </c>
      <c r="Y40" s="562">
        <f t="shared" si="27"/>
        <v>161.10099</v>
      </c>
      <c r="Z40" s="562">
        <f t="shared" si="27"/>
        <v>0</v>
      </c>
      <c r="AA40" s="562">
        <f t="shared" si="27"/>
        <v>363441.91800000001</v>
      </c>
      <c r="AB40" s="562">
        <f t="shared" si="27"/>
        <v>9283.1984000000011</v>
      </c>
      <c r="AC40" s="562">
        <f t="shared" si="27"/>
        <v>37854.733</v>
      </c>
      <c r="AD40" s="140">
        <f t="shared" si="25"/>
        <v>410579.84940000001</v>
      </c>
      <c r="AE40" s="92"/>
      <c r="AF40" s="148"/>
      <c r="AG40" s="322"/>
      <c r="AH40" s="145"/>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2"/>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2"/>
      <c r="CZ40" s="92"/>
      <c r="DA40" s="92"/>
      <c r="DB40" s="92"/>
      <c r="DC40" s="92"/>
      <c r="DD40" s="92"/>
      <c r="DE40" s="92"/>
      <c r="DF40" s="92"/>
      <c r="DG40" s="92"/>
      <c r="DH40" s="92"/>
      <c r="DI40" s="92"/>
      <c r="DJ40" s="92"/>
      <c r="DK40" s="92"/>
      <c r="DL40" s="92"/>
      <c r="DM40" s="92"/>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2"/>
      <c r="FV40" s="92"/>
      <c r="FW40" s="92"/>
      <c r="FX40" s="92"/>
      <c r="FY40" s="92"/>
      <c r="FZ40" s="92"/>
      <c r="GA40" s="92"/>
      <c r="GB40" s="92"/>
      <c r="GC40" s="92"/>
      <c r="GD40" s="92"/>
      <c r="GE40" s="92"/>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2"/>
      <c r="HE40" s="92"/>
      <c r="HF40" s="92"/>
      <c r="HG40" s="92"/>
      <c r="HH40" s="92"/>
      <c r="HI40" s="92"/>
      <c r="HJ40" s="92"/>
      <c r="HK40" s="92"/>
      <c r="HL40" s="92"/>
      <c r="HM40" s="92"/>
      <c r="HN40" s="92"/>
      <c r="HO40" s="92"/>
      <c r="HP40" s="92"/>
      <c r="HQ40" s="92"/>
      <c r="HR40" s="92"/>
      <c r="HS40" s="92"/>
      <c r="HT40" s="92"/>
      <c r="HU40" s="92"/>
      <c r="HV40" s="92"/>
      <c r="HW40" s="92"/>
      <c r="HX40" s="92"/>
      <c r="HY40" s="92"/>
      <c r="HZ40" s="92"/>
      <c r="IA40" s="92"/>
      <c r="IB40" s="92"/>
      <c r="IC40" s="92"/>
      <c r="ID40" s="92"/>
      <c r="IE40" s="92"/>
      <c r="IF40" s="92"/>
      <c r="IG40" s="92"/>
      <c r="IH40" s="92"/>
      <c r="II40" s="92"/>
      <c r="IJ40" s="92"/>
      <c r="IK40" s="92"/>
      <c r="IL40" s="92"/>
      <c r="IM40" s="92"/>
      <c r="IN40" s="92"/>
      <c r="IO40" s="92"/>
      <c r="IP40" s="92"/>
      <c r="IQ40" s="92"/>
      <c r="IR40" s="92"/>
      <c r="IS40" s="92"/>
      <c r="IT40" s="92"/>
      <c r="IU40" s="92"/>
      <c r="IV40" s="92"/>
      <c r="IW40" s="92"/>
      <c r="IX40" s="92"/>
      <c r="IY40" s="92"/>
      <c r="IZ40" s="92"/>
      <c r="JA40" s="92"/>
      <c r="JB40" s="92"/>
      <c r="JC40" s="92"/>
      <c r="JD40" s="92"/>
      <c r="JE40" s="92"/>
      <c r="JF40" s="92"/>
      <c r="JG40" s="92"/>
      <c r="JH40" s="92"/>
      <c r="JI40" s="92"/>
      <c r="JJ40" s="92"/>
      <c r="JK40" s="92"/>
      <c r="JL40" s="92"/>
      <c r="JM40" s="92"/>
      <c r="JN40" s="92"/>
      <c r="JO40" s="92"/>
      <c r="JP40" s="92"/>
      <c r="JQ40" s="92"/>
      <c r="JR40" s="92"/>
      <c r="JS40" s="92"/>
      <c r="JT40" s="92"/>
      <c r="JU40" s="92"/>
      <c r="JV40" s="92"/>
      <c r="JW40" s="92"/>
      <c r="JX40" s="92"/>
      <c r="JY40" s="92"/>
      <c r="JZ40" s="92"/>
      <c r="KA40" s="92"/>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2"/>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2"/>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2"/>
      <c r="MY40" s="92"/>
      <c r="MZ40" s="92"/>
      <c r="NA40" s="92"/>
      <c r="NB40" s="92"/>
      <c r="NC40" s="92"/>
      <c r="ND40" s="92"/>
      <c r="NE40" s="92"/>
      <c r="NF40" s="92"/>
      <c r="NG40" s="92"/>
      <c r="NH40" s="92"/>
      <c r="NI40" s="92"/>
      <c r="NJ40" s="92"/>
      <c r="NK40" s="92"/>
      <c r="NL40" s="92"/>
      <c r="NM40" s="92"/>
      <c r="NN40" s="92"/>
      <c r="NO40" s="92"/>
      <c r="NP40" s="92"/>
      <c r="NQ40" s="92"/>
      <c r="NR40" s="92"/>
      <c r="NS40" s="92"/>
      <c r="NT40" s="92"/>
      <c r="NU40" s="92"/>
      <c r="NV40" s="92"/>
      <c r="NW40" s="92"/>
      <c r="NX40" s="92"/>
      <c r="NY40" s="92"/>
      <c r="NZ40" s="92"/>
      <c r="OA40" s="92"/>
      <c r="OB40" s="92"/>
      <c r="OC40" s="92"/>
      <c r="OD40" s="92"/>
      <c r="OE40" s="92"/>
      <c r="OF40" s="92"/>
      <c r="OG40" s="92"/>
      <c r="OH40" s="92"/>
      <c r="OI40" s="92"/>
      <c r="OJ40" s="92"/>
      <c r="OK40" s="92"/>
      <c r="OL40" s="92"/>
      <c r="OM40" s="92"/>
      <c r="ON40" s="92"/>
      <c r="OO40" s="92"/>
      <c r="OP40" s="92"/>
      <c r="OQ40" s="92"/>
      <c r="OR40" s="92"/>
      <c r="OS40" s="92"/>
      <c r="OT40" s="92"/>
      <c r="OU40" s="92"/>
      <c r="OV40" s="92"/>
      <c r="OW40" s="92"/>
      <c r="OX40" s="92"/>
      <c r="OY40" s="92"/>
      <c r="OZ40" s="92"/>
      <c r="PA40" s="92"/>
      <c r="PB40" s="92"/>
      <c r="PC40" s="92"/>
      <c r="PD40" s="92"/>
      <c r="PE40" s="92"/>
      <c r="PF40" s="92"/>
      <c r="PG40" s="92"/>
      <c r="PH40" s="92"/>
      <c r="PI40" s="92"/>
      <c r="PJ40" s="92"/>
      <c r="PK40" s="92"/>
      <c r="PL40" s="92"/>
      <c r="PM40" s="92"/>
      <c r="PN40" s="92"/>
      <c r="PO40" s="92"/>
      <c r="PP40" s="92"/>
      <c r="PQ40" s="92"/>
      <c r="PR40" s="92"/>
      <c r="PS40" s="92"/>
      <c r="PT40" s="92"/>
      <c r="PU40" s="92"/>
      <c r="PV40" s="92"/>
      <c r="PW40" s="92"/>
      <c r="PX40" s="92"/>
      <c r="PY40" s="92"/>
      <c r="PZ40" s="92"/>
      <c r="QA40" s="92"/>
      <c r="QB40" s="92"/>
      <c r="QC40" s="92"/>
      <c r="QD40" s="92"/>
      <c r="QE40" s="92"/>
      <c r="QF40" s="92"/>
      <c r="QG40" s="92"/>
      <c r="QH40" s="92"/>
      <c r="QI40" s="92"/>
      <c r="QJ40" s="92"/>
      <c r="QK40" s="92"/>
      <c r="QL40" s="92"/>
      <c r="QM40" s="92"/>
      <c r="QN40" s="92"/>
      <c r="QO40" s="92"/>
    </row>
    <row r="41" spans="1:457">
      <c r="A41" s="89">
        <v>6</v>
      </c>
      <c r="B41" s="89" t="s">
        <v>387</v>
      </c>
      <c r="C41" s="101" t="str">
        <f t="shared" si="19"/>
        <v>Manufacture of cement and concrete</v>
      </c>
      <c r="D41" s="272">
        <f t="shared" si="22"/>
        <v>108.61128500000001</v>
      </c>
      <c r="E41" s="272">
        <f t="shared" si="22"/>
        <v>4.4249999999999998</v>
      </c>
      <c r="F41" s="272">
        <f t="shared" si="22"/>
        <v>36.133000000000003</v>
      </c>
      <c r="G41" s="271">
        <f t="shared" si="23"/>
        <v>149.169285</v>
      </c>
      <c r="H41" s="94"/>
      <c r="I41" s="94"/>
      <c r="J41" s="94"/>
      <c r="K41" s="94"/>
      <c r="L41" s="94"/>
      <c r="M41" s="94"/>
      <c r="N41" s="94"/>
      <c r="O41" s="95"/>
      <c r="P41" s="95">
        <f t="shared" si="20"/>
        <v>149.169285</v>
      </c>
      <c r="Q41" s="92"/>
      <c r="R41" s="92"/>
      <c r="S41" s="92"/>
      <c r="T41" s="147" t="s">
        <v>388</v>
      </c>
      <c r="U41" s="148">
        <f t="shared" ref="U41:AC41" si="28">SUM(U12,U23:U24)</f>
        <v>21729.329999999998</v>
      </c>
      <c r="V41" s="148">
        <f t="shared" si="28"/>
        <v>80040.761686362894</v>
      </c>
      <c r="W41" s="148">
        <f t="shared" si="28"/>
        <v>3874.6193035470906</v>
      </c>
      <c r="X41" s="148">
        <f t="shared" si="28"/>
        <v>328447.84599999996</v>
      </c>
      <c r="Y41" s="148">
        <f t="shared" si="28"/>
        <v>68684.086583629323</v>
      </c>
      <c r="Z41" s="148">
        <f t="shared" si="28"/>
        <v>9.0058335852289435</v>
      </c>
      <c r="AA41" s="148">
        <f t="shared" si="28"/>
        <v>350177.17599999998</v>
      </c>
      <c r="AB41" s="148">
        <f t="shared" si="28"/>
        <v>148724.84826999222</v>
      </c>
      <c r="AC41" s="148">
        <f t="shared" si="28"/>
        <v>3883.6251371323192</v>
      </c>
      <c r="AD41" s="140">
        <f>SUM(AA41:AC41)</f>
        <v>502785.6494071245</v>
      </c>
      <c r="AE41" s="92"/>
      <c r="AF41" s="145"/>
      <c r="AG41" s="145"/>
      <c r="AH41" s="145"/>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c r="IW41" s="92"/>
      <c r="IX41" s="92"/>
      <c r="IY41" s="92"/>
      <c r="IZ41" s="92"/>
      <c r="JA41" s="92"/>
      <c r="JB41" s="92"/>
      <c r="JC41" s="92"/>
      <c r="JD41" s="92"/>
      <c r="JE41" s="92"/>
      <c r="JF41" s="92"/>
      <c r="JG41" s="92"/>
      <c r="JH41" s="92"/>
      <c r="JI41" s="92"/>
      <c r="JJ41" s="92"/>
      <c r="JK41" s="92"/>
      <c r="JL41" s="92"/>
      <c r="JM41" s="92"/>
      <c r="JN41" s="92"/>
      <c r="JO41" s="92"/>
      <c r="JP41" s="92"/>
      <c r="JQ41" s="92"/>
      <c r="JR41" s="92"/>
      <c r="JS41" s="92"/>
      <c r="JT41" s="92"/>
      <c r="JU41" s="92"/>
      <c r="JV41" s="92"/>
      <c r="JW41" s="92"/>
      <c r="JX41" s="92"/>
      <c r="JY41" s="92"/>
      <c r="JZ41" s="92"/>
      <c r="KA41" s="92"/>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2"/>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2"/>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2"/>
      <c r="MY41" s="92"/>
      <c r="MZ41" s="92"/>
      <c r="NA41" s="92"/>
      <c r="NB41" s="92"/>
      <c r="NC41" s="92"/>
      <c r="ND41" s="92"/>
      <c r="NE41" s="92"/>
      <c r="NF41" s="92"/>
      <c r="NG41" s="92"/>
      <c r="NH41" s="92"/>
      <c r="NI41" s="92"/>
      <c r="NJ41" s="92"/>
      <c r="NK41" s="92"/>
      <c r="NL41" s="92"/>
      <c r="NM41" s="92"/>
      <c r="NN41" s="92"/>
      <c r="NO41" s="92"/>
      <c r="NP41" s="92"/>
      <c r="NQ41" s="92"/>
      <c r="NR41" s="92"/>
      <c r="NS41" s="92"/>
      <c r="NT41" s="92"/>
      <c r="NU41" s="92"/>
      <c r="NV41" s="92"/>
      <c r="NW41" s="92"/>
      <c r="NX41" s="92"/>
      <c r="NY41" s="92"/>
      <c r="NZ41" s="92"/>
      <c r="OA41" s="92"/>
      <c r="OB41" s="92"/>
      <c r="OC41" s="92"/>
      <c r="OD41" s="92"/>
      <c r="OE41" s="92"/>
      <c r="OF41" s="92"/>
      <c r="OG41" s="92"/>
      <c r="OH41" s="92"/>
      <c r="OI41" s="92"/>
      <c r="OJ41" s="92"/>
      <c r="OK41" s="92"/>
      <c r="OL41" s="92"/>
      <c r="OM41" s="92"/>
      <c r="ON41" s="92"/>
      <c r="OO41" s="92"/>
      <c r="OP41" s="92"/>
      <c r="OQ41" s="92"/>
      <c r="OR41" s="92"/>
      <c r="OS41" s="92"/>
      <c r="OT41" s="92"/>
      <c r="OU41" s="92"/>
      <c r="OV41" s="92"/>
      <c r="OW41" s="92"/>
      <c r="OX41" s="92"/>
      <c r="OY41" s="92"/>
      <c r="OZ41" s="92"/>
      <c r="PA41" s="92"/>
      <c r="PB41" s="92"/>
      <c r="PC41" s="92"/>
      <c r="PD41" s="92"/>
      <c r="PE41" s="92"/>
      <c r="PF41" s="92"/>
      <c r="PG41" s="92"/>
      <c r="PH41" s="92"/>
      <c r="PI41" s="92"/>
      <c r="PJ41" s="92"/>
      <c r="PK41" s="92"/>
      <c r="PL41" s="92"/>
      <c r="PM41" s="92"/>
      <c r="PN41" s="92"/>
      <c r="PO41" s="92"/>
      <c r="PP41" s="92"/>
      <c r="PQ41" s="92"/>
      <c r="PR41" s="92"/>
      <c r="PS41" s="92"/>
      <c r="PT41" s="92"/>
      <c r="PU41" s="92"/>
      <c r="PV41" s="92"/>
      <c r="PW41" s="92"/>
      <c r="PX41" s="92"/>
      <c r="PY41" s="92"/>
      <c r="PZ41" s="92"/>
      <c r="QA41" s="92"/>
      <c r="QB41" s="92"/>
      <c r="QC41" s="92"/>
      <c r="QD41" s="92"/>
      <c r="QE41" s="92"/>
      <c r="QF41" s="92"/>
      <c r="QG41" s="92"/>
      <c r="QH41" s="92"/>
      <c r="QI41" s="92"/>
      <c r="QJ41" s="92"/>
      <c r="QK41" s="92"/>
      <c r="QL41" s="92"/>
      <c r="QM41" s="92"/>
      <c r="QN41" s="92"/>
      <c r="QO41" s="92"/>
    </row>
    <row r="42" spans="1:457">
      <c r="A42" s="89">
        <v>7</v>
      </c>
      <c r="B42" s="89" t="s">
        <v>387</v>
      </c>
      <c r="C42" s="101" t="str">
        <f t="shared" si="19"/>
        <v>Manufacture of steel</v>
      </c>
      <c r="D42" s="272">
        <f t="shared" si="22"/>
        <v>71.210695000000001</v>
      </c>
      <c r="E42" s="272">
        <f t="shared" si="22"/>
        <v>115.285</v>
      </c>
      <c r="F42" s="272">
        <f t="shared" si="22"/>
        <v>21.582000000000001</v>
      </c>
      <c r="G42" s="271">
        <f t="shared" si="23"/>
        <v>208.07769500000001</v>
      </c>
      <c r="H42" s="94"/>
      <c r="I42" s="94"/>
      <c r="J42" s="94"/>
      <c r="K42" s="94"/>
      <c r="L42" s="94"/>
      <c r="M42" s="94"/>
      <c r="N42" s="94"/>
      <c r="O42" s="95"/>
      <c r="P42" s="95">
        <f t="shared" si="20"/>
        <v>208.07769500000001</v>
      </c>
      <c r="Q42" s="92"/>
      <c r="R42" s="92"/>
      <c r="S42" s="92"/>
      <c r="T42" s="147" t="s">
        <v>421</v>
      </c>
      <c r="U42" s="148">
        <f t="shared" ref="U42:AC42" si="29">U25</f>
        <v>81222.350000000006</v>
      </c>
      <c r="V42" s="148">
        <f t="shared" si="29"/>
        <v>27556.933948516333</v>
      </c>
      <c r="W42" s="148">
        <f t="shared" si="29"/>
        <v>1386.096</v>
      </c>
      <c r="X42" s="148">
        <f t="shared" si="29"/>
        <v>421.95100000000002</v>
      </c>
      <c r="Y42" s="148">
        <f t="shared" si="29"/>
        <v>2622.2195695659325</v>
      </c>
      <c r="Z42" s="148">
        <f t="shared" si="29"/>
        <v>1.177</v>
      </c>
      <c r="AA42" s="148">
        <f t="shared" si="29"/>
        <v>81644.301000000007</v>
      </c>
      <c r="AB42" s="148">
        <f t="shared" si="29"/>
        <v>30179.153518082265</v>
      </c>
      <c r="AC42" s="148">
        <f t="shared" si="29"/>
        <v>1387.2729999999999</v>
      </c>
      <c r="AD42" s="140">
        <f>SUM(AA42:AC42)</f>
        <v>113210.72751808228</v>
      </c>
      <c r="AE42" s="92"/>
      <c r="AF42" s="92"/>
      <c r="AG42" s="92"/>
      <c r="AH42" s="145"/>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c r="IW42" s="92"/>
      <c r="IX42" s="92"/>
      <c r="IY42" s="92"/>
      <c r="IZ42" s="92"/>
      <c r="JA42" s="92"/>
      <c r="JB42" s="92"/>
      <c r="JC42" s="92"/>
      <c r="JD42" s="92"/>
      <c r="JE42" s="92"/>
      <c r="JF42" s="92"/>
      <c r="JG42" s="92"/>
      <c r="JH42" s="92"/>
      <c r="JI42" s="92"/>
      <c r="JJ42" s="92"/>
      <c r="JK42" s="92"/>
      <c r="JL42" s="92"/>
      <c r="JM42" s="92"/>
      <c r="JN42" s="92"/>
      <c r="JO42" s="92"/>
      <c r="JP42" s="92"/>
      <c r="JQ42" s="92"/>
      <c r="JR42" s="92"/>
      <c r="JS42" s="92"/>
      <c r="JT42" s="92"/>
      <c r="JU42" s="92"/>
      <c r="JV42" s="92"/>
      <c r="JW42" s="92"/>
      <c r="JX42" s="92"/>
      <c r="JY42" s="92"/>
      <c r="JZ42" s="92"/>
      <c r="KA42" s="92"/>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2"/>
      <c r="LA42" s="92"/>
      <c r="LB42" s="92"/>
      <c r="LC42" s="92"/>
      <c r="LD42" s="92"/>
      <c r="LE42" s="92"/>
      <c r="LF42" s="92"/>
      <c r="LG42" s="92"/>
      <c r="LH42" s="92"/>
      <c r="LI42" s="92"/>
      <c r="LJ42" s="92"/>
      <c r="LK42" s="92"/>
      <c r="LL42" s="92"/>
      <c r="LM42" s="92"/>
      <c r="LN42" s="92"/>
      <c r="LO42" s="92"/>
      <c r="LP42" s="92"/>
      <c r="LQ42" s="92"/>
      <c r="LR42" s="92"/>
      <c r="LS42" s="92"/>
      <c r="LT42" s="92"/>
      <c r="LU42" s="92"/>
      <c r="LV42" s="92"/>
      <c r="LW42" s="92"/>
      <c r="LX42" s="92"/>
      <c r="LY42" s="92"/>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2"/>
      <c r="MY42" s="92"/>
      <c r="MZ42" s="92"/>
      <c r="NA42" s="92"/>
      <c r="NB42" s="92"/>
      <c r="NC42" s="92"/>
      <c r="ND42" s="92"/>
      <c r="NE42" s="92"/>
      <c r="NF42" s="92"/>
      <c r="NG42" s="92"/>
      <c r="NH42" s="92"/>
      <c r="NI42" s="92"/>
      <c r="NJ42" s="92"/>
      <c r="NK42" s="92"/>
      <c r="NL42" s="92"/>
      <c r="NM42" s="92"/>
      <c r="NN42" s="92"/>
      <c r="NO42" s="92"/>
      <c r="NP42" s="92"/>
      <c r="NQ42" s="92"/>
      <c r="NR42" s="92"/>
      <c r="NS42" s="92"/>
      <c r="NT42" s="92"/>
      <c r="NU42" s="92"/>
      <c r="NV42" s="92"/>
      <c r="NW42" s="92"/>
      <c r="NX42" s="92"/>
      <c r="NY42" s="92"/>
      <c r="NZ42" s="92"/>
      <c r="OA42" s="92"/>
      <c r="OB42" s="92"/>
      <c r="OC42" s="92"/>
      <c r="OD42" s="92"/>
      <c r="OE42" s="92"/>
      <c r="OF42" s="92"/>
      <c r="OG42" s="92"/>
      <c r="OH42" s="92"/>
      <c r="OI42" s="92"/>
      <c r="OJ42" s="92"/>
      <c r="OK42" s="92"/>
      <c r="OL42" s="92"/>
      <c r="OM42" s="92"/>
      <c r="ON42" s="92"/>
      <c r="OO42" s="92"/>
      <c r="OP42" s="92"/>
      <c r="OQ42" s="92"/>
      <c r="OR42" s="92"/>
      <c r="OS42" s="92"/>
      <c r="OT42" s="92"/>
      <c r="OU42" s="92"/>
      <c r="OV42" s="92"/>
      <c r="OW42" s="92"/>
      <c r="OX42" s="92"/>
      <c r="OY42" s="92"/>
      <c r="OZ42" s="92"/>
      <c r="PA42" s="92"/>
      <c r="PB42" s="92"/>
      <c r="PC42" s="92"/>
      <c r="PD42" s="92"/>
      <c r="PE42" s="92"/>
      <c r="PF42" s="92"/>
      <c r="PG42" s="92"/>
      <c r="PH42" s="92"/>
      <c r="PI42" s="92"/>
      <c r="PJ42" s="92"/>
      <c r="PK42" s="92"/>
      <c r="PL42" s="92"/>
      <c r="PM42" s="92"/>
      <c r="PN42" s="92"/>
      <c r="PO42" s="92"/>
      <c r="PP42" s="92"/>
      <c r="PQ42" s="92"/>
      <c r="PR42" s="92"/>
      <c r="PS42" s="92"/>
      <c r="PT42" s="92"/>
      <c r="PU42" s="92"/>
      <c r="PV42" s="92"/>
      <c r="PW42" s="92"/>
      <c r="PX42" s="92"/>
      <c r="PY42" s="92"/>
      <c r="PZ42" s="92"/>
      <c r="QA42" s="92"/>
      <c r="QB42" s="92"/>
      <c r="QC42" s="92"/>
      <c r="QD42" s="92"/>
      <c r="QE42" s="92"/>
      <c r="QF42" s="92"/>
      <c r="QG42" s="92"/>
      <c r="QH42" s="92"/>
      <c r="QI42" s="92"/>
      <c r="QJ42" s="92"/>
      <c r="QK42" s="92"/>
      <c r="QL42" s="92"/>
      <c r="QM42" s="92"/>
      <c r="QN42" s="92"/>
      <c r="QO42" s="92"/>
    </row>
    <row r="43" spans="1:457">
      <c r="A43" s="89">
        <v>8</v>
      </c>
      <c r="B43" s="89" t="s">
        <v>387</v>
      </c>
      <c r="C43" s="101" t="str">
        <f t="shared" si="19"/>
        <v>Manufature of machine and equipment</v>
      </c>
      <c r="D43" s="272">
        <f>AA11/U$94</f>
        <v>24.733881096929654</v>
      </c>
      <c r="E43" s="272">
        <f>AB11/V$94</f>
        <v>28.706752980998399</v>
      </c>
      <c r="F43" s="272">
        <f>AC11/W$94</f>
        <v>117.9710362678199</v>
      </c>
      <c r="G43" s="271">
        <f t="shared" si="23"/>
        <v>171.41167034574795</v>
      </c>
      <c r="H43" s="94"/>
      <c r="I43" s="94"/>
      <c r="J43" s="94"/>
      <c r="K43" s="94"/>
      <c r="L43" s="94"/>
      <c r="M43" s="94"/>
      <c r="N43" s="94"/>
      <c r="O43" s="95"/>
      <c r="P43" s="95">
        <f t="shared" si="20"/>
        <v>171.41167034574795</v>
      </c>
      <c r="Q43" s="92"/>
      <c r="R43" s="92"/>
      <c r="S43" s="92"/>
      <c r="T43" s="98" t="s">
        <v>7</v>
      </c>
      <c r="U43" s="144">
        <f t="shared" ref="U43:AD43" si="30">SUM(U35:U42)</f>
        <v>940758.90899999999</v>
      </c>
      <c r="V43" s="144">
        <f t="shared" si="30"/>
        <v>156004.49903354919</v>
      </c>
      <c r="W43" s="144">
        <f t="shared" si="30"/>
        <v>316043.598</v>
      </c>
      <c r="X43" s="144">
        <f t="shared" si="30"/>
        <v>390099.26499999996</v>
      </c>
      <c r="Y43" s="144">
        <f t="shared" si="30"/>
        <v>122867.91680652683</v>
      </c>
      <c r="Z43" s="144">
        <f t="shared" si="30"/>
        <v>1045.2849999999999</v>
      </c>
      <c r="AA43" s="144">
        <f t="shared" si="30"/>
        <v>1330858.1739999999</v>
      </c>
      <c r="AB43" s="144">
        <f t="shared" si="30"/>
        <v>278872.41584007605</v>
      </c>
      <c r="AC43" s="144">
        <f t="shared" si="30"/>
        <v>317088.88300000003</v>
      </c>
      <c r="AD43" s="144">
        <f t="shared" si="30"/>
        <v>1926819.4728400761</v>
      </c>
      <c r="AE43" s="92"/>
      <c r="AF43" s="92"/>
      <c r="AG43" s="92"/>
      <c r="AH43" s="145"/>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c r="IW43" s="92"/>
      <c r="IX43" s="92"/>
      <c r="IY43" s="92"/>
      <c r="IZ43" s="92"/>
      <c r="JA43" s="92"/>
      <c r="JB43" s="92"/>
      <c r="JC43" s="92"/>
      <c r="JD43" s="92"/>
      <c r="JE43" s="92"/>
      <c r="JF43" s="92"/>
      <c r="JG43" s="92"/>
      <c r="JH43" s="92"/>
      <c r="JI43" s="92"/>
      <c r="JJ43" s="92"/>
      <c r="JK43" s="92"/>
      <c r="JL43" s="92"/>
      <c r="JM43" s="92"/>
      <c r="JN43" s="92"/>
      <c r="JO43" s="92"/>
      <c r="JP43" s="92"/>
      <c r="JQ43" s="92"/>
      <c r="JR43" s="92"/>
      <c r="JS43" s="92"/>
      <c r="JT43" s="92"/>
      <c r="JU43" s="92"/>
      <c r="JV43" s="92"/>
      <c r="JW43" s="92"/>
      <c r="JX43" s="92"/>
      <c r="JY43" s="92"/>
      <c r="JZ43" s="92"/>
      <c r="KA43" s="92"/>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2"/>
      <c r="LA43" s="92"/>
      <c r="LB43" s="92"/>
      <c r="LC43" s="92"/>
      <c r="LD43" s="92"/>
      <c r="LE43" s="92"/>
      <c r="LF43" s="92"/>
      <c r="LG43" s="92"/>
      <c r="LH43" s="92"/>
      <c r="LI43" s="92"/>
      <c r="LJ43" s="92"/>
      <c r="LK43" s="92"/>
      <c r="LL43" s="92"/>
      <c r="LM43" s="92"/>
      <c r="LN43" s="92"/>
      <c r="LO43" s="92"/>
      <c r="LP43" s="92"/>
      <c r="LQ43" s="92"/>
      <c r="LR43" s="92"/>
      <c r="LS43" s="92"/>
      <c r="LT43" s="92"/>
      <c r="LU43" s="92"/>
      <c r="LV43" s="92"/>
      <c r="LW43" s="92"/>
      <c r="LX43" s="92"/>
      <c r="LY43" s="92"/>
      <c r="LZ43" s="92"/>
      <c r="MA43" s="92"/>
      <c r="MB43" s="92"/>
      <c r="MC43" s="92"/>
      <c r="MD43" s="92"/>
      <c r="ME43" s="92"/>
      <c r="MF43" s="92"/>
      <c r="MG43" s="92"/>
      <c r="MH43" s="92"/>
      <c r="MI43" s="92"/>
      <c r="MJ43" s="92"/>
      <c r="MK43" s="92"/>
      <c r="ML43" s="92"/>
      <c r="MM43" s="92"/>
      <c r="MN43" s="92"/>
      <c r="MO43" s="92"/>
      <c r="MP43" s="92"/>
      <c r="MQ43" s="92"/>
      <c r="MR43" s="92"/>
      <c r="MS43" s="92"/>
      <c r="MT43" s="92"/>
      <c r="MU43" s="92"/>
      <c r="MV43" s="92"/>
      <c r="MW43" s="92"/>
      <c r="MX43" s="92"/>
      <c r="MY43" s="92"/>
      <c r="MZ43" s="92"/>
      <c r="NA43" s="92"/>
      <c r="NB43" s="92"/>
      <c r="NC43" s="92"/>
      <c r="ND43" s="92"/>
      <c r="NE43" s="92"/>
      <c r="NF43" s="92"/>
      <c r="NG43" s="92"/>
      <c r="NH43" s="92"/>
      <c r="NI43" s="92"/>
      <c r="NJ43" s="92"/>
      <c r="NK43" s="92"/>
      <c r="NL43" s="92"/>
      <c r="NM43" s="92"/>
      <c r="NN43" s="92"/>
      <c r="NO43" s="92"/>
      <c r="NP43" s="92"/>
      <c r="NQ43" s="92"/>
      <c r="NR43" s="92"/>
      <c r="NS43" s="92"/>
      <c r="NT43" s="92"/>
      <c r="NU43" s="92"/>
      <c r="NV43" s="92"/>
      <c r="NW43" s="92"/>
      <c r="NX43" s="92"/>
      <c r="NY43" s="92"/>
      <c r="NZ43" s="92"/>
      <c r="OA43" s="92"/>
      <c r="OB43" s="92"/>
      <c r="OC43" s="92"/>
      <c r="OD43" s="92"/>
      <c r="OE43" s="92"/>
      <c r="OF43" s="92"/>
      <c r="OG43" s="92"/>
      <c r="OH43" s="92"/>
      <c r="OI43" s="92"/>
      <c r="OJ43" s="92"/>
      <c r="OK43" s="92"/>
      <c r="OL43" s="92"/>
      <c r="OM43" s="92"/>
      <c r="ON43" s="92"/>
      <c r="OO43" s="92"/>
      <c r="OP43" s="92"/>
      <c r="OQ43" s="92"/>
      <c r="OR43" s="92"/>
      <c r="OS43" s="92"/>
      <c r="OT43" s="92"/>
      <c r="OU43" s="92"/>
      <c r="OV43" s="92"/>
      <c r="OW43" s="92"/>
      <c r="OX43" s="92"/>
      <c r="OY43" s="92"/>
      <c r="OZ43" s="92"/>
      <c r="PA43" s="92"/>
      <c r="PB43" s="92"/>
      <c r="PC43" s="92"/>
      <c r="PD43" s="92"/>
      <c r="PE43" s="92"/>
      <c r="PF43" s="92"/>
      <c r="PG43" s="92"/>
      <c r="PH43" s="92"/>
      <c r="PI43" s="92"/>
      <c r="PJ43" s="92"/>
      <c r="PK43" s="92"/>
      <c r="PL43" s="92"/>
      <c r="PM43" s="92"/>
      <c r="PN43" s="92"/>
      <c r="PO43" s="92"/>
      <c r="PP43" s="92"/>
      <c r="PQ43" s="92"/>
      <c r="PR43" s="92"/>
      <c r="PS43" s="92"/>
      <c r="PT43" s="92"/>
      <c r="PU43" s="92"/>
      <c r="PV43" s="92"/>
      <c r="PW43" s="92"/>
      <c r="PX43" s="92"/>
      <c r="PY43" s="92"/>
      <c r="PZ43" s="92"/>
      <c r="QA43" s="92"/>
      <c r="QB43" s="92"/>
      <c r="QC43" s="92"/>
      <c r="QD43" s="92"/>
      <c r="QE43" s="92"/>
      <c r="QF43" s="92"/>
      <c r="QG43" s="92"/>
      <c r="QH43" s="92"/>
      <c r="QI43" s="92"/>
      <c r="QJ43" s="92"/>
      <c r="QK43" s="92"/>
      <c r="QL43" s="92"/>
      <c r="QM43" s="92"/>
      <c r="QN43" s="92"/>
      <c r="QO43" s="92"/>
    </row>
    <row r="44" spans="1:457">
      <c r="A44" s="89">
        <v>9</v>
      </c>
      <c r="B44" s="624" t="s">
        <v>388</v>
      </c>
      <c r="C44" s="215" t="str">
        <f t="shared" si="19"/>
        <v>Extraction of oil and gas</v>
      </c>
      <c r="D44" s="642">
        <f>AA12/U104</f>
        <v>3.7859602451219474</v>
      </c>
      <c r="E44" s="642">
        <f>AB12/V104</f>
        <v>148.57849322623136</v>
      </c>
      <c r="F44" s="642">
        <f>AC12/W104</f>
        <v>5.3742002651226866</v>
      </c>
      <c r="G44" s="643">
        <f t="shared" si="23"/>
        <v>157.73865373647598</v>
      </c>
      <c r="H44" s="94"/>
      <c r="I44" s="94"/>
      <c r="J44" s="94"/>
      <c r="K44" s="94"/>
      <c r="L44" s="94"/>
      <c r="M44" s="94"/>
      <c r="N44" s="94"/>
      <c r="O44" s="95"/>
      <c r="P44" s="95">
        <f t="shared" si="20"/>
        <v>157.73865373647598</v>
      </c>
      <c r="Q44" s="92"/>
      <c r="R44" s="92"/>
      <c r="S44" s="92"/>
      <c r="T44" s="596"/>
      <c r="U44" s="562"/>
      <c r="V44" s="562"/>
      <c r="W44" s="562"/>
      <c r="X44" s="562"/>
      <c r="Y44" s="562"/>
      <c r="Z44" s="562"/>
      <c r="AA44" s="562"/>
      <c r="AB44" s="562"/>
      <c r="AC44" s="562"/>
      <c r="AD44" s="140"/>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2"/>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2"/>
      <c r="CZ44" s="92"/>
      <c r="DA44" s="92"/>
      <c r="DB44" s="92"/>
      <c r="DC44" s="92"/>
      <c r="DD44" s="92"/>
      <c r="DE44" s="92"/>
      <c r="DF44" s="92"/>
      <c r="DG44" s="92"/>
      <c r="DH44" s="92"/>
      <c r="DI44" s="92"/>
      <c r="DJ44" s="92"/>
      <c r="DK44" s="92"/>
      <c r="DL44" s="92"/>
      <c r="DM44" s="92"/>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2"/>
      <c r="FV44" s="92"/>
      <c r="FW44" s="92"/>
      <c r="FX44" s="92"/>
      <c r="FY44" s="92"/>
      <c r="FZ44" s="92"/>
      <c r="GA44" s="92"/>
      <c r="GB44" s="92"/>
      <c r="GC44" s="92"/>
      <c r="GD44" s="92"/>
      <c r="GE44" s="92"/>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2"/>
      <c r="HE44" s="92"/>
      <c r="HF44" s="92"/>
      <c r="HG44" s="92"/>
      <c r="HH44" s="92"/>
      <c r="HI44" s="92"/>
      <c r="HJ44" s="92"/>
      <c r="HK44" s="92"/>
      <c r="HL44" s="92"/>
      <c r="HM44" s="92"/>
      <c r="HN44" s="92"/>
      <c r="HO44" s="92"/>
      <c r="HP44" s="92"/>
      <c r="HQ44" s="92"/>
      <c r="HR44" s="92"/>
      <c r="HS44" s="92"/>
      <c r="HT44" s="92"/>
      <c r="HU44" s="92"/>
      <c r="HV44" s="92"/>
      <c r="HW44" s="92"/>
      <c r="HX44" s="92"/>
      <c r="HY44" s="92"/>
      <c r="HZ44" s="92"/>
      <c r="IA44" s="92"/>
      <c r="IB44" s="92"/>
      <c r="IC44" s="92"/>
      <c r="ID44" s="92"/>
      <c r="IE44" s="92"/>
      <c r="IF44" s="92"/>
      <c r="IG44" s="92"/>
      <c r="IH44" s="92"/>
      <c r="II44" s="92"/>
      <c r="IJ44" s="92"/>
      <c r="IK44" s="92"/>
      <c r="IL44" s="92"/>
      <c r="IM44" s="92"/>
      <c r="IN44" s="92"/>
      <c r="IO44" s="92"/>
      <c r="IP44" s="92"/>
      <c r="IQ44" s="92"/>
      <c r="IR44" s="92"/>
      <c r="IS44" s="92"/>
      <c r="IT44" s="92"/>
      <c r="IU44" s="92"/>
      <c r="IV44" s="92"/>
      <c r="IW44" s="92"/>
      <c r="IX44" s="92"/>
      <c r="IY44" s="92"/>
      <c r="IZ44" s="92"/>
      <c r="JA44" s="92"/>
      <c r="JB44" s="92"/>
      <c r="JC44" s="92"/>
      <c r="JD44" s="92"/>
      <c r="JE44" s="92"/>
      <c r="JF44" s="92"/>
      <c r="JG44" s="92"/>
      <c r="JH44" s="92"/>
      <c r="JI44" s="92"/>
      <c r="JJ44" s="92"/>
      <c r="JK44" s="92"/>
      <c r="JL44" s="92"/>
      <c r="JM44" s="92"/>
      <c r="JN44" s="92"/>
      <c r="JO44" s="92"/>
      <c r="JP44" s="92"/>
      <c r="JQ44" s="92"/>
      <c r="JR44" s="92"/>
      <c r="JS44" s="92"/>
      <c r="JT44" s="92"/>
      <c r="JU44" s="92"/>
      <c r="JV44" s="92"/>
      <c r="JW44" s="92"/>
      <c r="JX44" s="92"/>
      <c r="JY44" s="92"/>
      <c r="JZ44" s="92"/>
      <c r="KA44" s="92"/>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2"/>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2"/>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2"/>
      <c r="MY44" s="92"/>
      <c r="MZ44" s="92"/>
      <c r="NA44" s="92"/>
      <c r="NB44" s="92"/>
      <c r="NC44" s="92"/>
      <c r="ND44" s="92"/>
      <c r="NE44" s="92"/>
      <c r="NF44" s="92"/>
      <c r="NG44" s="92"/>
      <c r="NH44" s="92"/>
      <c r="NI44" s="92"/>
      <c r="NJ44" s="92"/>
      <c r="NK44" s="92"/>
      <c r="NL44" s="92"/>
      <c r="NM44" s="92"/>
      <c r="NN44" s="92"/>
      <c r="NO44" s="92"/>
      <c r="NP44" s="92"/>
      <c r="NQ44" s="92"/>
      <c r="NR44" s="92"/>
      <c r="NS44" s="92"/>
      <c r="NT44" s="92"/>
      <c r="NU44" s="92"/>
      <c r="NV44" s="92"/>
      <c r="NW44" s="92"/>
      <c r="NX44" s="92"/>
      <c r="NY44" s="92"/>
      <c r="NZ44" s="92"/>
      <c r="OA44" s="92"/>
      <c r="OB44" s="92"/>
      <c r="OC44" s="92"/>
      <c r="OD44" s="92"/>
      <c r="OE44" s="92"/>
      <c r="OF44" s="92"/>
      <c r="OG44" s="92"/>
      <c r="OH44" s="92"/>
      <c r="OI44" s="92"/>
      <c r="OJ44" s="92"/>
      <c r="OK44" s="92"/>
      <c r="OL44" s="92"/>
      <c r="OM44" s="92"/>
      <c r="ON44" s="92"/>
      <c r="OO44" s="92"/>
      <c r="OP44" s="92"/>
      <c r="OQ44" s="92"/>
      <c r="OR44" s="92"/>
      <c r="OS44" s="92"/>
      <c r="OT44" s="92"/>
      <c r="OU44" s="92"/>
      <c r="OV44" s="92"/>
      <c r="OW44" s="92"/>
      <c r="OX44" s="92"/>
      <c r="OY44" s="92"/>
      <c r="OZ44" s="92"/>
      <c r="PA44" s="92"/>
      <c r="PB44" s="92"/>
      <c r="PC44" s="92"/>
      <c r="PD44" s="92"/>
      <c r="PE44" s="92"/>
      <c r="PF44" s="92"/>
      <c r="PG44" s="92"/>
      <c r="PH44" s="92"/>
      <c r="PI44" s="92"/>
      <c r="PJ44" s="92"/>
      <c r="PK44" s="92"/>
      <c r="PL44" s="92"/>
      <c r="PM44" s="92"/>
      <c r="PN44" s="92"/>
      <c r="PO44" s="92"/>
      <c r="PP44" s="92"/>
      <c r="PQ44" s="92"/>
      <c r="PR44" s="92"/>
      <c r="PS44" s="92"/>
      <c r="PT44" s="92"/>
      <c r="PU44" s="92"/>
      <c r="PV44" s="92"/>
      <c r="PW44" s="92"/>
      <c r="PX44" s="92"/>
      <c r="PY44" s="92"/>
      <c r="PZ44" s="92"/>
      <c r="QA44" s="92"/>
      <c r="QB44" s="92"/>
      <c r="QC44" s="92"/>
      <c r="QD44" s="92"/>
      <c r="QE44" s="92"/>
      <c r="QF44" s="92"/>
      <c r="QG44" s="92"/>
      <c r="QH44" s="92"/>
      <c r="QI44" s="92"/>
      <c r="QJ44" s="92"/>
      <c r="QK44" s="92"/>
      <c r="QL44" s="92"/>
      <c r="QM44" s="92"/>
      <c r="QN44" s="92"/>
      <c r="QO44" s="92"/>
    </row>
    <row r="45" spans="1:457">
      <c r="A45" s="89">
        <v>10</v>
      </c>
      <c r="B45" s="89" t="s">
        <v>387</v>
      </c>
      <c r="C45" s="101" t="str">
        <f t="shared" si="19"/>
        <v>Construction of buildings</v>
      </c>
      <c r="D45" s="272">
        <f>AA13/U$93</f>
        <v>10.947546000000001</v>
      </c>
      <c r="E45" s="272">
        <f>AB13/V$93</f>
        <v>1.6292535026314869</v>
      </c>
      <c r="F45" s="272">
        <f>AC13/W$93</f>
        <v>1.7729999999999999</v>
      </c>
      <c r="G45" s="271">
        <f t="shared" si="23"/>
        <v>14.349799502631488</v>
      </c>
      <c r="H45" s="94"/>
      <c r="I45" s="94"/>
      <c r="J45" s="94"/>
      <c r="K45" s="94"/>
      <c r="L45" s="94"/>
      <c r="M45" s="94"/>
      <c r="N45" s="94"/>
      <c r="O45" s="95"/>
      <c r="P45" s="95">
        <f t="shared" si="20"/>
        <v>14.349799502631488</v>
      </c>
      <c r="Q45" s="92"/>
      <c r="R45" s="92"/>
      <c r="S45" s="92"/>
      <c r="T45" s="267"/>
      <c r="U45" s="640"/>
      <c r="V45" s="640"/>
      <c r="W45" s="640"/>
      <c r="X45" s="640"/>
      <c r="Y45" s="640"/>
      <c r="Z45" s="640"/>
      <c r="AA45" s="640"/>
      <c r="AB45" s="640"/>
      <c r="AC45" s="640"/>
      <c r="AD45" s="140"/>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c r="IW45" s="92"/>
      <c r="IX45" s="92"/>
      <c r="IY45" s="92"/>
      <c r="IZ45" s="92"/>
      <c r="JA45" s="92"/>
      <c r="JB45" s="92"/>
      <c r="JC45" s="92"/>
      <c r="JD45" s="92"/>
      <c r="JE45" s="92"/>
      <c r="JF45" s="92"/>
      <c r="JG45" s="92"/>
      <c r="JH45" s="92"/>
      <c r="JI45" s="92"/>
      <c r="JJ45" s="92"/>
      <c r="JK45" s="92"/>
      <c r="JL45" s="92"/>
      <c r="JM45" s="92"/>
      <c r="JN45" s="92"/>
      <c r="JO45" s="92"/>
      <c r="JP45" s="92"/>
      <c r="JQ45" s="92"/>
      <c r="JR45" s="92"/>
      <c r="JS45" s="92"/>
      <c r="JT45" s="92"/>
      <c r="JU45" s="92"/>
      <c r="JV45" s="92"/>
      <c r="JW45" s="92"/>
      <c r="JX45" s="92"/>
      <c r="JY45" s="92"/>
      <c r="JZ45" s="92"/>
      <c r="KA45" s="92"/>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2"/>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2"/>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2"/>
      <c r="MY45" s="92"/>
      <c r="MZ45" s="92"/>
      <c r="NA45" s="92"/>
      <c r="NB45" s="92"/>
      <c r="NC45" s="92"/>
      <c r="ND45" s="92"/>
      <c r="NE45" s="92"/>
      <c r="NF45" s="92"/>
      <c r="NG45" s="92"/>
      <c r="NH45" s="92"/>
      <c r="NI45" s="92"/>
      <c r="NJ45" s="92"/>
      <c r="NK45" s="92"/>
      <c r="NL45" s="92"/>
      <c r="NM45" s="92"/>
      <c r="NN45" s="92"/>
      <c r="NO45" s="92"/>
      <c r="NP45" s="92"/>
      <c r="NQ45" s="92"/>
      <c r="NR45" s="92"/>
      <c r="NS45" s="92"/>
      <c r="NT45" s="92"/>
      <c r="NU45" s="92"/>
      <c r="NV45" s="92"/>
      <c r="NW45" s="92"/>
      <c r="NX45" s="92"/>
      <c r="NY45" s="92"/>
      <c r="NZ45" s="92"/>
      <c r="OA45" s="92"/>
      <c r="OB45" s="92"/>
      <c r="OC45" s="92"/>
      <c r="OD45" s="92"/>
      <c r="OE45" s="92"/>
      <c r="OF45" s="92"/>
      <c r="OG45" s="92"/>
      <c r="OH45" s="92"/>
      <c r="OI45" s="92"/>
      <c r="OJ45" s="92"/>
      <c r="OK45" s="92"/>
      <c r="OL45" s="92"/>
      <c r="OM45" s="92"/>
      <c r="ON45" s="92"/>
      <c r="OO45" s="92"/>
      <c r="OP45" s="92"/>
      <c r="OQ45" s="92"/>
      <c r="OR45" s="92"/>
      <c r="OS45" s="92"/>
      <c r="OT45" s="92"/>
      <c r="OU45" s="92"/>
      <c r="OV45" s="92"/>
      <c r="OW45" s="92"/>
      <c r="OX45" s="92"/>
      <c r="OY45" s="92"/>
      <c r="OZ45" s="92"/>
      <c r="PA45" s="92"/>
      <c r="PB45" s="92"/>
      <c r="PC45" s="92"/>
      <c r="PD45" s="92"/>
      <c r="PE45" s="92"/>
      <c r="PF45" s="92"/>
      <c r="PG45" s="92"/>
      <c r="PH45" s="92"/>
      <c r="PI45" s="92"/>
      <c r="PJ45" s="92"/>
      <c r="PK45" s="92"/>
      <c r="PL45" s="92"/>
      <c r="PM45" s="92"/>
      <c r="PN45" s="92"/>
      <c r="PO45" s="92"/>
      <c r="PP45" s="92"/>
      <c r="PQ45" s="92"/>
      <c r="PR45" s="92"/>
      <c r="PS45" s="92"/>
      <c r="PT45" s="92"/>
      <c r="PU45" s="92"/>
      <c r="PV45" s="92"/>
      <c r="PW45" s="92"/>
      <c r="PX45" s="92"/>
      <c r="PY45" s="92"/>
      <c r="PZ45" s="92"/>
      <c r="QA45" s="92"/>
      <c r="QB45" s="92"/>
      <c r="QC45" s="92"/>
      <c r="QD45" s="92"/>
      <c r="QE45" s="92"/>
      <c r="QF45" s="92"/>
      <c r="QG45" s="92"/>
      <c r="QH45" s="92"/>
      <c r="QI45" s="92"/>
      <c r="QJ45" s="92"/>
      <c r="QK45" s="92"/>
      <c r="QL45" s="92"/>
      <c r="QM45" s="92"/>
      <c r="QN45" s="92"/>
      <c r="QO45" s="92"/>
    </row>
    <row r="46" spans="1:457">
      <c r="A46" s="89">
        <v>11</v>
      </c>
      <c r="B46" s="89" t="s">
        <v>387</v>
      </c>
      <c r="C46" s="101" t="str">
        <f t="shared" si="19"/>
        <v>Others industries</v>
      </c>
      <c r="D46" s="272">
        <f>AA14/U$94</f>
        <v>165.81341790307027</v>
      </c>
      <c r="E46" s="272">
        <f>AB14/V$94</f>
        <v>218.54624701900161</v>
      </c>
      <c r="F46" s="272">
        <f>AC14/W$94</f>
        <v>309.85496373218012</v>
      </c>
      <c r="G46" s="271">
        <f t="shared" si="23"/>
        <v>694.21462865425201</v>
      </c>
      <c r="H46" s="94"/>
      <c r="I46" s="94">
        <f>'AggrStep1-energy'!I56</f>
        <v>4.2556149999999988</v>
      </c>
      <c r="J46" s="94"/>
      <c r="K46" s="94"/>
      <c r="L46" s="94"/>
      <c r="M46" s="94"/>
      <c r="N46" s="94"/>
      <c r="O46" s="95"/>
      <c r="P46" s="95">
        <f t="shared" si="20"/>
        <v>698.47024365425204</v>
      </c>
      <c r="Q46" s="92"/>
      <c r="R46" s="92"/>
      <c r="S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c r="IW46" s="92"/>
      <c r="IX46" s="92"/>
      <c r="IY46" s="92"/>
      <c r="IZ46" s="92"/>
      <c r="JA46" s="92"/>
      <c r="JB46" s="92"/>
      <c r="JC46" s="92"/>
      <c r="JD46" s="92"/>
      <c r="JE46" s="92"/>
      <c r="JF46" s="92"/>
      <c r="JG46" s="92"/>
      <c r="JH46" s="92"/>
      <c r="JI46" s="92"/>
      <c r="JJ46" s="92"/>
      <c r="JK46" s="92"/>
      <c r="JL46" s="92"/>
      <c r="JM46" s="92"/>
      <c r="JN46" s="92"/>
      <c r="JO46" s="92"/>
      <c r="JP46" s="92"/>
      <c r="JQ46" s="92"/>
      <c r="JR46" s="92"/>
      <c r="JS46" s="92"/>
      <c r="JT46" s="92"/>
      <c r="JU46" s="92"/>
      <c r="JV46" s="92"/>
      <c r="JW46" s="92"/>
      <c r="JX46" s="92"/>
      <c r="JY46" s="92"/>
      <c r="JZ46" s="92"/>
      <c r="KA46" s="92"/>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2"/>
      <c r="LA46" s="92"/>
      <c r="LB46" s="92"/>
      <c r="LC46" s="92"/>
      <c r="LD46" s="92"/>
      <c r="LE46" s="92"/>
      <c r="LF46" s="92"/>
      <c r="LG46" s="92"/>
      <c r="LH46" s="92"/>
      <c r="LI46" s="92"/>
      <c r="LJ46" s="92"/>
      <c r="LK46" s="92"/>
      <c r="LL46" s="92"/>
      <c r="LM46" s="92"/>
      <c r="LN46" s="92"/>
      <c r="LO46" s="92"/>
      <c r="LP46" s="92"/>
      <c r="LQ46" s="92"/>
      <c r="LR46" s="92"/>
      <c r="LS46" s="92"/>
      <c r="LT46" s="92"/>
      <c r="LU46" s="92"/>
      <c r="LV46" s="92"/>
      <c r="LW46" s="92"/>
      <c r="LX46" s="92"/>
      <c r="LY46" s="92"/>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2"/>
      <c r="MY46" s="92"/>
      <c r="MZ46" s="92"/>
      <c r="NA46" s="92"/>
      <c r="NB46" s="92"/>
      <c r="NC46" s="92"/>
      <c r="ND46" s="92"/>
      <c r="NE46" s="92"/>
      <c r="NF46" s="92"/>
      <c r="NG46" s="92"/>
      <c r="NH46" s="92"/>
      <c r="NI46" s="92"/>
      <c r="NJ46" s="92"/>
      <c r="NK46" s="92"/>
      <c r="NL46" s="92"/>
      <c r="NM46" s="92"/>
      <c r="NN46" s="92"/>
      <c r="NO46" s="92"/>
      <c r="NP46" s="92"/>
      <c r="NQ46" s="92"/>
      <c r="NR46" s="92"/>
      <c r="NS46" s="92"/>
      <c r="NT46" s="92"/>
      <c r="NU46" s="92"/>
      <c r="NV46" s="92"/>
      <c r="NW46" s="92"/>
      <c r="NX46" s="92"/>
      <c r="NY46" s="92"/>
      <c r="NZ46" s="92"/>
      <c r="OA46" s="92"/>
      <c r="OB46" s="92"/>
      <c r="OC46" s="92"/>
      <c r="OD46" s="92"/>
      <c r="OE46" s="92"/>
      <c r="OF46" s="92"/>
      <c r="OG46" s="92"/>
      <c r="OH46" s="92"/>
      <c r="OI46" s="92"/>
      <c r="OJ46" s="92"/>
      <c r="OK46" s="92"/>
      <c r="OL46" s="92"/>
      <c r="OM46" s="92"/>
      <c r="ON46" s="92"/>
      <c r="OO46" s="92"/>
      <c r="OP46" s="92"/>
      <c r="OQ46" s="92"/>
      <c r="OR46" s="92"/>
      <c r="OS46" s="92"/>
      <c r="OT46" s="92"/>
      <c r="OU46" s="92"/>
      <c r="OV46" s="92"/>
      <c r="OW46" s="92"/>
      <c r="OX46" s="92"/>
      <c r="OY46" s="92"/>
      <c r="OZ46" s="92"/>
      <c r="PA46" s="92"/>
      <c r="PB46" s="92"/>
      <c r="PC46" s="92"/>
      <c r="PD46" s="92"/>
      <c r="PE46" s="92"/>
      <c r="PF46" s="92"/>
      <c r="PG46" s="92"/>
      <c r="PH46" s="92"/>
      <c r="PI46" s="92"/>
      <c r="PJ46" s="92"/>
      <c r="PK46" s="92"/>
      <c r="PL46" s="92"/>
      <c r="PM46" s="92"/>
      <c r="PN46" s="92"/>
      <c r="PO46" s="92"/>
      <c r="PP46" s="92"/>
      <c r="PQ46" s="92"/>
      <c r="PR46" s="92"/>
      <c r="PS46" s="92"/>
      <c r="PT46" s="92"/>
      <c r="PU46" s="92"/>
      <c r="PV46" s="92"/>
      <c r="PW46" s="92"/>
      <c r="PX46" s="92"/>
      <c r="PY46" s="92"/>
      <c r="PZ46" s="92"/>
      <c r="QA46" s="92"/>
      <c r="QB46" s="92"/>
      <c r="QC46" s="92"/>
      <c r="QD46" s="92"/>
      <c r="QE46" s="92"/>
      <c r="QF46" s="92"/>
      <c r="QG46" s="92"/>
      <c r="QH46" s="92"/>
      <c r="QI46" s="92"/>
      <c r="QJ46" s="92"/>
      <c r="QK46" s="92"/>
      <c r="QL46" s="92"/>
      <c r="QM46" s="92"/>
      <c r="QN46" s="92"/>
      <c r="QO46" s="92"/>
    </row>
    <row r="47" spans="1:457" ht="18.75">
      <c r="A47" s="89">
        <v>12</v>
      </c>
      <c r="B47" s="267" t="s">
        <v>571</v>
      </c>
      <c r="C47" s="101" t="str">
        <f t="shared" si="19"/>
        <v>Air transport</v>
      </c>
      <c r="D47" s="272">
        <f t="shared" ref="D47:F51" si="31">AA15/U96</f>
        <v>127.186144</v>
      </c>
      <c r="E47" s="272">
        <f t="shared" si="31"/>
        <v>7.051032023618066E-2</v>
      </c>
      <c r="F47" s="272">
        <f t="shared" si="31"/>
        <v>3.7637409277196596</v>
      </c>
      <c r="G47" s="271">
        <f t="shared" si="23"/>
        <v>131.02039524795583</v>
      </c>
      <c r="H47" s="94"/>
      <c r="I47" s="94"/>
      <c r="J47" s="94"/>
      <c r="K47" s="94"/>
      <c r="L47" s="94"/>
      <c r="M47" s="94"/>
      <c r="N47" s="94"/>
      <c r="O47" s="95"/>
      <c r="P47" s="95">
        <f t="shared" si="20"/>
        <v>131.02039524795583</v>
      </c>
      <c r="Q47" s="92"/>
      <c r="R47" s="92"/>
      <c r="S47" s="92"/>
      <c r="T47" s="703" t="s">
        <v>569</v>
      </c>
      <c r="U47" s="703"/>
      <c r="V47" s="703"/>
      <c r="W47" s="703"/>
      <c r="X47" s="703"/>
      <c r="Y47" s="703"/>
      <c r="Z47" s="703"/>
      <c r="AA47" s="703"/>
      <c r="AB47" s="703"/>
      <c r="AC47" s="703"/>
      <c r="AD47" s="148"/>
      <c r="AE47" s="92"/>
      <c r="AF47" s="92"/>
      <c r="AG47" s="92"/>
      <c r="AH47" s="92"/>
      <c r="AI47" s="185"/>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c r="IW47" s="92"/>
      <c r="IX47" s="92"/>
      <c r="IY47" s="92"/>
      <c r="IZ47" s="92"/>
      <c r="JA47" s="92"/>
      <c r="JB47" s="92"/>
      <c r="JC47" s="92"/>
      <c r="JD47" s="92"/>
      <c r="JE47" s="92"/>
      <c r="JF47" s="92"/>
      <c r="JG47" s="92"/>
      <c r="JH47" s="92"/>
      <c r="JI47" s="92"/>
      <c r="JJ47" s="92"/>
      <c r="JK47" s="92"/>
      <c r="JL47" s="92"/>
      <c r="JM47" s="92"/>
      <c r="JN47" s="92"/>
      <c r="JO47" s="92"/>
      <c r="JP47" s="92"/>
      <c r="JQ47" s="92"/>
      <c r="JR47" s="92"/>
      <c r="JS47" s="92"/>
      <c r="JT47" s="92"/>
      <c r="JU47" s="92"/>
      <c r="JV47" s="92"/>
      <c r="JW47" s="92"/>
      <c r="JX47" s="92"/>
      <c r="JY47" s="92"/>
      <c r="JZ47" s="92"/>
      <c r="KA47" s="92"/>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2"/>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2"/>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2"/>
      <c r="MY47" s="92"/>
      <c r="MZ47" s="92"/>
      <c r="NA47" s="92"/>
      <c r="NB47" s="92"/>
      <c r="NC47" s="92"/>
      <c r="ND47" s="92"/>
      <c r="NE47" s="92"/>
      <c r="NF47" s="92"/>
      <c r="NG47" s="92"/>
      <c r="NH47" s="92"/>
      <c r="NI47" s="92"/>
      <c r="NJ47" s="92"/>
      <c r="NK47" s="92"/>
      <c r="NL47" s="92"/>
      <c r="NM47" s="92"/>
      <c r="NN47" s="92"/>
      <c r="NO47" s="92"/>
      <c r="NP47" s="92"/>
      <c r="NQ47" s="92"/>
      <c r="NR47" s="92"/>
      <c r="NS47" s="92"/>
      <c r="NT47" s="92"/>
      <c r="NU47" s="92"/>
      <c r="NV47" s="92"/>
      <c r="NW47" s="92"/>
      <c r="NX47" s="92"/>
      <c r="NY47" s="92"/>
      <c r="NZ47" s="92"/>
      <c r="OA47" s="92"/>
      <c r="OB47" s="92"/>
      <c r="OC47" s="92"/>
      <c r="OD47" s="92"/>
      <c r="OE47" s="92"/>
      <c r="OF47" s="92"/>
      <c r="OG47" s="92"/>
      <c r="OH47" s="92"/>
      <c r="OI47" s="92"/>
      <c r="OJ47" s="92"/>
      <c r="OK47" s="92"/>
      <c r="OL47" s="92"/>
      <c r="OM47" s="92"/>
      <c r="ON47" s="92"/>
      <c r="OO47" s="92"/>
      <c r="OP47" s="92"/>
      <c r="OQ47" s="92"/>
      <c r="OR47" s="92"/>
      <c r="OS47" s="92"/>
      <c r="OT47" s="92"/>
      <c r="OU47" s="92"/>
      <c r="OV47" s="92"/>
      <c r="OW47" s="92"/>
      <c r="OX47" s="92"/>
      <c r="OY47" s="92"/>
      <c r="OZ47" s="92"/>
      <c r="PA47" s="92"/>
      <c r="PB47" s="92"/>
      <c r="PC47" s="92"/>
      <c r="PD47" s="92"/>
      <c r="PE47" s="92"/>
      <c r="PF47" s="92"/>
      <c r="PG47" s="92"/>
      <c r="PH47" s="92"/>
      <c r="PI47" s="92"/>
      <c r="PJ47" s="92"/>
      <c r="PK47" s="92"/>
      <c r="PL47" s="92"/>
      <c r="PM47" s="92"/>
      <c r="PN47" s="92"/>
      <c r="PO47" s="92"/>
      <c r="PP47" s="92"/>
      <c r="PQ47" s="92"/>
      <c r="PR47" s="92"/>
      <c r="PS47" s="92"/>
      <c r="PT47" s="92"/>
      <c r="PU47" s="92"/>
      <c r="PV47" s="92"/>
      <c r="PW47" s="92"/>
      <c r="PX47" s="92"/>
      <c r="PY47" s="92"/>
      <c r="PZ47" s="92"/>
      <c r="QA47" s="92"/>
      <c r="QB47" s="92"/>
      <c r="QC47" s="92"/>
      <c r="QD47" s="92"/>
      <c r="QE47" s="92"/>
      <c r="QF47" s="92"/>
      <c r="QG47" s="92"/>
      <c r="QH47" s="92"/>
      <c r="QI47" s="92"/>
      <c r="QJ47" s="92"/>
      <c r="QK47" s="92"/>
      <c r="QL47" s="92"/>
      <c r="QM47" s="92"/>
      <c r="QN47" s="92"/>
      <c r="QO47" s="92"/>
    </row>
    <row r="48" spans="1:457">
      <c r="A48" s="89">
        <v>13</v>
      </c>
      <c r="B48" s="211" t="s">
        <v>239</v>
      </c>
      <c r="C48" s="101" t="str">
        <f t="shared" si="19"/>
        <v>Rail transport</v>
      </c>
      <c r="D48" s="272">
        <f t="shared" si="31"/>
        <v>26.448539</v>
      </c>
      <c r="E48" s="272">
        <f t="shared" si="31"/>
        <v>0</v>
      </c>
      <c r="F48" s="272">
        <f t="shared" si="31"/>
        <v>4.2269999999999994</v>
      </c>
      <c r="G48" s="271">
        <f t="shared" si="23"/>
        <v>30.675539000000001</v>
      </c>
      <c r="H48" s="94"/>
      <c r="I48" s="94"/>
      <c r="J48" s="94"/>
      <c r="K48" s="94"/>
      <c r="L48" s="94"/>
      <c r="M48" s="94"/>
      <c r="N48" s="94"/>
      <c r="O48" s="95"/>
      <c r="P48" s="95">
        <f t="shared" si="20"/>
        <v>30.675539000000001</v>
      </c>
      <c r="Q48" s="92"/>
      <c r="R48" s="92"/>
      <c r="S48" s="92"/>
      <c r="T48" s="90"/>
      <c r="U48" s="148"/>
      <c r="V48" s="148"/>
      <c r="W48" s="148"/>
      <c r="X48" s="148"/>
      <c r="Y48" s="148"/>
      <c r="Z48" s="148"/>
      <c r="AA48" s="148"/>
      <c r="AB48" s="148"/>
      <c r="AC48" s="148"/>
      <c r="AD48" s="148"/>
      <c r="AE48" s="92"/>
      <c r="AF48" s="92"/>
      <c r="AG48" s="92"/>
      <c r="AH48" s="92"/>
      <c r="AI48" s="185"/>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c r="IW48" s="92"/>
      <c r="IX48" s="92"/>
      <c r="IY48" s="92"/>
      <c r="IZ48" s="92"/>
      <c r="JA48" s="92"/>
      <c r="JB48" s="92"/>
      <c r="JC48" s="92"/>
      <c r="JD48" s="92"/>
      <c r="JE48" s="92"/>
      <c r="JF48" s="92"/>
      <c r="JG48" s="92"/>
      <c r="JH48" s="92"/>
      <c r="JI48" s="92"/>
      <c r="JJ48" s="92"/>
      <c r="JK48" s="92"/>
      <c r="JL48" s="92"/>
      <c r="JM48" s="92"/>
      <c r="JN48" s="92"/>
      <c r="JO48" s="92"/>
      <c r="JP48" s="92"/>
      <c r="JQ48" s="92"/>
      <c r="JR48" s="92"/>
      <c r="JS48" s="92"/>
      <c r="JT48" s="92"/>
      <c r="JU48" s="92"/>
      <c r="JV48" s="92"/>
      <c r="JW48" s="92"/>
      <c r="JX48" s="92"/>
      <c r="JY48" s="92"/>
      <c r="JZ48" s="92"/>
      <c r="KA48" s="92"/>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2"/>
      <c r="LA48" s="92"/>
      <c r="LB48" s="92"/>
      <c r="LC48" s="92"/>
      <c r="LD48" s="92"/>
      <c r="LE48" s="92"/>
      <c r="LF48" s="92"/>
      <c r="LG48" s="92"/>
      <c r="LH48" s="92"/>
      <c r="LI48" s="92"/>
      <c r="LJ48" s="92"/>
      <c r="LK48" s="92"/>
      <c r="LL48" s="92"/>
      <c r="LM48" s="92"/>
      <c r="LN48" s="92"/>
      <c r="LO48" s="92"/>
      <c r="LP48" s="92"/>
      <c r="LQ48" s="92"/>
      <c r="LR48" s="92"/>
      <c r="LS48" s="92"/>
      <c r="LT48" s="92"/>
      <c r="LU48" s="92"/>
      <c r="LV48" s="92"/>
      <c r="LW48" s="92"/>
      <c r="LX48" s="92"/>
      <c r="LY48" s="92"/>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2"/>
      <c r="MY48" s="92"/>
      <c r="MZ48" s="92"/>
      <c r="NA48" s="92"/>
      <c r="NB48" s="92"/>
      <c r="NC48" s="92"/>
      <c r="ND48" s="92"/>
      <c r="NE48" s="92"/>
      <c r="NF48" s="92"/>
      <c r="NG48" s="92"/>
      <c r="NH48" s="92"/>
      <c r="NI48" s="92"/>
      <c r="NJ48" s="92"/>
      <c r="NK48" s="92"/>
      <c r="NL48" s="92"/>
      <c r="NM48" s="92"/>
      <c r="NN48" s="92"/>
      <c r="NO48" s="92"/>
      <c r="NP48" s="92"/>
      <c r="NQ48" s="92"/>
      <c r="NR48" s="92"/>
      <c r="NS48" s="92"/>
      <c r="NT48" s="92"/>
      <c r="NU48" s="92"/>
      <c r="NV48" s="92"/>
      <c r="NW48" s="92"/>
      <c r="NX48" s="92"/>
      <c r="NY48" s="92"/>
      <c r="NZ48" s="92"/>
      <c r="OA48" s="92"/>
      <c r="OB48" s="92"/>
      <c r="OC48" s="92"/>
      <c r="OD48" s="92"/>
      <c r="OE48" s="92"/>
      <c r="OF48" s="92"/>
      <c r="OG48" s="92"/>
      <c r="OH48" s="92"/>
      <c r="OI48" s="92"/>
      <c r="OJ48" s="92"/>
      <c r="OK48" s="92"/>
      <c r="OL48" s="92"/>
      <c r="OM48" s="92"/>
      <c r="ON48" s="92"/>
      <c r="OO48" s="92"/>
      <c r="OP48" s="92"/>
      <c r="OQ48" s="92"/>
      <c r="OR48" s="92"/>
      <c r="OS48" s="92"/>
      <c r="OT48" s="92"/>
      <c r="OU48" s="92"/>
      <c r="OV48" s="92"/>
      <c r="OW48" s="92"/>
      <c r="OX48" s="92"/>
      <c r="OY48" s="92"/>
      <c r="OZ48" s="92"/>
      <c r="PA48" s="92"/>
      <c r="PB48" s="92"/>
      <c r="PC48" s="92"/>
      <c r="PD48" s="92"/>
      <c r="PE48" s="92"/>
      <c r="PF48" s="92"/>
      <c r="PG48" s="92"/>
      <c r="PH48" s="92"/>
      <c r="PI48" s="92"/>
      <c r="PJ48" s="92"/>
      <c r="PK48" s="92"/>
      <c r="PL48" s="92"/>
      <c r="PM48" s="92"/>
      <c r="PN48" s="92"/>
      <c r="PO48" s="92"/>
      <c r="PP48" s="92"/>
      <c r="PQ48" s="92"/>
      <c r="PR48" s="92"/>
      <c r="PS48" s="92"/>
      <c r="PT48" s="92"/>
      <c r="PU48" s="92"/>
      <c r="PV48" s="92"/>
      <c r="PW48" s="92"/>
      <c r="PX48" s="92"/>
      <c r="PY48" s="92"/>
      <c r="PZ48" s="92"/>
      <c r="QA48" s="92"/>
      <c r="QB48" s="92"/>
      <c r="QC48" s="92"/>
      <c r="QD48" s="92"/>
      <c r="QE48" s="92"/>
      <c r="QF48" s="92"/>
      <c r="QG48" s="92"/>
      <c r="QH48" s="92"/>
      <c r="QI48" s="92"/>
      <c r="QJ48" s="92"/>
      <c r="QK48" s="92"/>
      <c r="QL48" s="92"/>
      <c r="QM48" s="92"/>
      <c r="QN48" s="92"/>
      <c r="QO48" s="92"/>
    </row>
    <row r="49" spans="1:457">
      <c r="A49" s="89">
        <v>14</v>
      </c>
      <c r="B49" s="211" t="s">
        <v>239</v>
      </c>
      <c r="C49" s="101" t="str">
        <f t="shared" si="19"/>
        <v>Water transport</v>
      </c>
      <c r="D49" s="272">
        <f t="shared" si="31"/>
        <v>28.755616999999997</v>
      </c>
      <c r="E49" s="272">
        <f t="shared" si="31"/>
        <v>2.6763625993386064E-2</v>
      </c>
      <c r="F49" s="272">
        <f t="shared" si="31"/>
        <v>0.53873423370863549</v>
      </c>
      <c r="G49" s="271">
        <f t="shared" si="23"/>
        <v>29.321114859702018</v>
      </c>
      <c r="H49" s="94"/>
      <c r="I49" s="94"/>
      <c r="J49" s="94"/>
      <c r="K49" s="94"/>
      <c r="L49" s="94"/>
      <c r="M49" s="94"/>
      <c r="N49" s="94"/>
      <c r="O49" s="95"/>
      <c r="P49" s="95">
        <f t="shared" si="20"/>
        <v>29.321114859702018</v>
      </c>
      <c r="Q49" s="92"/>
      <c r="R49" s="92"/>
      <c r="S49" s="92"/>
      <c r="T49" s="90"/>
      <c r="U49" s="148"/>
      <c r="V49" s="148"/>
      <c r="W49" s="148"/>
      <c r="X49" s="148"/>
      <c r="Y49" s="148"/>
      <c r="Z49" s="148"/>
      <c r="AA49" s="148"/>
      <c r="AB49" s="148"/>
      <c r="AC49" s="148"/>
      <c r="AD49" s="148"/>
      <c r="AE49" s="92"/>
      <c r="AF49" s="92"/>
      <c r="AG49" s="92"/>
      <c r="AH49" s="92"/>
      <c r="AI49" s="185"/>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c r="IW49" s="92"/>
      <c r="IX49" s="92"/>
      <c r="IY49" s="92"/>
      <c r="IZ49" s="92"/>
      <c r="JA49" s="92"/>
      <c r="JB49" s="92"/>
      <c r="JC49" s="92"/>
      <c r="JD49" s="92"/>
      <c r="JE49" s="92"/>
      <c r="JF49" s="92"/>
      <c r="JG49" s="92"/>
      <c r="JH49" s="92"/>
      <c r="JI49" s="92"/>
      <c r="JJ49" s="92"/>
      <c r="JK49" s="92"/>
      <c r="JL49" s="92"/>
      <c r="JM49" s="92"/>
      <c r="JN49" s="92"/>
      <c r="JO49" s="92"/>
      <c r="JP49" s="92"/>
      <c r="JQ49" s="92"/>
      <c r="JR49" s="92"/>
      <c r="JS49" s="92"/>
      <c r="JT49" s="92"/>
      <c r="JU49" s="92"/>
      <c r="JV49" s="92"/>
      <c r="JW49" s="92"/>
      <c r="JX49" s="92"/>
      <c r="JY49" s="92"/>
      <c r="JZ49" s="92"/>
      <c r="KA49" s="92"/>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2"/>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2"/>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2"/>
      <c r="MY49" s="92"/>
      <c r="MZ49" s="92"/>
      <c r="NA49" s="92"/>
      <c r="NB49" s="92"/>
      <c r="NC49" s="92"/>
      <c r="ND49" s="92"/>
      <c r="NE49" s="92"/>
      <c r="NF49" s="92"/>
      <c r="NG49" s="92"/>
      <c r="NH49" s="92"/>
      <c r="NI49" s="92"/>
      <c r="NJ49" s="92"/>
      <c r="NK49" s="92"/>
      <c r="NL49" s="92"/>
      <c r="NM49" s="92"/>
      <c r="NN49" s="92"/>
      <c r="NO49" s="92"/>
      <c r="NP49" s="92"/>
      <c r="NQ49" s="92"/>
      <c r="NR49" s="92"/>
      <c r="NS49" s="92"/>
      <c r="NT49" s="92"/>
      <c r="NU49" s="92"/>
      <c r="NV49" s="92"/>
      <c r="NW49" s="92"/>
      <c r="NX49" s="92"/>
      <c r="NY49" s="92"/>
      <c r="NZ49" s="92"/>
      <c r="OA49" s="92"/>
      <c r="OB49" s="92"/>
      <c r="OC49" s="92"/>
      <c r="OD49" s="92"/>
      <c r="OE49" s="92"/>
      <c r="OF49" s="92"/>
      <c r="OG49" s="92"/>
      <c r="OH49" s="92"/>
      <c r="OI49" s="92"/>
      <c r="OJ49" s="92"/>
      <c r="OK49" s="92"/>
      <c r="OL49" s="92"/>
      <c r="OM49" s="92"/>
      <c r="ON49" s="92"/>
      <c r="OO49" s="92"/>
      <c r="OP49" s="92"/>
      <c r="OQ49" s="92"/>
      <c r="OR49" s="92"/>
      <c r="OS49" s="92"/>
      <c r="OT49" s="92"/>
      <c r="OU49" s="92"/>
      <c r="OV49" s="92"/>
      <c r="OW49" s="92"/>
      <c r="OX49" s="92"/>
      <c r="OY49" s="92"/>
      <c r="OZ49" s="92"/>
      <c r="PA49" s="92"/>
      <c r="PB49" s="92"/>
      <c r="PC49" s="92"/>
      <c r="PD49" s="92"/>
      <c r="PE49" s="92"/>
      <c r="PF49" s="92"/>
      <c r="PG49" s="92"/>
      <c r="PH49" s="92"/>
      <c r="PI49" s="92"/>
      <c r="PJ49" s="92"/>
      <c r="PK49" s="92"/>
      <c r="PL49" s="92"/>
      <c r="PM49" s="92"/>
      <c r="PN49" s="92"/>
      <c r="PO49" s="92"/>
      <c r="PP49" s="92"/>
      <c r="PQ49" s="92"/>
      <c r="PR49" s="92"/>
      <c r="PS49" s="92"/>
      <c r="PT49" s="92"/>
      <c r="PU49" s="92"/>
      <c r="PV49" s="92"/>
      <c r="PW49" s="92"/>
      <c r="PX49" s="92"/>
      <c r="PY49" s="92"/>
      <c r="PZ49" s="92"/>
      <c r="QA49" s="92"/>
      <c r="QB49" s="92"/>
      <c r="QC49" s="92"/>
      <c r="QD49" s="92"/>
      <c r="QE49" s="92"/>
      <c r="QF49" s="92"/>
      <c r="QG49" s="92"/>
      <c r="QH49" s="92"/>
      <c r="QI49" s="92"/>
      <c r="QJ49" s="92"/>
      <c r="QK49" s="92"/>
      <c r="QL49" s="92"/>
      <c r="QM49" s="92"/>
      <c r="QN49" s="92"/>
      <c r="QO49" s="92"/>
    </row>
    <row r="50" spans="1:457">
      <c r="A50" s="89">
        <v>15</v>
      </c>
      <c r="B50" s="211" t="s">
        <v>239</v>
      </c>
      <c r="C50" s="101" t="str">
        <f t="shared" si="19"/>
        <v>Freight transport by road</v>
      </c>
      <c r="D50" s="272">
        <f t="shared" si="31"/>
        <v>950.45751023019739</v>
      </c>
      <c r="E50" s="272">
        <f t="shared" si="31"/>
        <v>0.42433590642746566</v>
      </c>
      <c r="F50" s="272">
        <f t="shared" si="31"/>
        <v>6.9278152635497392</v>
      </c>
      <c r="G50" s="271">
        <f t="shared" si="23"/>
        <v>957.8096614001746</v>
      </c>
      <c r="H50" s="94"/>
      <c r="I50" s="94"/>
      <c r="J50" s="94"/>
      <c r="K50" s="94"/>
      <c r="L50" s="94"/>
      <c r="M50" s="94"/>
      <c r="N50" s="94"/>
      <c r="O50" s="95"/>
      <c r="P50" s="95">
        <f t="shared" si="20"/>
        <v>957.8096614001746</v>
      </c>
      <c r="Q50" s="92"/>
      <c r="R50" s="92"/>
      <c r="S50" s="92"/>
      <c r="T50" s="147"/>
      <c r="U50" s="53" t="s">
        <v>419</v>
      </c>
      <c r="V50" s="53" t="s">
        <v>384</v>
      </c>
      <c r="W50" s="53" t="s">
        <v>172</v>
      </c>
      <c r="X50" s="98"/>
      <c r="Y50" s="53" t="s">
        <v>419</v>
      </c>
      <c r="Z50" s="53" t="s">
        <v>384</v>
      </c>
      <c r="AA50" s="53" t="s">
        <v>172</v>
      </c>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c r="IW50" s="92"/>
      <c r="IX50" s="92"/>
      <c r="IY50" s="92"/>
      <c r="IZ50" s="92"/>
      <c r="JA50" s="92"/>
      <c r="JB50" s="92"/>
      <c r="JC50" s="92"/>
      <c r="JD50" s="92"/>
      <c r="JE50" s="92"/>
      <c r="JF50" s="92"/>
      <c r="JG50" s="92"/>
      <c r="JH50" s="92"/>
      <c r="JI50" s="92"/>
      <c r="JJ50" s="92"/>
      <c r="JK50" s="92"/>
      <c r="JL50" s="92"/>
      <c r="JM50" s="92"/>
      <c r="JN50" s="92"/>
      <c r="JO50" s="92"/>
      <c r="JP50" s="92"/>
      <c r="JQ50" s="92"/>
      <c r="JR50" s="92"/>
      <c r="JS50" s="92"/>
      <c r="JT50" s="92"/>
      <c r="JU50" s="92"/>
      <c r="JV50" s="92"/>
      <c r="JW50" s="92"/>
      <c r="JX50" s="92"/>
      <c r="JY50" s="92"/>
      <c r="JZ50" s="92"/>
      <c r="KA50" s="92"/>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2"/>
      <c r="LA50" s="92"/>
      <c r="LB50" s="92"/>
      <c r="LC50" s="92"/>
      <c r="LD50" s="92"/>
      <c r="LE50" s="92"/>
      <c r="LF50" s="92"/>
      <c r="LG50" s="92"/>
      <c r="LH50" s="92"/>
      <c r="LI50" s="92"/>
      <c r="LJ50" s="92"/>
      <c r="LK50" s="92"/>
      <c r="LL50" s="92"/>
      <c r="LM50" s="92"/>
      <c r="LN50" s="92"/>
      <c r="LO50" s="92"/>
      <c r="LP50" s="92"/>
      <c r="LQ50" s="92"/>
      <c r="LR50" s="92"/>
      <c r="LS50" s="92"/>
      <c r="LT50" s="92"/>
      <c r="LU50" s="92"/>
      <c r="LV50" s="92"/>
      <c r="LW50" s="92"/>
      <c r="LX50" s="92"/>
      <c r="LY50" s="92"/>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2"/>
      <c r="MY50" s="92"/>
      <c r="MZ50" s="92"/>
      <c r="NA50" s="92"/>
      <c r="NB50" s="92"/>
      <c r="NC50" s="92"/>
      <c r="ND50" s="92"/>
      <c r="NE50" s="92"/>
      <c r="NF50" s="92"/>
      <c r="NG50" s="92"/>
      <c r="NH50" s="92"/>
      <c r="NI50" s="92"/>
      <c r="NJ50" s="92"/>
      <c r="NK50" s="92"/>
      <c r="NL50" s="92"/>
      <c r="NM50" s="92"/>
      <c r="NN50" s="92"/>
      <c r="NO50" s="92"/>
      <c r="NP50" s="92"/>
      <c r="NQ50" s="92"/>
      <c r="NR50" s="92"/>
      <c r="NS50" s="92"/>
      <c r="NT50" s="92"/>
      <c r="NU50" s="92"/>
      <c r="NV50" s="92"/>
      <c r="NW50" s="92"/>
      <c r="NX50" s="92"/>
      <c r="NY50" s="92"/>
      <c r="NZ50" s="92"/>
      <c r="OA50" s="92"/>
      <c r="OB50" s="92"/>
      <c r="OC50" s="92"/>
      <c r="OD50" s="92"/>
      <c r="OE50" s="92"/>
      <c r="OF50" s="92"/>
      <c r="OG50" s="92"/>
      <c r="OH50" s="92"/>
      <c r="OI50" s="92"/>
      <c r="OJ50" s="92"/>
      <c r="OK50" s="92"/>
      <c r="OL50" s="92"/>
      <c r="OM50" s="92"/>
      <c r="ON50" s="92"/>
      <c r="OO50" s="92"/>
      <c r="OP50" s="92"/>
      <c r="OQ50" s="92"/>
      <c r="OR50" s="92"/>
      <c r="OS50" s="92"/>
      <c r="OT50" s="92"/>
      <c r="OU50" s="92"/>
      <c r="OV50" s="92"/>
      <c r="OW50" s="92"/>
      <c r="OX50" s="92"/>
      <c r="OY50" s="92"/>
      <c r="OZ50" s="92"/>
      <c r="PA50" s="92"/>
      <c r="PB50" s="92"/>
      <c r="PC50" s="92"/>
      <c r="PD50" s="92"/>
      <c r="PE50" s="92"/>
      <c r="PF50" s="92"/>
      <c r="PG50" s="92"/>
      <c r="PH50" s="92"/>
      <c r="PI50" s="92"/>
      <c r="PJ50" s="92"/>
      <c r="PK50" s="92"/>
      <c r="PL50" s="92"/>
      <c r="PM50" s="92"/>
      <c r="PN50" s="92"/>
      <c r="PO50" s="92"/>
      <c r="PP50" s="92"/>
      <c r="PQ50" s="92"/>
      <c r="PR50" s="92"/>
      <c r="PS50" s="92"/>
      <c r="PT50" s="92"/>
      <c r="PU50" s="92"/>
      <c r="PV50" s="92"/>
      <c r="PW50" s="92"/>
      <c r="PX50" s="92"/>
      <c r="PY50" s="92"/>
      <c r="PZ50" s="92"/>
      <c r="QA50" s="92"/>
      <c r="QB50" s="92"/>
      <c r="QC50" s="92"/>
      <c r="QD50" s="92"/>
      <c r="QE50" s="92"/>
      <c r="QF50" s="92"/>
      <c r="QG50" s="92"/>
      <c r="QH50" s="92"/>
      <c r="QI50" s="92"/>
      <c r="QJ50" s="92"/>
      <c r="QK50" s="92"/>
      <c r="QL50" s="92"/>
      <c r="QM50" s="92"/>
      <c r="QN50" s="92"/>
      <c r="QO50" s="92"/>
    </row>
    <row r="51" spans="1:457" ht="15.75">
      <c r="A51" s="89">
        <v>16</v>
      </c>
      <c r="B51" s="267" t="s">
        <v>239</v>
      </c>
      <c r="C51" s="101" t="str">
        <f t="shared" si="19"/>
        <v>Passager transport by road</v>
      </c>
      <c r="D51" s="272">
        <f t="shared" si="31"/>
        <v>111.93394060926774</v>
      </c>
      <c r="E51" s="272">
        <f t="shared" si="31"/>
        <v>0.5902687489971129</v>
      </c>
      <c r="F51" s="272">
        <f t="shared" si="31"/>
        <v>8.8823168096311758</v>
      </c>
      <c r="G51" s="271">
        <f t="shared" si="23"/>
        <v>121.40652616789603</v>
      </c>
      <c r="H51" s="94"/>
      <c r="I51" s="94"/>
      <c r="J51" s="94"/>
      <c r="K51" s="94"/>
      <c r="L51" s="94"/>
      <c r="M51" s="94"/>
      <c r="N51" s="94"/>
      <c r="O51" s="95"/>
      <c r="P51" s="95">
        <f t="shared" si="20"/>
        <v>121.40652616789603</v>
      </c>
      <c r="Q51" s="92"/>
      <c r="R51" s="92"/>
      <c r="S51" s="92"/>
      <c r="T51" s="637" t="s">
        <v>211</v>
      </c>
      <c r="U51" s="636">
        <v>934.97</v>
      </c>
      <c r="V51" s="89">
        <v>0</v>
      </c>
      <c r="W51" s="89">
        <v>0</v>
      </c>
      <c r="Y51" s="639">
        <f>IF(U$54=0,0,U51/U$54)</f>
        <v>0.45832087412193201</v>
      </c>
      <c r="Z51" s="639">
        <f t="shared" ref="Z51:AA54" si="32">IF(V$54=0,0,V51/V$54)</f>
        <v>0</v>
      </c>
      <c r="AA51" s="639">
        <f t="shared" si="32"/>
        <v>0</v>
      </c>
      <c r="AD51" s="259"/>
      <c r="AE51" s="259"/>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c r="IW51" s="92"/>
      <c r="IX51" s="92"/>
      <c r="IY51" s="92"/>
      <c r="IZ51" s="92"/>
      <c r="JA51" s="92"/>
      <c r="JB51" s="92"/>
      <c r="JC51" s="92"/>
      <c r="JD51" s="92"/>
      <c r="JE51" s="92"/>
      <c r="JF51" s="92"/>
      <c r="JG51" s="92"/>
      <c r="JH51" s="92"/>
      <c r="JI51" s="92"/>
      <c r="JJ51" s="92"/>
      <c r="JK51" s="92"/>
      <c r="JL51" s="92"/>
      <c r="JM51" s="92"/>
      <c r="JN51" s="92"/>
      <c r="JO51" s="92"/>
      <c r="JP51" s="92"/>
      <c r="JQ51" s="92"/>
      <c r="JR51" s="92"/>
      <c r="JS51" s="92"/>
      <c r="JT51" s="92"/>
      <c r="JU51" s="92"/>
      <c r="JV51" s="92"/>
      <c r="JW51" s="92"/>
      <c r="JX51" s="92"/>
      <c r="JY51" s="92"/>
      <c r="JZ51" s="92"/>
      <c r="KA51" s="92"/>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2"/>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2"/>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2"/>
      <c r="MY51" s="92"/>
      <c r="MZ51" s="92"/>
      <c r="NA51" s="92"/>
      <c r="NB51" s="92"/>
      <c r="NC51" s="92"/>
      <c r="ND51" s="92"/>
      <c r="NE51" s="92"/>
      <c r="NF51" s="92"/>
      <c r="NG51" s="92"/>
      <c r="NH51" s="92"/>
      <c r="NI51" s="92"/>
      <c r="NJ51" s="92"/>
      <c r="NK51" s="92"/>
      <c r="NL51" s="92"/>
      <c r="NM51" s="92"/>
      <c r="NN51" s="92"/>
      <c r="NO51" s="92"/>
      <c r="NP51" s="92"/>
      <c r="NQ51" s="92"/>
      <c r="NR51" s="92"/>
      <c r="NS51" s="92"/>
      <c r="NT51" s="92"/>
      <c r="NU51" s="92"/>
      <c r="NV51" s="92"/>
      <c r="NW51" s="92"/>
      <c r="NX51" s="92"/>
      <c r="NY51" s="92"/>
      <c r="NZ51" s="92"/>
      <c r="OA51" s="92"/>
      <c r="OB51" s="92"/>
      <c r="OC51" s="92"/>
      <c r="OD51" s="92"/>
      <c r="OE51" s="92"/>
      <c r="OF51" s="92"/>
      <c r="OG51" s="92"/>
      <c r="OH51" s="92"/>
      <c r="OI51" s="92"/>
      <c r="OJ51" s="92"/>
      <c r="OK51" s="92"/>
      <c r="OL51" s="92"/>
      <c r="OM51" s="92"/>
      <c r="ON51" s="92"/>
      <c r="OO51" s="92"/>
      <c r="OP51" s="92"/>
      <c r="OQ51" s="92"/>
      <c r="OR51" s="92"/>
      <c r="OS51" s="92"/>
      <c r="OT51" s="92"/>
      <c r="OU51" s="92"/>
      <c r="OV51" s="92"/>
      <c r="OW51" s="92"/>
      <c r="OX51" s="92"/>
      <c r="OY51" s="92"/>
      <c r="OZ51" s="92"/>
      <c r="PA51" s="92"/>
      <c r="PB51" s="92"/>
      <c r="PC51" s="92"/>
      <c r="PD51" s="92"/>
      <c r="PE51" s="92"/>
      <c r="PF51" s="92"/>
      <c r="PG51" s="92"/>
      <c r="PH51" s="92"/>
      <c r="PI51" s="92"/>
      <c r="PJ51" s="92"/>
      <c r="PK51" s="92"/>
      <c r="PL51" s="92"/>
      <c r="PM51" s="92"/>
      <c r="PN51" s="92"/>
      <c r="PO51" s="92"/>
      <c r="PP51" s="92"/>
      <c r="PQ51" s="92"/>
      <c r="PR51" s="92"/>
      <c r="PS51" s="92"/>
      <c r="PT51" s="92"/>
      <c r="PU51" s="92"/>
      <c r="PV51" s="92"/>
      <c r="PW51" s="92"/>
      <c r="PX51" s="92"/>
      <c r="PY51" s="92"/>
      <c r="PZ51" s="92"/>
      <c r="QA51" s="92"/>
      <c r="QB51" s="92"/>
      <c r="QC51" s="92"/>
      <c r="QD51" s="92"/>
      <c r="QE51" s="92"/>
      <c r="QF51" s="92"/>
      <c r="QG51" s="92"/>
      <c r="QH51" s="92"/>
      <c r="QI51" s="92"/>
      <c r="QJ51" s="92"/>
      <c r="QK51" s="92"/>
      <c r="QL51" s="92"/>
      <c r="QM51" s="92"/>
      <c r="QN51" s="92"/>
      <c r="QO51" s="92"/>
    </row>
    <row r="52" spans="1:457" ht="15.75">
      <c r="A52" s="89">
        <v>17</v>
      </c>
      <c r="B52" s="211" t="s">
        <v>239</v>
      </c>
      <c r="C52" s="101" t="str">
        <f t="shared" si="19"/>
        <v>Other transports</v>
      </c>
      <c r="D52" s="272">
        <f t="shared" ref="D52:F54" si="33">AA20/U100</f>
        <v>0.56295137205172163</v>
      </c>
      <c r="E52" s="272">
        <f t="shared" si="33"/>
        <v>1.5661855452749989E-2</v>
      </c>
      <c r="F52" s="272">
        <f t="shared" si="33"/>
        <v>0.872593853719692</v>
      </c>
      <c r="G52" s="271">
        <f t="shared" si="23"/>
        <v>1.4512070812241635</v>
      </c>
      <c r="H52" s="94"/>
      <c r="I52" s="94"/>
      <c r="J52" s="94"/>
      <c r="K52" s="94"/>
      <c r="L52" s="94"/>
      <c r="M52" s="94"/>
      <c r="N52" s="94"/>
      <c r="O52" s="95"/>
      <c r="P52" s="95">
        <f t="shared" si="20"/>
        <v>1.4512070812241635</v>
      </c>
      <c r="Q52" s="92"/>
      <c r="R52" s="92"/>
      <c r="S52" s="92"/>
      <c r="T52" s="637" t="s">
        <v>944</v>
      </c>
      <c r="U52" s="636">
        <v>110.11</v>
      </c>
      <c r="V52" s="89">
        <v>0</v>
      </c>
      <c r="W52" s="89">
        <v>0</v>
      </c>
      <c r="Y52" s="639">
        <f t="shared" ref="Y52:Y54" si="34">IF(U$54=0,0,U52/U$54)</f>
        <v>5.3975754783111687E-2</v>
      </c>
      <c r="Z52" s="639">
        <f t="shared" si="32"/>
        <v>0</v>
      </c>
      <c r="AA52" s="639">
        <f t="shared" si="32"/>
        <v>0</v>
      </c>
      <c r="AD52" s="260"/>
      <c r="AE52" s="260"/>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c r="IW52" s="92"/>
      <c r="IX52" s="92"/>
      <c r="IY52" s="92"/>
      <c r="IZ52" s="92"/>
      <c r="JA52" s="92"/>
      <c r="JB52" s="92"/>
      <c r="JC52" s="92"/>
      <c r="JD52" s="92"/>
      <c r="JE52" s="92"/>
      <c r="JF52" s="92"/>
      <c r="JG52" s="92"/>
      <c r="JH52" s="92"/>
      <c r="JI52" s="92"/>
      <c r="JJ52" s="92"/>
      <c r="JK52" s="92"/>
      <c r="JL52" s="92"/>
      <c r="JM52" s="92"/>
      <c r="JN52" s="92"/>
      <c r="JO52" s="92"/>
      <c r="JP52" s="92"/>
      <c r="JQ52" s="92"/>
      <c r="JR52" s="92"/>
      <c r="JS52" s="92"/>
      <c r="JT52" s="92"/>
      <c r="JU52" s="92"/>
      <c r="JV52" s="92"/>
      <c r="JW52" s="92"/>
      <c r="JX52" s="92"/>
      <c r="JY52" s="92"/>
      <c r="JZ52" s="92"/>
      <c r="KA52" s="92"/>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2"/>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2"/>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2"/>
      <c r="MY52" s="92"/>
      <c r="MZ52" s="92"/>
      <c r="NA52" s="92"/>
      <c r="NB52" s="92"/>
      <c r="NC52" s="92"/>
      <c r="ND52" s="92"/>
      <c r="NE52" s="92"/>
      <c r="NF52" s="92"/>
      <c r="NG52" s="92"/>
      <c r="NH52" s="92"/>
      <c r="NI52" s="92"/>
      <c r="NJ52" s="92"/>
      <c r="NK52" s="92"/>
      <c r="NL52" s="92"/>
      <c r="NM52" s="92"/>
      <c r="NN52" s="92"/>
      <c r="NO52" s="92"/>
      <c r="NP52" s="92"/>
      <c r="NQ52" s="92"/>
      <c r="NR52" s="92"/>
      <c r="NS52" s="92"/>
      <c r="NT52" s="92"/>
      <c r="NU52" s="92"/>
      <c r="NV52" s="92"/>
      <c r="NW52" s="92"/>
      <c r="NX52" s="92"/>
      <c r="NY52" s="92"/>
      <c r="NZ52" s="92"/>
      <c r="OA52" s="92"/>
      <c r="OB52" s="92"/>
      <c r="OC52" s="92"/>
      <c r="OD52" s="92"/>
      <c r="OE52" s="92"/>
      <c r="OF52" s="92"/>
      <c r="OG52" s="92"/>
      <c r="OH52" s="92"/>
      <c r="OI52" s="92"/>
      <c r="OJ52" s="92"/>
      <c r="OK52" s="92"/>
      <c r="OL52" s="92"/>
      <c r="OM52" s="92"/>
      <c r="ON52" s="92"/>
      <c r="OO52" s="92"/>
      <c r="OP52" s="92"/>
      <c r="OQ52" s="92"/>
      <c r="OR52" s="92"/>
      <c r="OS52" s="92"/>
      <c r="OT52" s="92"/>
      <c r="OU52" s="92"/>
      <c r="OV52" s="92"/>
      <c r="OW52" s="92"/>
      <c r="OX52" s="92"/>
      <c r="OY52" s="92"/>
      <c r="OZ52" s="92"/>
      <c r="PA52" s="92"/>
      <c r="PB52" s="92"/>
      <c r="PC52" s="92"/>
      <c r="PD52" s="92"/>
      <c r="PE52" s="92"/>
      <c r="PF52" s="92"/>
      <c r="PG52" s="92"/>
      <c r="PH52" s="92"/>
      <c r="PI52" s="92"/>
      <c r="PJ52" s="92"/>
      <c r="PK52" s="92"/>
      <c r="PL52" s="92"/>
      <c r="PM52" s="92"/>
      <c r="PN52" s="92"/>
      <c r="PO52" s="92"/>
      <c r="PP52" s="92"/>
      <c r="PQ52" s="92"/>
      <c r="PR52" s="92"/>
      <c r="PS52" s="92"/>
      <c r="PT52" s="92"/>
      <c r="PU52" s="92"/>
      <c r="PV52" s="92"/>
      <c r="PW52" s="92"/>
      <c r="PX52" s="92"/>
      <c r="PY52" s="92"/>
      <c r="PZ52" s="92"/>
      <c r="QA52" s="92"/>
      <c r="QB52" s="92"/>
      <c r="QC52" s="92"/>
      <c r="QD52" s="92"/>
      <c r="QE52" s="92"/>
      <c r="QF52" s="92"/>
      <c r="QG52" s="92"/>
      <c r="QH52" s="92"/>
      <c r="QI52" s="92"/>
      <c r="QJ52" s="92"/>
      <c r="QK52" s="92"/>
      <c r="QL52" s="92"/>
      <c r="QM52" s="92"/>
      <c r="QN52" s="92"/>
      <c r="QO52" s="92"/>
    </row>
    <row r="53" spans="1:457" ht="15.75">
      <c r="A53" s="89">
        <v>18</v>
      </c>
      <c r="B53" s="211" t="s">
        <v>270</v>
      </c>
      <c r="C53" s="101" t="str">
        <f t="shared" si="19"/>
        <v>Business services</v>
      </c>
      <c r="D53" s="270">
        <f t="shared" si="33"/>
        <v>69.427137000000002</v>
      </c>
      <c r="E53" s="270">
        <f t="shared" si="33"/>
        <v>11.097</v>
      </c>
      <c r="F53" s="270">
        <f t="shared" si="33"/>
        <v>52.900000000000006</v>
      </c>
      <c r="G53" s="271">
        <f t="shared" si="23"/>
        <v>133.424137</v>
      </c>
      <c r="H53" s="94"/>
      <c r="I53" s="94"/>
      <c r="J53" s="94"/>
      <c r="K53" s="94"/>
      <c r="L53" s="94"/>
      <c r="M53" s="94"/>
      <c r="N53" s="94"/>
      <c r="O53" s="95"/>
      <c r="P53" s="95">
        <f t="shared" si="20"/>
        <v>133.424137</v>
      </c>
      <c r="Q53" s="92"/>
      <c r="R53" s="92"/>
      <c r="S53" s="92"/>
      <c r="T53" s="89" t="s">
        <v>378</v>
      </c>
      <c r="U53" s="636">
        <v>994.91</v>
      </c>
      <c r="V53" s="89">
        <v>0</v>
      </c>
      <c r="W53" s="89">
        <v>0.04</v>
      </c>
      <c r="Y53" s="639">
        <f t="shared" si="34"/>
        <v>0.48770337109495637</v>
      </c>
      <c r="Z53" s="639">
        <f t="shared" si="32"/>
        <v>0</v>
      </c>
      <c r="AA53" s="639">
        <f t="shared" si="32"/>
        <v>1</v>
      </c>
      <c r="AB53"/>
      <c r="AC53" s="259"/>
      <c r="AD53" s="305"/>
      <c r="AE53" s="305"/>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c r="IW53" s="92"/>
      <c r="IX53" s="92"/>
      <c r="IY53" s="92"/>
      <c r="IZ53" s="92"/>
      <c r="JA53" s="92"/>
      <c r="JB53" s="92"/>
      <c r="JC53" s="92"/>
      <c r="JD53" s="92"/>
      <c r="JE53" s="92"/>
      <c r="JF53" s="92"/>
      <c r="JG53" s="92"/>
      <c r="JH53" s="92"/>
      <c r="JI53" s="92"/>
      <c r="JJ53" s="92"/>
      <c r="JK53" s="92"/>
      <c r="JL53" s="92"/>
      <c r="JM53" s="92"/>
      <c r="JN53" s="92"/>
      <c r="JO53" s="92"/>
      <c r="JP53" s="92"/>
      <c r="JQ53" s="92"/>
      <c r="JR53" s="92"/>
      <c r="JS53" s="92"/>
      <c r="JT53" s="92"/>
      <c r="JU53" s="92"/>
      <c r="JV53" s="92"/>
      <c r="JW53" s="92"/>
      <c r="JX53" s="92"/>
      <c r="JY53" s="92"/>
      <c r="JZ53" s="92"/>
      <c r="KA53" s="92"/>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2"/>
      <c r="LA53" s="92"/>
      <c r="LB53" s="92"/>
      <c r="LC53" s="92"/>
      <c r="LD53" s="92"/>
      <c r="LE53" s="92"/>
      <c r="LF53" s="92"/>
      <c r="LG53" s="92"/>
      <c r="LH53" s="92"/>
      <c r="LI53" s="92"/>
      <c r="LJ53" s="92"/>
      <c r="LK53" s="92"/>
      <c r="LL53" s="92"/>
      <c r="LM53" s="92"/>
      <c r="LN53" s="92"/>
      <c r="LO53" s="92"/>
      <c r="LP53" s="92"/>
      <c r="LQ53" s="92"/>
      <c r="LR53" s="92"/>
      <c r="LS53" s="92"/>
      <c r="LT53" s="92"/>
      <c r="LU53" s="92"/>
      <c r="LV53" s="92"/>
      <c r="LW53" s="92"/>
      <c r="LX53" s="92"/>
      <c r="LY53" s="92"/>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2"/>
      <c r="MY53" s="92"/>
      <c r="MZ53" s="92"/>
      <c r="NA53" s="92"/>
      <c r="NB53" s="92"/>
      <c r="NC53" s="92"/>
      <c r="ND53" s="92"/>
      <c r="NE53" s="92"/>
      <c r="NF53" s="92"/>
      <c r="NG53" s="92"/>
      <c r="NH53" s="92"/>
      <c r="NI53" s="92"/>
      <c r="NJ53" s="92"/>
      <c r="NK53" s="92"/>
      <c r="NL53" s="92"/>
      <c r="NM53" s="92"/>
      <c r="NN53" s="92"/>
      <c r="NO53" s="92"/>
      <c r="NP53" s="92"/>
      <c r="NQ53" s="92"/>
      <c r="NR53" s="92"/>
      <c r="NS53" s="92"/>
      <c r="NT53" s="92"/>
      <c r="NU53" s="92"/>
      <c r="NV53" s="92"/>
      <c r="NW53" s="92"/>
      <c r="NX53" s="92"/>
      <c r="NY53" s="92"/>
      <c r="NZ53" s="92"/>
      <c r="OA53" s="92"/>
      <c r="OB53" s="92"/>
      <c r="OC53" s="92"/>
      <c r="OD53" s="92"/>
      <c r="OE53" s="92"/>
      <c r="OF53" s="92"/>
      <c r="OG53" s="92"/>
      <c r="OH53" s="92"/>
      <c r="OI53" s="92"/>
      <c r="OJ53" s="92"/>
      <c r="OK53" s="92"/>
      <c r="OL53" s="92"/>
      <c r="OM53" s="92"/>
      <c r="ON53" s="92"/>
      <c r="OO53" s="92"/>
      <c r="OP53" s="92"/>
      <c r="OQ53" s="92"/>
      <c r="OR53" s="92"/>
      <c r="OS53" s="92"/>
      <c r="OT53" s="92"/>
      <c r="OU53" s="92"/>
      <c r="OV53" s="92"/>
      <c r="OW53" s="92"/>
      <c r="OX53" s="92"/>
      <c r="OY53" s="92"/>
      <c r="OZ53" s="92"/>
      <c r="PA53" s="92"/>
      <c r="PB53" s="92"/>
      <c r="PC53" s="92"/>
      <c r="PD53" s="92"/>
      <c r="PE53" s="92"/>
      <c r="PF53" s="92"/>
      <c r="PG53" s="92"/>
      <c r="PH53" s="92"/>
      <c r="PI53" s="92"/>
      <c r="PJ53" s="92"/>
      <c r="PK53" s="92"/>
      <c r="PL53" s="92"/>
      <c r="PM53" s="92"/>
      <c r="PN53" s="92"/>
      <c r="PO53" s="92"/>
      <c r="PP53" s="92"/>
      <c r="PQ53" s="92"/>
      <c r="PR53" s="92"/>
      <c r="PS53" s="92"/>
      <c r="PT53" s="92"/>
      <c r="PU53" s="92"/>
      <c r="PV53" s="92"/>
      <c r="PW53" s="92"/>
      <c r="PX53" s="92"/>
      <c r="PY53" s="92"/>
      <c r="PZ53" s="92"/>
      <c r="QA53" s="92"/>
      <c r="QB53" s="92"/>
      <c r="QC53" s="92"/>
      <c r="QD53" s="92"/>
      <c r="QE53" s="92"/>
      <c r="QF53" s="92"/>
      <c r="QG53" s="92"/>
      <c r="QH53" s="92"/>
      <c r="QI53" s="92"/>
      <c r="QJ53" s="92"/>
      <c r="QK53" s="92"/>
      <c r="QL53" s="92"/>
      <c r="QM53" s="92"/>
      <c r="QN53" s="92"/>
      <c r="QO53" s="92"/>
    </row>
    <row r="54" spans="1:457" ht="15.75">
      <c r="A54" s="89">
        <v>19</v>
      </c>
      <c r="B54" s="89" t="s">
        <v>270</v>
      </c>
      <c r="C54" s="101" t="str">
        <f t="shared" si="19"/>
        <v>Public services</v>
      </c>
      <c r="D54" s="270">
        <f t="shared" si="33"/>
        <v>13.57178738301335</v>
      </c>
      <c r="E54" s="270">
        <f t="shared" si="33"/>
        <v>0</v>
      </c>
      <c r="F54" s="270">
        <f t="shared" si="33"/>
        <v>33.427</v>
      </c>
      <c r="G54" s="271">
        <f t="shared" si="23"/>
        <v>46.998787383013351</v>
      </c>
      <c r="H54" s="94"/>
      <c r="I54" s="94"/>
      <c r="J54" s="94"/>
      <c r="K54" s="94"/>
      <c r="L54" s="94"/>
      <c r="M54" s="94"/>
      <c r="N54" s="94"/>
      <c r="O54" s="95"/>
      <c r="P54" s="95">
        <f t="shared" si="20"/>
        <v>46.998787383013351</v>
      </c>
      <c r="Q54" s="92"/>
      <c r="R54" s="92"/>
      <c r="S54" s="92"/>
      <c r="U54" s="638">
        <f>SUM(U51:U53)</f>
        <v>2039.9899999999998</v>
      </c>
      <c r="V54" s="638">
        <f t="shared" ref="V54:W54" si="35">SUM(V51:V53)</f>
        <v>0</v>
      </c>
      <c r="W54" s="638">
        <f t="shared" si="35"/>
        <v>0.04</v>
      </c>
      <c r="X54" s="305"/>
      <c r="Y54" s="639">
        <f t="shared" si="34"/>
        <v>1</v>
      </c>
      <c r="Z54" s="639">
        <f t="shared" si="32"/>
        <v>0</v>
      </c>
      <c r="AA54" s="639">
        <f t="shared" si="32"/>
        <v>1</v>
      </c>
      <c r="AB54"/>
      <c r="AC54" s="260"/>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c r="IW54" s="92"/>
      <c r="IX54" s="92"/>
      <c r="IY54" s="92"/>
      <c r="IZ54" s="92"/>
      <c r="JA54" s="92"/>
      <c r="JB54" s="92"/>
      <c r="JC54" s="92"/>
      <c r="JD54" s="92"/>
      <c r="JE54" s="92"/>
      <c r="JF54" s="92"/>
      <c r="JG54" s="92"/>
      <c r="JH54" s="92"/>
      <c r="JI54" s="92"/>
      <c r="JJ54" s="92"/>
      <c r="JK54" s="92"/>
      <c r="JL54" s="92"/>
      <c r="JM54" s="92"/>
      <c r="JN54" s="92"/>
      <c r="JO54" s="92"/>
      <c r="JP54" s="92"/>
      <c r="JQ54" s="92"/>
      <c r="JR54" s="92"/>
      <c r="JS54" s="92"/>
      <c r="JT54" s="92"/>
      <c r="JU54" s="92"/>
      <c r="JV54" s="92"/>
      <c r="JW54" s="92"/>
      <c r="JX54" s="92"/>
      <c r="JY54" s="92"/>
      <c r="JZ54" s="92"/>
      <c r="KA54" s="92"/>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2"/>
      <c r="LA54" s="92"/>
      <c r="LB54" s="92"/>
      <c r="LC54" s="92"/>
      <c r="LD54" s="92"/>
      <c r="LE54" s="92"/>
      <c r="LF54" s="92"/>
      <c r="LG54" s="92"/>
      <c r="LH54" s="92"/>
      <c r="LI54" s="92"/>
      <c r="LJ54" s="92"/>
      <c r="LK54" s="92"/>
      <c r="LL54" s="92"/>
      <c r="LM54" s="92"/>
      <c r="LN54" s="92"/>
      <c r="LO54" s="92"/>
      <c r="LP54" s="92"/>
      <c r="LQ54" s="92"/>
      <c r="LR54" s="92"/>
      <c r="LS54" s="92"/>
      <c r="LT54" s="92"/>
      <c r="LU54" s="92"/>
      <c r="LV54" s="92"/>
      <c r="LW54" s="92"/>
      <c r="LX54" s="92"/>
      <c r="LY54" s="92"/>
      <c r="LZ54" s="92"/>
      <c r="MA54" s="92"/>
      <c r="MB54" s="92"/>
      <c r="MC54" s="92"/>
      <c r="MD54" s="92"/>
      <c r="ME54" s="92"/>
      <c r="MF54" s="92"/>
      <c r="MG54" s="92"/>
      <c r="MH54" s="92"/>
      <c r="MI54" s="92"/>
      <c r="MJ54" s="92"/>
      <c r="MK54" s="92"/>
      <c r="ML54" s="92"/>
      <c r="MM54" s="92"/>
      <c r="MN54" s="92"/>
      <c r="MO54" s="92"/>
      <c r="MP54" s="92"/>
      <c r="MQ54" s="92"/>
      <c r="MR54" s="92"/>
      <c r="MS54" s="92"/>
      <c r="MT54" s="92"/>
      <c r="MU54" s="92"/>
      <c r="MV54" s="92"/>
      <c r="MW54" s="92"/>
      <c r="MX54" s="92"/>
      <c r="MY54" s="92"/>
      <c r="MZ54" s="92"/>
      <c r="NA54" s="92"/>
      <c r="NB54" s="92"/>
      <c r="NC54" s="92"/>
      <c r="ND54" s="92"/>
      <c r="NE54" s="92"/>
      <c r="NF54" s="92"/>
      <c r="NG54" s="92"/>
      <c r="NH54" s="92"/>
      <c r="NI54" s="92"/>
      <c r="NJ54" s="92"/>
      <c r="NK54" s="92"/>
      <c r="NL54" s="92"/>
      <c r="NM54" s="92"/>
      <c r="NN54" s="92"/>
      <c r="NO54" s="92"/>
      <c r="NP54" s="92"/>
      <c r="NQ54" s="92"/>
      <c r="NR54" s="92"/>
      <c r="NS54" s="92"/>
      <c r="NT54" s="92"/>
      <c r="NU54" s="92"/>
      <c r="NV54" s="92"/>
      <c r="NW54" s="92"/>
      <c r="NX54" s="92"/>
      <c r="NY54" s="92"/>
      <c r="NZ54" s="92"/>
      <c r="OA54" s="92"/>
      <c r="OB54" s="92"/>
      <c r="OC54" s="92"/>
      <c r="OD54" s="92"/>
      <c r="OE54" s="92"/>
      <c r="OF54" s="92"/>
      <c r="OG54" s="92"/>
      <c r="OH54" s="92"/>
      <c r="OI54" s="92"/>
      <c r="OJ54" s="92"/>
      <c r="OK54" s="92"/>
      <c r="OL54" s="92"/>
      <c r="OM54" s="92"/>
      <c r="ON54" s="92"/>
      <c r="OO54" s="92"/>
      <c r="OP54" s="92"/>
      <c r="OQ54" s="92"/>
      <c r="OR54" s="92"/>
      <c r="OS54" s="92"/>
      <c r="OT54" s="92"/>
      <c r="OU54" s="92"/>
      <c r="OV54" s="92"/>
      <c r="OW54" s="92"/>
      <c r="OX54" s="92"/>
      <c r="OY54" s="92"/>
      <c r="OZ54" s="92"/>
      <c r="PA54" s="92"/>
      <c r="PB54" s="92"/>
      <c r="PC54" s="92"/>
      <c r="PD54" s="92"/>
      <c r="PE54" s="92"/>
      <c r="PF54" s="92"/>
      <c r="PG54" s="92"/>
      <c r="PH54" s="92"/>
      <c r="PI54" s="92"/>
      <c r="PJ54" s="92"/>
      <c r="PK54" s="92"/>
      <c r="PL54" s="92"/>
      <c r="PM54" s="92"/>
      <c r="PN54" s="92"/>
      <c r="PO54" s="92"/>
      <c r="PP54" s="92"/>
      <c r="PQ54" s="92"/>
      <c r="PR54" s="92"/>
      <c r="PS54" s="92"/>
      <c r="PT54" s="92"/>
      <c r="PU54" s="92"/>
      <c r="PV54" s="92"/>
      <c r="PW54" s="92"/>
      <c r="PX54" s="92"/>
      <c r="PY54" s="92"/>
      <c r="PZ54" s="92"/>
      <c r="QA54" s="92"/>
      <c r="QB54" s="92"/>
      <c r="QC54" s="92"/>
      <c r="QD54" s="92"/>
      <c r="QE54" s="92"/>
      <c r="QF54" s="92"/>
      <c r="QG54" s="92"/>
      <c r="QH54" s="92"/>
      <c r="QI54" s="92"/>
      <c r="QJ54" s="92"/>
      <c r="QK54" s="92"/>
      <c r="QL54" s="92"/>
      <c r="QM54" s="92"/>
      <c r="QN54" s="92"/>
      <c r="QO54" s="92"/>
    </row>
    <row r="55" spans="1:457">
      <c r="A55" s="89">
        <v>20</v>
      </c>
      <c r="B55" s="624" t="s">
        <v>388</v>
      </c>
      <c r="C55" s="101" t="str">
        <f t="shared" si="19"/>
        <v>Manufacture of petroleum and coal products</v>
      </c>
      <c r="D55" s="642">
        <f t="shared" ref="D55:F56" si="36">AA23/U$104</f>
        <v>88.959326451679644</v>
      </c>
      <c r="E55" s="642">
        <f t="shared" si="36"/>
        <v>275.80302099139669</v>
      </c>
      <c r="F55" s="642">
        <f t="shared" si="36"/>
        <v>2.3855026281322518</v>
      </c>
      <c r="G55" s="643">
        <f t="shared" si="23"/>
        <v>367.14785007120861</v>
      </c>
      <c r="H55" s="94"/>
      <c r="I55" s="94"/>
      <c r="J55" s="94"/>
      <c r="K55" s="94"/>
      <c r="L55" s="94"/>
      <c r="M55" s="94"/>
      <c r="N55" s="94"/>
      <c r="O55" s="95"/>
      <c r="P55" s="95">
        <f t="shared" si="20"/>
        <v>367.14785007120861</v>
      </c>
      <c r="Q55" s="92"/>
      <c r="R55" s="92"/>
      <c r="S55" s="92"/>
      <c r="T55" s="304"/>
      <c r="AB55" s="304"/>
      <c r="AC55" s="305"/>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2"/>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2"/>
      <c r="CZ55" s="92"/>
      <c r="DA55" s="92"/>
      <c r="DB55" s="92"/>
      <c r="DC55" s="92"/>
      <c r="DD55" s="92"/>
      <c r="DE55" s="92"/>
      <c r="DF55" s="92"/>
      <c r="DG55" s="92"/>
      <c r="DH55" s="92"/>
      <c r="DI55" s="92"/>
      <c r="DJ55" s="92"/>
      <c r="DK55" s="92"/>
      <c r="DL55" s="92"/>
      <c r="DM55" s="92"/>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2"/>
      <c r="EN55" s="92"/>
      <c r="EO55" s="92"/>
      <c r="EP55" s="92"/>
      <c r="EQ55" s="92"/>
      <c r="ER55" s="92"/>
      <c r="ES55" s="92"/>
      <c r="ET55" s="92"/>
      <c r="EU55" s="92"/>
      <c r="EV55" s="92"/>
      <c r="EW55" s="92"/>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2"/>
      <c r="FV55" s="92"/>
      <c r="FW55" s="92"/>
      <c r="FX55" s="92"/>
      <c r="FY55" s="92"/>
      <c r="FZ55" s="92"/>
      <c r="GA55" s="92"/>
      <c r="GB55" s="92"/>
      <c r="GC55" s="92"/>
      <c r="GD55" s="92"/>
      <c r="GE55" s="92"/>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2"/>
      <c r="HE55" s="92"/>
      <c r="HF55" s="92"/>
      <c r="HG55" s="92"/>
      <c r="HH55" s="92"/>
      <c r="HI55" s="92"/>
      <c r="HJ55" s="92"/>
      <c r="HK55" s="92"/>
      <c r="HL55" s="92"/>
      <c r="HM55" s="92"/>
      <c r="HN55" s="92"/>
      <c r="HO55" s="92"/>
      <c r="HP55" s="92"/>
      <c r="HQ55" s="92"/>
      <c r="HR55" s="92"/>
      <c r="HS55" s="92"/>
      <c r="HT55" s="92"/>
      <c r="HU55" s="92"/>
      <c r="HV55" s="92"/>
      <c r="HW55" s="92"/>
      <c r="HX55" s="92"/>
      <c r="HY55" s="92"/>
      <c r="HZ55" s="92"/>
      <c r="IA55" s="92"/>
      <c r="IB55" s="92"/>
      <c r="IC55" s="92"/>
      <c r="ID55" s="92"/>
      <c r="IE55" s="92"/>
      <c r="IF55" s="92"/>
      <c r="IG55" s="92"/>
      <c r="IH55" s="92"/>
      <c r="II55" s="92"/>
      <c r="IJ55" s="92"/>
      <c r="IK55" s="92"/>
      <c r="IL55" s="92"/>
      <c r="IM55" s="92"/>
      <c r="IN55" s="92"/>
      <c r="IO55" s="92"/>
      <c r="IP55" s="92"/>
      <c r="IQ55" s="92"/>
      <c r="IR55" s="92"/>
      <c r="IS55" s="92"/>
      <c r="IT55" s="92"/>
      <c r="IU55" s="92"/>
      <c r="IV55" s="92"/>
      <c r="IW55" s="92"/>
      <c r="IX55" s="92"/>
      <c r="IY55" s="92"/>
      <c r="IZ55" s="92"/>
      <c r="JA55" s="92"/>
      <c r="JB55" s="92"/>
      <c r="JC55" s="92"/>
      <c r="JD55" s="92"/>
      <c r="JE55" s="92"/>
      <c r="JF55" s="92"/>
      <c r="JG55" s="92"/>
      <c r="JH55" s="92"/>
      <c r="JI55" s="92"/>
      <c r="JJ55" s="92"/>
      <c r="JK55" s="92"/>
      <c r="JL55" s="92"/>
      <c r="JM55" s="92"/>
      <c r="JN55" s="92"/>
      <c r="JO55" s="92"/>
      <c r="JP55" s="92"/>
      <c r="JQ55" s="92"/>
      <c r="JR55" s="92"/>
      <c r="JS55" s="92"/>
      <c r="JT55" s="92"/>
      <c r="JU55" s="92"/>
      <c r="JV55" s="92"/>
      <c r="JW55" s="92"/>
      <c r="JX55" s="92"/>
      <c r="JY55" s="92"/>
      <c r="JZ55" s="92"/>
      <c r="KA55" s="92"/>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2"/>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2"/>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2"/>
      <c r="MY55" s="92"/>
      <c r="MZ55" s="92"/>
      <c r="NA55" s="92"/>
      <c r="NB55" s="92"/>
      <c r="NC55" s="92"/>
      <c r="ND55" s="92"/>
      <c r="NE55" s="92"/>
      <c r="NF55" s="92"/>
      <c r="NG55" s="92"/>
      <c r="NH55" s="92"/>
      <c r="NI55" s="92"/>
      <c r="NJ55" s="92"/>
      <c r="NK55" s="92"/>
      <c r="NL55" s="92"/>
      <c r="NM55" s="92"/>
      <c r="NN55" s="92"/>
      <c r="NO55" s="92"/>
      <c r="NP55" s="92"/>
      <c r="NQ55" s="92"/>
      <c r="NR55" s="92"/>
      <c r="NS55" s="92"/>
      <c r="NT55" s="92"/>
      <c r="NU55" s="92"/>
      <c r="NV55" s="92"/>
      <c r="NW55" s="92"/>
      <c r="NX55" s="92"/>
      <c r="NY55" s="92"/>
      <c r="NZ55" s="92"/>
      <c r="OA55" s="92"/>
      <c r="OB55" s="92"/>
      <c r="OC55" s="92"/>
      <c r="OD55" s="92"/>
      <c r="OE55" s="92"/>
      <c r="OF55" s="92"/>
      <c r="OG55" s="92"/>
      <c r="OH55" s="92"/>
      <c r="OI55" s="92"/>
      <c r="OJ55" s="92"/>
      <c r="OK55" s="92"/>
      <c r="OL55" s="92"/>
      <c r="OM55" s="92"/>
      <c r="ON55" s="92"/>
      <c r="OO55" s="92"/>
      <c r="OP55" s="92"/>
      <c r="OQ55" s="92"/>
      <c r="OR55" s="92"/>
      <c r="OS55" s="92"/>
      <c r="OT55" s="92"/>
      <c r="OU55" s="92"/>
      <c r="OV55" s="92"/>
      <c r="OW55" s="92"/>
      <c r="OX55" s="92"/>
      <c r="OY55" s="92"/>
      <c r="OZ55" s="92"/>
      <c r="PA55" s="92"/>
      <c r="PB55" s="92"/>
      <c r="PC55" s="92"/>
      <c r="PD55" s="92"/>
      <c r="PE55" s="92"/>
      <c r="PF55" s="92"/>
      <c r="PG55" s="92"/>
      <c r="PH55" s="92"/>
      <c r="PI55" s="92"/>
      <c r="PJ55" s="92"/>
      <c r="PK55" s="92"/>
      <c r="PL55" s="92"/>
      <c r="PM55" s="92"/>
      <c r="PN55" s="92"/>
      <c r="PO55" s="92"/>
      <c r="PP55" s="92"/>
      <c r="PQ55" s="92"/>
      <c r="PR55" s="92"/>
      <c r="PS55" s="92"/>
      <c r="PT55" s="92"/>
      <c r="PU55" s="92"/>
      <c r="PV55" s="92"/>
      <c r="PW55" s="92"/>
      <c r="PX55" s="92"/>
      <c r="PY55" s="92"/>
      <c r="PZ55" s="92"/>
      <c r="QA55" s="92"/>
      <c r="QB55" s="92"/>
      <c r="QC55" s="92"/>
      <c r="QD55" s="92"/>
      <c r="QE55" s="92"/>
      <c r="QF55" s="92"/>
      <c r="QG55" s="92"/>
      <c r="QH55" s="92"/>
      <c r="QI55" s="92"/>
      <c r="QJ55" s="92"/>
      <c r="QK55" s="92"/>
      <c r="QL55" s="92"/>
      <c r="QM55" s="92"/>
      <c r="QN55" s="92"/>
      <c r="QO55" s="92"/>
    </row>
    <row r="56" spans="1:457">
      <c r="A56" s="89">
        <v>21</v>
      </c>
      <c r="B56" s="624" t="s">
        <v>388</v>
      </c>
      <c r="C56" s="101" t="str">
        <f t="shared" si="19"/>
        <v>Gas supply by pipeline to final consumer</v>
      </c>
      <c r="D56" s="642">
        <f t="shared" si="36"/>
        <v>6.332789862656998E-3</v>
      </c>
      <c r="E56" s="642">
        <f t="shared" si="36"/>
        <v>184.90884543709043</v>
      </c>
      <c r="F56" s="642">
        <f t="shared" si="36"/>
        <v>4.4687658436655893</v>
      </c>
      <c r="G56" s="643">
        <f t="shared" si="23"/>
        <v>189.38394407061867</v>
      </c>
      <c r="H56" s="94"/>
      <c r="I56" s="94"/>
      <c r="J56" s="94"/>
      <c r="K56" s="94"/>
      <c r="L56" s="94"/>
      <c r="M56" s="94"/>
      <c r="N56" s="94"/>
      <c r="O56" s="95"/>
      <c r="P56" s="95">
        <f t="shared" si="20"/>
        <v>189.38394407061867</v>
      </c>
      <c r="Q56" s="92"/>
      <c r="R56" s="92"/>
      <c r="S56" s="92"/>
      <c r="T56" s="147"/>
      <c r="U56" s="148"/>
      <c r="V56" s="92"/>
      <c r="W56" s="92"/>
      <c r="X56" s="92"/>
      <c r="Y56" s="92"/>
      <c r="Z56" s="92"/>
      <c r="AA56" s="92"/>
      <c r="AB56" s="92"/>
      <c r="AC56" s="92"/>
      <c r="AD56" s="92"/>
      <c r="AE56" s="92"/>
      <c r="AF56" s="92"/>
      <c r="AG56" s="92"/>
      <c r="AH56" s="92"/>
      <c r="AI56" s="92"/>
      <c r="AJ56" s="92"/>
      <c r="AK56" s="92"/>
      <c r="AL56" s="92"/>
      <c r="AM56" s="92"/>
      <c r="AN56" s="92"/>
      <c r="AO56" s="92"/>
      <c r="AP56" s="92"/>
      <c r="AQ56" s="92"/>
      <c r="AR56" s="92"/>
      <c r="AS56" s="92"/>
      <c r="AT56" s="92"/>
      <c r="AU56" s="92"/>
      <c r="AV56" s="92"/>
      <c r="AW56" s="92"/>
      <c r="AX56" s="92"/>
      <c r="AY56" s="92"/>
      <c r="AZ56" s="92"/>
      <c r="BA56" s="92"/>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2"/>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2"/>
      <c r="CZ56" s="92"/>
      <c r="DA56" s="92"/>
      <c r="DB56" s="92"/>
      <c r="DC56" s="92"/>
      <c r="DD56" s="92"/>
      <c r="DE56" s="92"/>
      <c r="DF56" s="92"/>
      <c r="DG56" s="92"/>
      <c r="DH56" s="92"/>
      <c r="DI56" s="92"/>
      <c r="DJ56" s="92"/>
      <c r="DK56" s="92"/>
      <c r="DL56" s="92"/>
      <c r="DM56" s="92"/>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2"/>
      <c r="EN56" s="92"/>
      <c r="EO56" s="92"/>
      <c r="EP56" s="92"/>
      <c r="EQ56" s="92"/>
      <c r="ER56" s="92"/>
      <c r="ES56" s="92"/>
      <c r="ET56" s="92"/>
      <c r="EU56" s="92"/>
      <c r="EV56" s="92"/>
      <c r="EW56" s="92"/>
      <c r="EX56" s="92"/>
      <c r="EY56" s="92"/>
      <c r="EZ56" s="92"/>
      <c r="FA56" s="92"/>
      <c r="FB56" s="92"/>
      <c r="FC56" s="92"/>
      <c r="FD56" s="92"/>
      <c r="FE56" s="92"/>
      <c r="FF56" s="92"/>
      <c r="FG56" s="92"/>
      <c r="FH56" s="92"/>
      <c r="FI56" s="92"/>
      <c r="FJ56" s="92"/>
      <c r="FK56" s="92"/>
      <c r="FL56" s="92"/>
      <c r="FM56" s="92"/>
      <c r="FN56" s="92"/>
      <c r="FO56" s="92"/>
      <c r="FP56" s="92"/>
      <c r="FQ56" s="92"/>
      <c r="FR56" s="92"/>
      <c r="FS56" s="92"/>
      <c r="FT56" s="92"/>
      <c r="FU56" s="92"/>
      <c r="FV56" s="92"/>
      <c r="FW56" s="92"/>
      <c r="FX56" s="92"/>
      <c r="FY56" s="92"/>
      <c r="FZ56" s="92"/>
      <c r="GA56" s="92"/>
      <c r="GB56" s="92"/>
      <c r="GC56" s="92"/>
      <c r="GD56" s="92"/>
      <c r="GE56" s="92"/>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2"/>
      <c r="HE56" s="92"/>
      <c r="HF56" s="92"/>
      <c r="HG56" s="92"/>
      <c r="HH56" s="92"/>
      <c r="HI56" s="92"/>
      <c r="HJ56" s="92"/>
      <c r="HK56" s="92"/>
      <c r="HL56" s="92"/>
      <c r="HM56" s="92"/>
      <c r="HN56" s="92"/>
      <c r="HO56" s="92"/>
      <c r="HP56" s="92"/>
      <c r="HQ56" s="92"/>
      <c r="HR56" s="92"/>
      <c r="HS56" s="92"/>
      <c r="HT56" s="92"/>
      <c r="HU56" s="92"/>
      <c r="HV56" s="92"/>
      <c r="HW56" s="92"/>
      <c r="HX56" s="92"/>
      <c r="HY56" s="92"/>
      <c r="HZ56" s="92"/>
      <c r="IA56" s="92"/>
      <c r="IB56" s="92"/>
      <c r="IC56" s="92"/>
      <c r="ID56" s="92"/>
      <c r="IE56" s="92"/>
      <c r="IF56" s="92"/>
      <c r="IG56" s="92"/>
      <c r="IH56" s="92"/>
      <c r="II56" s="92"/>
      <c r="IJ56" s="92"/>
      <c r="IK56" s="92"/>
      <c r="IL56" s="92"/>
      <c r="IM56" s="92"/>
      <c r="IN56" s="92"/>
      <c r="IO56" s="92"/>
      <c r="IP56" s="92"/>
      <c r="IQ56" s="92"/>
      <c r="IR56" s="92"/>
      <c r="IS56" s="92"/>
      <c r="IT56" s="92"/>
      <c r="IU56" s="92"/>
      <c r="IV56" s="92"/>
      <c r="IW56" s="92"/>
      <c r="IX56" s="92"/>
      <c r="IY56" s="92"/>
      <c r="IZ56" s="92"/>
      <c r="JA56" s="92"/>
      <c r="JB56" s="92"/>
      <c r="JC56" s="92"/>
      <c r="JD56" s="92"/>
      <c r="JE56" s="92"/>
      <c r="JF56" s="92"/>
      <c r="JG56" s="92"/>
      <c r="JH56" s="92"/>
      <c r="JI56" s="92"/>
      <c r="JJ56" s="92"/>
      <c r="JK56" s="92"/>
      <c r="JL56" s="92"/>
      <c r="JM56" s="92"/>
      <c r="JN56" s="92"/>
      <c r="JO56" s="92"/>
      <c r="JP56" s="92"/>
      <c r="JQ56" s="92"/>
      <c r="JR56" s="92"/>
      <c r="JS56" s="92"/>
      <c r="JT56" s="92"/>
      <c r="JU56" s="92"/>
      <c r="JV56" s="92"/>
      <c r="JW56" s="92"/>
      <c r="JX56" s="92"/>
      <c r="JY56" s="92"/>
      <c r="JZ56" s="92"/>
      <c r="KA56" s="92"/>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2"/>
      <c r="LA56" s="92"/>
      <c r="LB56" s="92"/>
      <c r="LC56" s="92"/>
      <c r="LD56" s="92"/>
      <c r="LE56" s="92"/>
      <c r="LF56" s="92"/>
      <c r="LG56" s="92"/>
      <c r="LH56" s="92"/>
      <c r="LI56" s="92"/>
      <c r="LJ56" s="92"/>
      <c r="LK56" s="92"/>
      <c r="LL56" s="92"/>
      <c r="LM56" s="92"/>
      <c r="LN56" s="92"/>
      <c r="LO56" s="92"/>
      <c r="LP56" s="92"/>
      <c r="LQ56" s="92"/>
      <c r="LR56" s="92"/>
      <c r="LS56" s="92"/>
      <c r="LT56" s="92"/>
      <c r="LU56" s="92"/>
      <c r="LV56" s="92"/>
      <c r="LW56" s="92"/>
      <c r="LX56" s="92"/>
      <c r="LY56" s="92"/>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2"/>
      <c r="MY56" s="92"/>
      <c r="MZ56" s="92"/>
      <c r="NA56" s="92"/>
      <c r="NB56" s="92"/>
      <c r="NC56" s="92"/>
      <c r="ND56" s="92"/>
      <c r="NE56" s="92"/>
      <c r="NF56" s="92"/>
      <c r="NG56" s="92"/>
      <c r="NH56" s="92"/>
      <c r="NI56" s="92"/>
      <c r="NJ56" s="92"/>
      <c r="NK56" s="92"/>
      <c r="NL56" s="92"/>
      <c r="NM56" s="92"/>
      <c r="NN56" s="92"/>
      <c r="NO56" s="92"/>
      <c r="NP56" s="92"/>
      <c r="NQ56" s="92"/>
      <c r="NR56" s="92"/>
      <c r="NS56" s="92"/>
      <c r="NT56" s="92"/>
      <c r="NU56" s="92"/>
      <c r="NV56" s="92"/>
      <c r="NW56" s="92"/>
      <c r="NX56" s="92"/>
      <c r="NY56" s="92"/>
      <c r="NZ56" s="92"/>
      <c r="OA56" s="92"/>
      <c r="OB56" s="92"/>
      <c r="OC56" s="92"/>
      <c r="OD56" s="92"/>
      <c r="OE56" s="92"/>
      <c r="OF56" s="92"/>
      <c r="OG56" s="92"/>
      <c r="OH56" s="92"/>
      <c r="OI56" s="92"/>
      <c r="OJ56" s="92"/>
      <c r="OK56" s="92"/>
      <c r="OL56" s="92"/>
      <c r="OM56" s="92"/>
      <c r="ON56" s="92"/>
      <c r="OO56" s="92"/>
      <c r="OP56" s="92"/>
      <c r="OQ56" s="92"/>
      <c r="OR56" s="92"/>
      <c r="OS56" s="92"/>
      <c r="OT56" s="92"/>
      <c r="OU56" s="92"/>
      <c r="OV56" s="92"/>
      <c r="OW56" s="92"/>
      <c r="OX56" s="92"/>
      <c r="OY56" s="92"/>
      <c r="OZ56" s="92"/>
      <c r="PA56" s="92"/>
      <c r="PB56" s="92"/>
      <c r="PC56" s="92"/>
      <c r="PD56" s="92"/>
      <c r="PE56" s="92"/>
      <c r="PF56" s="92"/>
      <c r="PG56" s="92"/>
      <c r="PH56" s="92"/>
      <c r="PI56" s="92"/>
      <c r="PJ56" s="92"/>
      <c r="PK56" s="92"/>
      <c r="PL56" s="92"/>
      <c r="PM56" s="92"/>
      <c r="PN56" s="92"/>
      <c r="PO56" s="92"/>
      <c r="PP56" s="92"/>
      <c r="PQ56" s="92"/>
      <c r="PR56" s="92"/>
      <c r="PS56" s="92"/>
      <c r="PT56" s="92"/>
      <c r="PU56" s="92"/>
      <c r="PV56" s="92"/>
      <c r="PW56" s="92"/>
      <c r="PX56" s="92"/>
      <c r="PY56" s="92"/>
      <c r="PZ56" s="92"/>
      <c r="QA56" s="92"/>
      <c r="QB56" s="92"/>
      <c r="QC56" s="92"/>
      <c r="QD56" s="92"/>
      <c r="QE56" s="92"/>
      <c r="QF56" s="92"/>
      <c r="QG56" s="92"/>
      <c r="QH56" s="92"/>
      <c r="QI56" s="92"/>
      <c r="QJ56" s="92"/>
      <c r="QK56" s="92"/>
      <c r="QL56" s="92"/>
      <c r="QM56" s="92"/>
      <c r="QN56" s="92"/>
      <c r="QO56" s="92"/>
    </row>
    <row r="57" spans="1:457" ht="18.75">
      <c r="A57" s="89">
        <v>22</v>
      </c>
      <c r="B57" s="211" t="s">
        <v>392</v>
      </c>
      <c r="C57" s="101" t="str">
        <f t="shared" si="19"/>
        <v>Electricity generation, trasmission and distribution</v>
      </c>
      <c r="D57" s="642">
        <f>AA25/U105</f>
        <v>828.16699999999992</v>
      </c>
      <c r="E57" s="642">
        <f>AB25/V105</f>
        <v>1303.69</v>
      </c>
      <c r="F57" s="642">
        <f>AC25/W105</f>
        <v>36.530536082770865</v>
      </c>
      <c r="G57" s="643">
        <f t="shared" si="23"/>
        <v>2168.387536082771</v>
      </c>
      <c r="H57" s="94"/>
      <c r="I57" s="94">
        <f>'AggrStep1-energy'!I90</f>
        <v>60.542000000000002</v>
      </c>
      <c r="J57" s="94"/>
      <c r="K57" s="94">
        <f>'AggrStep1-energy'!K90</f>
        <v>15.064</v>
      </c>
      <c r="L57" s="94">
        <f>'AggrStep1-energy'!L90</f>
        <v>0.36</v>
      </c>
      <c r="M57" s="94">
        <f>'AggrStep1-energy'!M90</f>
        <v>100.87700000000001</v>
      </c>
      <c r="N57" s="94">
        <f>'AggrStep1-energy'!N90</f>
        <v>131.316</v>
      </c>
      <c r="O57" s="94">
        <f>'AggrStep1-energy'!O90</f>
        <v>122.598</v>
      </c>
      <c r="P57" s="95">
        <f>G57+I57</f>
        <v>2228.9295360827709</v>
      </c>
      <c r="Q57" s="92"/>
      <c r="R57" s="92"/>
      <c r="S57" s="92"/>
      <c r="T57" s="703" t="s">
        <v>538</v>
      </c>
      <c r="U57" s="703"/>
      <c r="V57" s="703"/>
      <c r="W57" s="703"/>
      <c r="X57" s="703"/>
      <c r="Y57" s="703"/>
      <c r="Z57" s="703"/>
      <c r="AA57" s="703"/>
      <c r="AB57" s="703"/>
      <c r="AC57" s="703"/>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92"/>
      <c r="FC57" s="92"/>
      <c r="FD57" s="92"/>
      <c r="FE57" s="92"/>
      <c r="FF57" s="92"/>
      <c r="FG57" s="92"/>
      <c r="FH57" s="92"/>
      <c r="FI57" s="92"/>
      <c r="FJ57" s="92"/>
      <c r="FK57" s="92"/>
      <c r="FL57" s="92"/>
      <c r="FM57" s="92"/>
      <c r="FN57" s="92"/>
      <c r="FO57" s="92"/>
      <c r="FP57" s="92"/>
      <c r="FQ57" s="92"/>
      <c r="FR57" s="92"/>
      <c r="FS57" s="92"/>
      <c r="FT57" s="92"/>
      <c r="FU57" s="92"/>
      <c r="FV57" s="92"/>
      <c r="FW57" s="92"/>
      <c r="FX57" s="92"/>
      <c r="FY57" s="92"/>
      <c r="FZ57" s="92"/>
      <c r="GA57" s="92"/>
      <c r="GB57" s="92"/>
      <c r="GC57" s="92"/>
      <c r="GD57" s="92"/>
      <c r="GE57" s="92"/>
      <c r="GF57" s="92"/>
      <c r="GG57" s="92"/>
      <c r="GH57" s="92"/>
      <c r="GI57" s="92"/>
      <c r="GJ57" s="92"/>
      <c r="GK57" s="92"/>
      <c r="GL57" s="92"/>
      <c r="GM57" s="92"/>
      <c r="GN57" s="92"/>
      <c r="GO57" s="92"/>
      <c r="GP57" s="92"/>
      <c r="GQ57" s="92"/>
      <c r="GR57" s="92"/>
      <c r="GS57" s="92"/>
      <c r="GT57" s="92"/>
      <c r="GU57" s="92"/>
      <c r="GV57" s="92"/>
      <c r="GW57" s="92"/>
      <c r="GX57" s="92"/>
      <c r="GY57" s="92"/>
      <c r="GZ57" s="92"/>
      <c r="HA57" s="92"/>
      <c r="HB57" s="92"/>
      <c r="HC57" s="92"/>
      <c r="HD57" s="92"/>
      <c r="HE57" s="92"/>
      <c r="HF57" s="92"/>
      <c r="HG57" s="92"/>
      <c r="HH57" s="92"/>
      <c r="HI57" s="92"/>
      <c r="HJ57" s="92"/>
      <c r="HK57" s="92"/>
      <c r="HL57" s="92"/>
      <c r="HM57" s="92"/>
      <c r="HN57" s="92"/>
      <c r="HO57" s="92"/>
      <c r="HP57" s="92"/>
      <c r="HQ57" s="92"/>
      <c r="HR57" s="92"/>
      <c r="HS57" s="92"/>
      <c r="HT57" s="92"/>
      <c r="HU57" s="92"/>
      <c r="HV57" s="92"/>
      <c r="HW57" s="92"/>
      <c r="HX57" s="92"/>
      <c r="HY57" s="92"/>
      <c r="HZ57" s="92"/>
      <c r="IA57" s="92"/>
      <c r="IB57" s="92"/>
      <c r="IC57" s="92"/>
      <c r="ID57" s="92"/>
      <c r="IE57" s="92"/>
      <c r="IF57" s="92"/>
      <c r="IG57" s="92"/>
      <c r="IH57" s="92"/>
      <c r="II57" s="92"/>
      <c r="IJ57" s="92"/>
      <c r="IK57" s="92"/>
      <c r="IL57" s="92"/>
      <c r="IM57" s="92"/>
      <c r="IN57" s="92"/>
      <c r="IO57" s="92"/>
      <c r="IP57" s="92"/>
      <c r="IQ57" s="92"/>
      <c r="IR57" s="92"/>
      <c r="IS57" s="92"/>
      <c r="IT57" s="92"/>
      <c r="IU57" s="92"/>
      <c r="IV57" s="92"/>
      <c r="IW57" s="92"/>
      <c r="IX57" s="92"/>
      <c r="IY57" s="92"/>
      <c r="IZ57" s="92"/>
      <c r="JA57" s="92"/>
      <c r="JB57" s="92"/>
      <c r="JC57" s="92"/>
      <c r="JD57" s="92"/>
      <c r="JE57" s="92"/>
      <c r="JF57" s="92"/>
      <c r="JG57" s="92"/>
      <c r="JH57" s="92"/>
      <c r="JI57" s="92"/>
      <c r="JJ57" s="92"/>
      <c r="JK57" s="92"/>
      <c r="JL57" s="92"/>
      <c r="JM57" s="92"/>
      <c r="JN57" s="92"/>
      <c r="JO57" s="92"/>
      <c r="JP57" s="92"/>
      <c r="JQ57" s="92"/>
      <c r="JR57" s="92"/>
      <c r="JS57" s="92"/>
      <c r="JT57" s="92"/>
      <c r="JU57" s="92"/>
      <c r="JV57" s="92"/>
      <c r="JW57" s="92"/>
      <c r="JX57" s="92"/>
      <c r="JY57" s="92"/>
      <c r="JZ57" s="92"/>
      <c r="KA57" s="92"/>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2"/>
      <c r="LA57" s="92"/>
      <c r="LB57" s="92"/>
      <c r="LC57" s="92"/>
      <c r="LD57" s="92"/>
      <c r="LE57" s="92"/>
      <c r="LF57" s="92"/>
      <c r="LG57" s="92"/>
      <c r="LH57" s="92"/>
      <c r="LI57" s="92"/>
      <c r="LJ57" s="92"/>
      <c r="LK57" s="92"/>
      <c r="LL57" s="92"/>
      <c r="LM57" s="92"/>
      <c r="LN57" s="92"/>
      <c r="LO57" s="92"/>
      <c r="LP57" s="92"/>
      <c r="LQ57" s="92"/>
      <c r="LR57" s="92"/>
      <c r="LS57" s="92"/>
      <c r="LT57" s="92"/>
      <c r="LU57" s="92"/>
      <c r="LV57" s="92"/>
      <c r="LW57" s="92"/>
      <c r="LX57" s="92"/>
      <c r="LY57" s="92"/>
      <c r="LZ57" s="92"/>
      <c r="MA57" s="92"/>
      <c r="MB57" s="92"/>
      <c r="MC57" s="92"/>
      <c r="MD57" s="92"/>
      <c r="ME57" s="92"/>
      <c r="MF57" s="92"/>
      <c r="MG57" s="92"/>
      <c r="MH57" s="92"/>
      <c r="MI57" s="92"/>
      <c r="MJ57" s="92"/>
      <c r="MK57" s="92"/>
      <c r="ML57" s="92"/>
      <c r="MM57" s="92"/>
      <c r="MN57" s="92"/>
      <c r="MO57" s="92"/>
      <c r="MP57" s="92"/>
      <c r="MQ57" s="92"/>
      <c r="MR57" s="92"/>
      <c r="MS57" s="92"/>
      <c r="MT57" s="92"/>
      <c r="MU57" s="92"/>
      <c r="MV57" s="92"/>
      <c r="MW57" s="92"/>
      <c r="MX57" s="92"/>
      <c r="MY57" s="92"/>
      <c r="MZ57" s="92"/>
      <c r="NA57" s="92"/>
      <c r="NB57" s="92"/>
      <c r="NC57" s="92"/>
      <c r="ND57" s="92"/>
      <c r="NE57" s="92"/>
      <c r="NF57" s="92"/>
      <c r="NG57" s="92"/>
      <c r="NH57" s="92"/>
      <c r="NI57" s="92"/>
      <c r="NJ57" s="92"/>
      <c r="NK57" s="92"/>
      <c r="NL57" s="92"/>
      <c r="NM57" s="92"/>
      <c r="NN57" s="92"/>
      <c r="NO57" s="92"/>
      <c r="NP57" s="92"/>
      <c r="NQ57" s="92"/>
      <c r="NR57" s="92"/>
      <c r="NS57" s="92"/>
      <c r="NT57" s="92"/>
      <c r="NU57" s="92"/>
      <c r="NV57" s="92"/>
      <c r="NW57" s="92"/>
      <c r="NX57" s="92"/>
      <c r="NY57" s="92"/>
      <c r="NZ57" s="92"/>
      <c r="OA57" s="92"/>
      <c r="OB57" s="92"/>
      <c r="OC57" s="92"/>
      <c r="OD57" s="92"/>
      <c r="OE57" s="92"/>
      <c r="OF57" s="92"/>
      <c r="OG57" s="92"/>
      <c r="OH57" s="92"/>
      <c r="OI57" s="92"/>
      <c r="OJ57" s="92"/>
      <c r="OK57" s="92"/>
      <c r="OL57" s="92"/>
      <c r="OM57" s="92"/>
      <c r="ON57" s="92"/>
      <c r="OO57" s="92"/>
      <c r="OP57" s="92"/>
      <c r="OQ57" s="92"/>
      <c r="OR57" s="92"/>
      <c r="OS57" s="92"/>
      <c r="OT57" s="92"/>
      <c r="OU57" s="92"/>
      <c r="OV57" s="92"/>
      <c r="OW57" s="92"/>
      <c r="OX57" s="92"/>
      <c r="OY57" s="92"/>
      <c r="OZ57" s="92"/>
      <c r="PA57" s="92"/>
      <c r="PB57" s="92"/>
      <c r="PC57" s="92"/>
      <c r="PD57" s="92"/>
      <c r="PE57" s="92"/>
      <c r="PF57" s="92"/>
      <c r="PG57" s="92"/>
      <c r="PH57" s="92"/>
      <c r="PI57" s="92"/>
      <c r="PJ57" s="92"/>
      <c r="PK57" s="92"/>
      <c r="PL57" s="92"/>
      <c r="PM57" s="92"/>
      <c r="PN57" s="92"/>
      <c r="PO57" s="92"/>
      <c r="PP57" s="92"/>
      <c r="PQ57" s="92"/>
      <c r="PR57" s="92"/>
      <c r="PS57" s="92"/>
      <c r="PT57" s="92"/>
      <c r="PU57" s="92"/>
      <c r="PV57" s="92"/>
      <c r="PW57" s="92"/>
      <c r="PX57" s="92"/>
      <c r="PY57" s="92"/>
      <c r="PZ57" s="92"/>
      <c r="QA57" s="92"/>
      <c r="QB57" s="92"/>
      <c r="QC57" s="92"/>
      <c r="QD57" s="92"/>
      <c r="QE57" s="92"/>
      <c r="QF57" s="92"/>
      <c r="QG57" s="92"/>
      <c r="QH57" s="92"/>
      <c r="QI57" s="92"/>
      <c r="QJ57" s="92"/>
      <c r="QK57" s="92"/>
      <c r="QL57" s="92"/>
      <c r="QM57" s="92"/>
      <c r="QN57" s="92"/>
      <c r="QO57" s="92"/>
    </row>
    <row r="58" spans="1:457">
      <c r="A58" s="90"/>
      <c r="B58" s="90" t="s">
        <v>537</v>
      </c>
      <c r="C58" s="102" t="str">
        <f t="shared" si="19"/>
        <v>Total sector</v>
      </c>
      <c r="D58" s="271">
        <f>SUM(D36:D57)</f>
        <v>2781.8999820811941</v>
      </c>
      <c r="E58" s="271">
        <f t="shared" ref="E58:F58" si="37">SUM(E36:E57)</f>
        <v>2520.0925186293925</v>
      </c>
      <c r="F58" s="271">
        <f t="shared" si="37"/>
        <v>728.31020590802029</v>
      </c>
      <c r="G58" s="271">
        <f t="shared" si="23"/>
        <v>6030.3027066186069</v>
      </c>
      <c r="H58" s="94"/>
      <c r="I58" s="271">
        <f>SUM(I36:I57)</f>
        <v>124.324443</v>
      </c>
      <c r="J58" s="271">
        <f t="shared" ref="J58:P58" si="38">SUM(J36:J57)</f>
        <v>0</v>
      </c>
      <c r="K58" s="271">
        <f t="shared" si="38"/>
        <v>15.064</v>
      </c>
      <c r="L58" s="271">
        <f t="shared" si="38"/>
        <v>0.36</v>
      </c>
      <c r="M58" s="271">
        <f t="shared" si="38"/>
        <v>100.87700000000001</v>
      </c>
      <c r="N58" s="271">
        <f t="shared" si="38"/>
        <v>131.316</v>
      </c>
      <c r="O58" s="271">
        <f t="shared" si="38"/>
        <v>122.598</v>
      </c>
      <c r="P58" s="374">
        <f t="shared" si="38"/>
        <v>6154.6271496186073</v>
      </c>
      <c r="Q58" s="92"/>
      <c r="R58" s="92"/>
      <c r="S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2"/>
      <c r="CZ58" s="92"/>
      <c r="DA58" s="92"/>
      <c r="DB58" s="92"/>
      <c r="DC58" s="92"/>
      <c r="DD58" s="92"/>
      <c r="DE58" s="92"/>
      <c r="DF58" s="92"/>
      <c r="DG58" s="92"/>
      <c r="DH58" s="92"/>
      <c r="DI58" s="92"/>
      <c r="DJ58" s="92"/>
      <c r="DK58" s="92"/>
      <c r="DL58" s="92"/>
      <c r="DM58" s="92"/>
      <c r="DN58" s="92"/>
      <c r="DO58" s="92"/>
      <c r="DP58" s="92"/>
      <c r="DQ58" s="92"/>
      <c r="DR58" s="92"/>
      <c r="DS58" s="92"/>
      <c r="DT58" s="92"/>
      <c r="DU58" s="92"/>
      <c r="DV58" s="92"/>
      <c r="DW58" s="92"/>
      <c r="DX58" s="92"/>
      <c r="DY58" s="92"/>
      <c r="DZ58" s="92"/>
      <c r="EA58" s="92"/>
      <c r="EB58" s="92"/>
      <c r="EC58" s="92"/>
      <c r="ED58" s="92"/>
      <c r="EE58" s="92"/>
      <c r="EF58" s="92"/>
      <c r="EG58" s="92"/>
      <c r="EH58" s="92"/>
      <c r="EI58" s="92"/>
      <c r="EJ58" s="92"/>
      <c r="EK58" s="92"/>
      <c r="EL58" s="92"/>
      <c r="EM58" s="92"/>
      <c r="EN58" s="92"/>
      <c r="EO58" s="92"/>
      <c r="EP58" s="92"/>
      <c r="EQ58" s="92"/>
      <c r="ER58" s="92"/>
      <c r="ES58" s="92"/>
      <c r="ET58" s="92"/>
      <c r="EU58" s="92"/>
      <c r="EV58" s="92"/>
      <c r="EW58" s="92"/>
      <c r="EX58" s="92"/>
      <c r="EY58" s="92"/>
      <c r="EZ58" s="92"/>
      <c r="FA58" s="92"/>
      <c r="FB58" s="92"/>
      <c r="FC58" s="92"/>
      <c r="FD58" s="92"/>
      <c r="FE58" s="92"/>
      <c r="FF58" s="92"/>
      <c r="FG58" s="92"/>
      <c r="FH58" s="92"/>
      <c r="FI58" s="92"/>
      <c r="FJ58" s="92"/>
      <c r="FK58" s="92"/>
      <c r="FL58" s="92"/>
      <c r="FM58" s="92"/>
      <c r="FN58" s="92"/>
      <c r="FO58" s="92"/>
      <c r="FP58" s="92"/>
      <c r="FQ58" s="92"/>
      <c r="FR58" s="92"/>
      <c r="FS58" s="92"/>
      <c r="FT58" s="92"/>
      <c r="FU58" s="92"/>
      <c r="FV58" s="92"/>
      <c r="FW58" s="92"/>
      <c r="FX58" s="92"/>
      <c r="FY58" s="92"/>
      <c r="FZ58" s="92"/>
      <c r="GA58" s="92"/>
      <c r="GB58" s="92"/>
      <c r="GC58" s="92"/>
      <c r="GD58" s="92"/>
      <c r="GE58" s="92"/>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2"/>
      <c r="HE58" s="92"/>
      <c r="HF58" s="92"/>
      <c r="HG58" s="92"/>
      <c r="HH58" s="92"/>
      <c r="HI58" s="92"/>
      <c r="HJ58" s="92"/>
      <c r="HK58" s="92"/>
      <c r="HL58" s="92"/>
      <c r="HM58" s="92"/>
      <c r="HN58" s="92"/>
      <c r="HO58" s="92"/>
      <c r="HP58" s="92"/>
      <c r="HQ58" s="92"/>
      <c r="HR58" s="92"/>
      <c r="HS58" s="92"/>
      <c r="HT58" s="92"/>
      <c r="HU58" s="92"/>
      <c r="HV58" s="92"/>
      <c r="HW58" s="92"/>
      <c r="HX58" s="92"/>
      <c r="HY58" s="92"/>
      <c r="HZ58" s="92"/>
      <c r="IA58" s="92"/>
      <c r="IB58" s="92"/>
      <c r="IC58" s="92"/>
      <c r="ID58" s="92"/>
      <c r="IE58" s="92"/>
      <c r="IF58" s="92"/>
      <c r="IG58" s="92"/>
      <c r="IH58" s="92"/>
      <c r="II58" s="92"/>
      <c r="IJ58" s="92"/>
      <c r="IK58" s="92"/>
      <c r="IL58" s="92"/>
      <c r="IM58" s="92"/>
      <c r="IN58" s="92"/>
      <c r="IO58" s="92"/>
      <c r="IP58" s="92"/>
      <c r="IQ58" s="92"/>
      <c r="IR58" s="92"/>
      <c r="IS58" s="92"/>
      <c r="IT58" s="92"/>
      <c r="IU58" s="92"/>
      <c r="IV58" s="92"/>
      <c r="IW58" s="92"/>
      <c r="IX58" s="92"/>
      <c r="IY58" s="92"/>
      <c r="IZ58" s="92"/>
      <c r="JA58" s="92"/>
      <c r="JB58" s="92"/>
      <c r="JC58" s="92"/>
      <c r="JD58" s="92"/>
      <c r="JE58" s="92"/>
      <c r="JF58" s="92"/>
      <c r="JG58" s="92"/>
      <c r="JH58" s="92"/>
      <c r="JI58" s="92"/>
      <c r="JJ58" s="92"/>
      <c r="JK58" s="92"/>
      <c r="JL58" s="92"/>
      <c r="JM58" s="92"/>
      <c r="JN58" s="92"/>
      <c r="JO58" s="92"/>
      <c r="JP58" s="92"/>
      <c r="JQ58" s="92"/>
      <c r="JR58" s="92"/>
      <c r="JS58" s="92"/>
      <c r="JT58" s="92"/>
      <c r="JU58" s="92"/>
      <c r="JV58" s="92"/>
      <c r="JW58" s="92"/>
      <c r="JX58" s="92"/>
      <c r="JY58" s="92"/>
      <c r="JZ58" s="92"/>
      <c r="KA58" s="92"/>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2"/>
      <c r="LA58" s="92"/>
      <c r="LB58" s="92"/>
      <c r="LC58" s="92"/>
      <c r="LD58" s="92"/>
      <c r="LE58" s="92"/>
      <c r="LF58" s="92"/>
      <c r="LG58" s="92"/>
      <c r="LH58" s="92"/>
      <c r="LI58" s="92"/>
      <c r="LJ58" s="92"/>
      <c r="LK58" s="92"/>
      <c r="LL58" s="92"/>
      <c r="LM58" s="92"/>
      <c r="LN58" s="92"/>
      <c r="LO58" s="92"/>
      <c r="LP58" s="92"/>
      <c r="LQ58" s="92"/>
      <c r="LR58" s="92"/>
      <c r="LS58" s="92"/>
      <c r="LT58" s="92"/>
      <c r="LU58" s="92"/>
      <c r="LV58" s="92"/>
      <c r="LW58" s="92"/>
      <c r="LX58" s="92"/>
      <c r="LY58" s="92"/>
      <c r="LZ58" s="92"/>
      <c r="MA58" s="92"/>
      <c r="MB58" s="92"/>
      <c r="MC58" s="92"/>
      <c r="MD58" s="92"/>
      <c r="ME58" s="92"/>
      <c r="MF58" s="92"/>
      <c r="MG58" s="92"/>
      <c r="MH58" s="92"/>
      <c r="MI58" s="92"/>
      <c r="MJ58" s="92"/>
      <c r="MK58" s="92"/>
      <c r="ML58" s="92"/>
      <c r="MM58" s="92"/>
      <c r="MN58" s="92"/>
      <c r="MO58" s="92"/>
      <c r="MP58" s="92"/>
      <c r="MQ58" s="92"/>
      <c r="MR58" s="92"/>
      <c r="MS58" s="92"/>
      <c r="MT58" s="92"/>
      <c r="MU58" s="92"/>
      <c r="MV58" s="92"/>
      <c r="MW58" s="92"/>
      <c r="MX58" s="92"/>
      <c r="MY58" s="92"/>
      <c r="MZ58" s="92"/>
      <c r="NA58" s="92"/>
      <c r="NB58" s="92"/>
      <c r="NC58" s="92"/>
      <c r="ND58" s="92"/>
      <c r="NE58" s="92"/>
      <c r="NF58" s="92"/>
      <c r="NG58" s="92"/>
      <c r="NH58" s="92"/>
      <c r="NI58" s="92"/>
      <c r="NJ58" s="92"/>
      <c r="NK58" s="92"/>
      <c r="NL58" s="92"/>
      <c r="NM58" s="92"/>
      <c r="NN58" s="92"/>
      <c r="NO58" s="92"/>
      <c r="NP58" s="92"/>
      <c r="NQ58" s="92"/>
      <c r="NR58" s="92"/>
      <c r="NS58" s="92"/>
      <c r="NT58" s="92"/>
      <c r="NU58" s="92"/>
      <c r="NV58" s="92"/>
      <c r="NW58" s="92"/>
      <c r="NX58" s="92"/>
      <c r="NY58" s="92"/>
      <c r="NZ58" s="92"/>
      <c r="OA58" s="92"/>
      <c r="OB58" s="92"/>
      <c r="OC58" s="92"/>
      <c r="OD58" s="92"/>
      <c r="OE58" s="92"/>
      <c r="OF58" s="92"/>
      <c r="OG58" s="92"/>
      <c r="OH58" s="92"/>
      <c r="OI58" s="92"/>
      <c r="OJ58" s="92"/>
      <c r="OK58" s="92"/>
      <c r="OL58" s="92"/>
      <c r="OM58" s="92"/>
      <c r="ON58" s="92"/>
      <c r="OO58" s="92"/>
      <c r="OP58" s="92"/>
      <c r="OQ58" s="92"/>
      <c r="OR58" s="92"/>
      <c r="OS58" s="92"/>
      <c r="OT58" s="92"/>
      <c r="OU58" s="92"/>
      <c r="OV58" s="92"/>
      <c r="OW58" s="92"/>
      <c r="OX58" s="92"/>
      <c r="OY58" s="92"/>
      <c r="OZ58" s="92"/>
      <c r="PA58" s="92"/>
      <c r="PB58" s="92"/>
      <c r="PC58" s="92"/>
      <c r="PD58" s="92"/>
      <c r="PE58" s="92"/>
      <c r="PF58" s="92"/>
      <c r="PG58" s="92"/>
      <c r="PH58" s="92"/>
      <c r="PI58" s="92"/>
      <c r="PJ58" s="92"/>
      <c r="PK58" s="92"/>
      <c r="PL58" s="92"/>
      <c r="PM58" s="92"/>
      <c r="PN58" s="92"/>
      <c r="PO58" s="92"/>
      <c r="PP58" s="92"/>
      <c r="PQ58" s="92"/>
      <c r="PR58" s="92"/>
      <c r="PS58" s="92"/>
      <c r="PT58" s="92"/>
      <c r="PU58" s="92"/>
      <c r="PV58" s="92"/>
      <c r="PW58" s="92"/>
      <c r="PX58" s="92"/>
      <c r="PY58" s="92"/>
      <c r="PZ58" s="92"/>
      <c r="QA58" s="92"/>
      <c r="QB58" s="92"/>
      <c r="QC58" s="92"/>
      <c r="QD58" s="92"/>
      <c r="QE58" s="92"/>
      <c r="QF58" s="92"/>
      <c r="QG58" s="92"/>
      <c r="QH58" s="92"/>
      <c r="QI58" s="92"/>
      <c r="QJ58" s="92"/>
      <c r="QK58" s="92"/>
      <c r="QL58" s="92"/>
      <c r="QM58" s="92"/>
      <c r="QN58" s="92"/>
      <c r="QO58" s="92"/>
    </row>
    <row r="59" spans="1:457" ht="26.25">
      <c r="B59" s="211"/>
      <c r="C59" s="101"/>
      <c r="D59" s="94"/>
      <c r="E59" s="94"/>
      <c r="F59" s="94"/>
      <c r="G59" s="214"/>
      <c r="H59" s="94"/>
      <c r="I59" s="94"/>
      <c r="J59" s="94"/>
      <c r="K59" s="94"/>
      <c r="L59" s="94"/>
      <c r="M59" s="94"/>
      <c r="N59" s="94"/>
      <c r="O59" s="95"/>
      <c r="P59" s="95"/>
      <c r="Q59" s="92"/>
      <c r="R59" s="92"/>
      <c r="S59" s="92"/>
      <c r="T59" s="182" t="s">
        <v>526</v>
      </c>
      <c r="U59" s="182" t="s">
        <v>527</v>
      </c>
      <c r="V59" s="182" t="s">
        <v>528</v>
      </c>
      <c r="W59" s="182" t="s">
        <v>532</v>
      </c>
      <c r="AE59" s="92"/>
      <c r="AF59" s="92"/>
      <c r="AG59" s="92"/>
      <c r="AH59" s="92"/>
      <c r="AI59" s="92"/>
      <c r="AJ59" s="92"/>
      <c r="AK59" s="92"/>
      <c r="AL59" s="92"/>
      <c r="AM59" s="92"/>
      <c r="AN59" s="92"/>
      <c r="AO59" s="92"/>
      <c r="AP59" s="92"/>
      <c r="AQ59" s="92"/>
      <c r="AR59" s="92"/>
      <c r="AS59" s="92"/>
      <c r="AT59" s="92"/>
      <c r="AU59" s="92"/>
      <c r="AV59" s="92"/>
      <c r="AW59" s="92"/>
      <c r="AX59" s="92"/>
      <c r="AY59" s="92"/>
      <c r="AZ59" s="92"/>
      <c r="BA59" s="92"/>
      <c r="BB59" s="92"/>
      <c r="BC59" s="92"/>
      <c r="BD59" s="92"/>
      <c r="BE59" s="92"/>
      <c r="BF59" s="92"/>
      <c r="BG59" s="92"/>
      <c r="BH59" s="92"/>
      <c r="BI59" s="92"/>
      <c r="BJ59" s="92"/>
      <c r="BK59" s="92"/>
      <c r="BL59" s="92"/>
      <c r="BM59" s="92"/>
      <c r="BN59" s="92"/>
      <c r="BO59" s="92"/>
      <c r="BP59" s="92"/>
      <c r="BQ59" s="92"/>
      <c r="BR59" s="92"/>
      <c r="BS59" s="92"/>
      <c r="BT59" s="92"/>
      <c r="BU59" s="92"/>
      <c r="BV59" s="92"/>
      <c r="BW59" s="92"/>
      <c r="BX59" s="92"/>
      <c r="BY59" s="92"/>
      <c r="BZ59" s="92"/>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2"/>
      <c r="CZ59" s="92"/>
      <c r="DA59" s="92"/>
      <c r="DB59" s="92"/>
      <c r="DC59" s="92"/>
      <c r="DD59" s="92"/>
      <c r="DE59" s="92"/>
      <c r="DF59" s="92"/>
      <c r="DG59" s="92"/>
      <c r="DH59" s="92"/>
      <c r="DI59" s="92"/>
      <c r="DJ59" s="92"/>
      <c r="DK59" s="92"/>
      <c r="DL59" s="92"/>
      <c r="DM59" s="92"/>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92"/>
      <c r="EL59" s="92"/>
      <c r="EM59" s="92"/>
      <c r="EN59" s="92"/>
      <c r="EO59" s="92"/>
      <c r="EP59" s="92"/>
      <c r="EQ59" s="92"/>
      <c r="ER59" s="92"/>
      <c r="ES59" s="92"/>
      <c r="ET59" s="92"/>
      <c r="EU59" s="92"/>
      <c r="EV59" s="92"/>
      <c r="EW59" s="92"/>
      <c r="EX59" s="92"/>
      <c r="EY59" s="92"/>
      <c r="EZ59" s="92"/>
      <c r="FA59" s="92"/>
      <c r="FB59" s="92"/>
      <c r="FC59" s="92"/>
      <c r="FD59" s="92"/>
      <c r="FE59" s="92"/>
      <c r="FF59" s="92"/>
      <c r="FG59" s="92"/>
      <c r="FH59" s="92"/>
      <c r="FI59" s="92"/>
      <c r="FJ59" s="92"/>
      <c r="FK59" s="92"/>
      <c r="FL59" s="92"/>
      <c r="FM59" s="92"/>
      <c r="FN59" s="92"/>
      <c r="FO59" s="92"/>
      <c r="FP59" s="92"/>
      <c r="FQ59" s="92"/>
      <c r="FR59" s="92"/>
      <c r="FS59" s="92"/>
      <c r="FT59" s="92"/>
      <c r="FU59" s="92"/>
      <c r="FV59" s="92"/>
      <c r="FW59" s="92"/>
      <c r="FX59" s="92"/>
      <c r="FY59" s="92"/>
      <c r="FZ59" s="92"/>
      <c r="GA59" s="92"/>
      <c r="GB59" s="92"/>
      <c r="GC59" s="92"/>
      <c r="GD59" s="92"/>
      <c r="GE59" s="92"/>
      <c r="GF59" s="92"/>
      <c r="GG59" s="92"/>
      <c r="GH59" s="92"/>
      <c r="GI59" s="92"/>
      <c r="GJ59" s="92"/>
      <c r="GK59" s="92"/>
      <c r="GL59" s="92"/>
      <c r="GM59" s="92"/>
      <c r="GN59" s="92"/>
      <c r="GO59" s="92"/>
      <c r="GP59" s="92"/>
      <c r="GQ59" s="92"/>
      <c r="GR59" s="92"/>
      <c r="GS59" s="92"/>
      <c r="GT59" s="92"/>
      <c r="GU59" s="92"/>
      <c r="GV59" s="92"/>
      <c r="GW59" s="92"/>
      <c r="GX59" s="92"/>
      <c r="GY59" s="92"/>
      <c r="GZ59" s="92"/>
      <c r="HA59" s="92"/>
      <c r="HB59" s="92"/>
      <c r="HC59" s="92"/>
      <c r="HD59" s="92"/>
      <c r="HE59" s="92"/>
      <c r="HF59" s="92"/>
      <c r="HG59" s="92"/>
      <c r="HH59" s="92"/>
      <c r="HI59" s="92"/>
      <c r="HJ59" s="92"/>
      <c r="HK59" s="92"/>
      <c r="HL59" s="92"/>
      <c r="HM59" s="92"/>
      <c r="HN59" s="92"/>
      <c r="HO59" s="92"/>
      <c r="HP59" s="92"/>
      <c r="HQ59" s="92"/>
      <c r="HR59" s="92"/>
      <c r="HS59" s="92"/>
      <c r="HT59" s="92"/>
      <c r="HU59" s="92"/>
      <c r="HV59" s="92"/>
      <c r="HW59" s="92"/>
      <c r="HX59" s="92"/>
      <c r="HY59" s="92"/>
      <c r="HZ59" s="92"/>
      <c r="IA59" s="92"/>
      <c r="IB59" s="92"/>
      <c r="IC59" s="92"/>
      <c r="ID59" s="92"/>
      <c r="IE59" s="92"/>
      <c r="IF59" s="92"/>
      <c r="IG59" s="92"/>
      <c r="IH59" s="92"/>
      <c r="II59" s="92"/>
      <c r="IJ59" s="92"/>
      <c r="IK59" s="92"/>
      <c r="IL59" s="92"/>
      <c r="IM59" s="92"/>
      <c r="IN59" s="92"/>
      <c r="IO59" s="92"/>
      <c r="IP59" s="92"/>
      <c r="IQ59" s="92"/>
      <c r="IR59" s="92"/>
      <c r="IS59" s="92"/>
      <c r="IT59" s="92"/>
      <c r="IU59" s="92"/>
      <c r="IV59" s="92"/>
      <c r="IW59" s="92"/>
      <c r="IX59" s="92"/>
      <c r="IY59" s="92"/>
      <c r="IZ59" s="92"/>
      <c r="JA59" s="92"/>
      <c r="JB59" s="92"/>
      <c r="JC59" s="92"/>
      <c r="JD59" s="92"/>
      <c r="JE59" s="92"/>
      <c r="JF59" s="92"/>
      <c r="JG59" s="92"/>
      <c r="JH59" s="92"/>
      <c r="JI59" s="92"/>
      <c r="JJ59" s="92"/>
      <c r="JK59" s="92"/>
      <c r="JL59" s="92"/>
      <c r="JM59" s="92"/>
      <c r="JN59" s="92"/>
      <c r="JO59" s="92"/>
      <c r="JP59" s="92"/>
      <c r="JQ59" s="92"/>
      <c r="JR59" s="92"/>
      <c r="JS59" s="92"/>
      <c r="JT59" s="92"/>
      <c r="JU59" s="92"/>
      <c r="JV59" s="92"/>
      <c r="JW59" s="92"/>
      <c r="JX59" s="92"/>
      <c r="JY59" s="92"/>
      <c r="JZ59" s="92"/>
      <c r="KA59" s="92"/>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2"/>
      <c r="LA59" s="92"/>
      <c r="LB59" s="92"/>
      <c r="LC59" s="92"/>
      <c r="LD59" s="92"/>
      <c r="LE59" s="92"/>
      <c r="LF59" s="92"/>
      <c r="LG59" s="92"/>
      <c r="LH59" s="92"/>
      <c r="LI59" s="92"/>
      <c r="LJ59" s="92"/>
      <c r="LK59" s="92"/>
      <c r="LL59" s="92"/>
      <c r="LM59" s="92"/>
      <c r="LN59" s="92"/>
      <c r="LO59" s="92"/>
      <c r="LP59" s="92"/>
      <c r="LQ59" s="92"/>
      <c r="LR59" s="92"/>
      <c r="LS59" s="92"/>
      <c r="LT59" s="92"/>
      <c r="LU59" s="92"/>
      <c r="LV59" s="92"/>
      <c r="LW59" s="92"/>
      <c r="LX59" s="92"/>
      <c r="LY59" s="92"/>
      <c r="LZ59" s="92"/>
      <c r="MA59" s="92"/>
      <c r="MB59" s="92"/>
      <c r="MC59" s="92"/>
      <c r="MD59" s="92"/>
      <c r="ME59" s="92"/>
      <c r="MF59" s="92"/>
      <c r="MG59" s="92"/>
      <c r="MH59" s="92"/>
      <c r="MI59" s="92"/>
      <c r="MJ59" s="92"/>
      <c r="MK59" s="92"/>
      <c r="ML59" s="92"/>
      <c r="MM59" s="92"/>
      <c r="MN59" s="92"/>
      <c r="MO59" s="92"/>
      <c r="MP59" s="92"/>
      <c r="MQ59" s="92"/>
      <c r="MR59" s="92"/>
      <c r="MS59" s="92"/>
      <c r="MT59" s="92"/>
      <c r="MU59" s="92"/>
      <c r="MV59" s="92"/>
      <c r="MW59" s="92"/>
      <c r="MX59" s="92"/>
      <c r="MY59" s="92"/>
      <c r="MZ59" s="92"/>
      <c r="NA59" s="92"/>
      <c r="NB59" s="92"/>
      <c r="NC59" s="92"/>
      <c r="ND59" s="92"/>
      <c r="NE59" s="92"/>
      <c r="NF59" s="92"/>
      <c r="NG59" s="92"/>
      <c r="NH59" s="92"/>
      <c r="NI59" s="92"/>
      <c r="NJ59" s="92"/>
      <c r="NK59" s="92"/>
      <c r="NL59" s="92"/>
      <c r="NM59" s="92"/>
      <c r="NN59" s="92"/>
      <c r="NO59" s="92"/>
      <c r="NP59" s="92"/>
      <c r="NQ59" s="92"/>
      <c r="NR59" s="92"/>
      <c r="NS59" s="92"/>
      <c r="NT59" s="92"/>
      <c r="NU59" s="92"/>
      <c r="NV59" s="92"/>
      <c r="NW59" s="92"/>
      <c r="NX59" s="92"/>
      <c r="NY59" s="92"/>
      <c r="NZ59" s="92"/>
      <c r="OA59" s="92"/>
      <c r="OB59" s="92"/>
      <c r="OC59" s="92"/>
      <c r="OD59" s="92"/>
      <c r="OE59" s="92"/>
      <c r="OF59" s="92"/>
      <c r="OG59" s="92"/>
      <c r="OH59" s="92"/>
      <c r="OI59" s="92"/>
      <c r="OJ59" s="92"/>
      <c r="OK59" s="92"/>
      <c r="OL59" s="92"/>
      <c r="OM59" s="92"/>
      <c r="ON59" s="92"/>
      <c r="OO59" s="92"/>
      <c r="OP59" s="92"/>
      <c r="OQ59" s="92"/>
      <c r="OR59" s="92"/>
      <c r="OS59" s="92"/>
      <c r="OT59" s="92"/>
      <c r="OU59" s="92"/>
      <c r="OV59" s="92"/>
      <c r="OW59" s="92"/>
      <c r="OX59" s="92"/>
      <c r="OY59" s="92"/>
      <c r="OZ59" s="92"/>
      <c r="PA59" s="92"/>
      <c r="PB59" s="92"/>
      <c r="PC59" s="92"/>
      <c r="PD59" s="92"/>
      <c r="PE59" s="92"/>
      <c r="PF59" s="92"/>
      <c r="PG59" s="92"/>
      <c r="PH59" s="92"/>
      <c r="PI59" s="92"/>
      <c r="PJ59" s="92"/>
      <c r="PK59" s="92"/>
      <c r="PL59" s="92"/>
      <c r="PM59" s="92"/>
      <c r="PN59" s="92"/>
      <c r="PO59" s="92"/>
      <c r="PP59" s="92"/>
      <c r="PQ59" s="92"/>
      <c r="PR59" s="92"/>
      <c r="PS59" s="92"/>
      <c r="PT59" s="92"/>
      <c r="PU59" s="92"/>
      <c r="PV59" s="92"/>
      <c r="PW59" s="92"/>
      <c r="PX59" s="92"/>
      <c r="PY59" s="92"/>
      <c r="PZ59" s="92"/>
      <c r="QA59" s="92"/>
      <c r="QB59" s="92"/>
      <c r="QC59" s="92"/>
      <c r="QD59" s="92"/>
      <c r="QE59" s="92"/>
      <c r="QF59" s="92"/>
      <c r="QG59" s="92"/>
      <c r="QH59" s="92"/>
      <c r="QI59" s="92"/>
      <c r="QJ59" s="92"/>
      <c r="QK59" s="92"/>
      <c r="QL59" s="92"/>
      <c r="QM59" s="92"/>
      <c r="QN59" s="92"/>
      <c r="QO59" s="92"/>
    </row>
    <row r="60" spans="1:457">
      <c r="A60" s="90"/>
      <c r="B60" s="90"/>
      <c r="C60" s="102" t="s">
        <v>240</v>
      </c>
      <c r="D60" s="95">
        <f>AA27/U$103</f>
        <v>1269.6992751605353</v>
      </c>
      <c r="E60" s="95">
        <f>AB27/V$103</f>
        <v>33.802999999999997</v>
      </c>
      <c r="F60" s="95">
        <f>AC27/W$103</f>
        <v>195.17500000000001</v>
      </c>
      <c r="G60" s="271">
        <f>SUM(D60:F60)</f>
        <v>1498.6772751605351</v>
      </c>
      <c r="H60" s="94"/>
      <c r="I60" s="94">
        <f>'AggrStep1-energy'!I72</f>
        <v>255.42239699999999</v>
      </c>
      <c r="J60" s="94"/>
      <c r="K60" s="94"/>
      <c r="L60" s="94"/>
      <c r="M60" s="94"/>
      <c r="N60" s="94"/>
      <c r="O60" s="95"/>
      <c r="P60" s="95">
        <f t="shared" si="20"/>
        <v>1754.0996721605352</v>
      </c>
      <c r="Q60" s="92"/>
      <c r="R60" s="92"/>
      <c r="S60" s="92"/>
      <c r="T60" s="183" t="s">
        <v>529</v>
      </c>
      <c r="U60" s="183">
        <v>2017</v>
      </c>
      <c r="V60" s="183" t="s">
        <v>530</v>
      </c>
      <c r="W60" s="184">
        <v>73.227099999999993</v>
      </c>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92"/>
      <c r="FC60" s="92"/>
      <c r="FD60" s="92"/>
      <c r="FE60" s="92"/>
      <c r="FF60" s="92"/>
      <c r="FG60" s="92"/>
      <c r="FH60" s="92"/>
      <c r="FI60" s="92"/>
      <c r="FJ60" s="92"/>
      <c r="FK60" s="92"/>
      <c r="FL60" s="92"/>
      <c r="FM60" s="92"/>
      <c r="FN60" s="92"/>
      <c r="FO60" s="92"/>
      <c r="FP60" s="92"/>
      <c r="FQ60" s="92"/>
      <c r="FR60" s="92"/>
      <c r="FS60" s="92"/>
      <c r="FT60" s="92"/>
      <c r="FU60" s="92"/>
      <c r="FV60" s="92"/>
      <c r="FW60" s="92"/>
      <c r="FX60" s="92"/>
      <c r="FY60" s="92"/>
      <c r="FZ60" s="92"/>
      <c r="GA60" s="92"/>
      <c r="GB60" s="92"/>
      <c r="GC60" s="92"/>
      <c r="GD60" s="92"/>
      <c r="GE60" s="92"/>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2"/>
      <c r="HE60" s="92"/>
      <c r="HF60" s="92"/>
      <c r="HG60" s="92"/>
      <c r="HH60" s="92"/>
      <c r="HI60" s="92"/>
      <c r="HJ60" s="92"/>
      <c r="HK60" s="92"/>
      <c r="HL60" s="92"/>
      <c r="HM60" s="92"/>
      <c r="HN60" s="92"/>
      <c r="HO60" s="92"/>
      <c r="HP60" s="92"/>
      <c r="HQ60" s="92"/>
      <c r="HR60" s="92"/>
      <c r="HS60" s="92"/>
      <c r="HT60" s="92"/>
      <c r="HU60" s="92"/>
      <c r="HV60" s="92"/>
      <c r="HW60" s="92"/>
      <c r="HX60" s="92"/>
      <c r="HY60" s="92"/>
      <c r="HZ60" s="92"/>
      <c r="IA60" s="92"/>
      <c r="IB60" s="92"/>
      <c r="IC60" s="92"/>
      <c r="ID60" s="92"/>
      <c r="IE60" s="92"/>
      <c r="IF60" s="92"/>
      <c r="IG60" s="92"/>
      <c r="IH60" s="92"/>
      <c r="II60" s="92"/>
      <c r="IJ60" s="92"/>
      <c r="IK60" s="92"/>
      <c r="IL60" s="92"/>
      <c r="IM60" s="92"/>
      <c r="IN60" s="92"/>
      <c r="IO60" s="92"/>
      <c r="IP60" s="92"/>
      <c r="IQ60" s="92"/>
      <c r="IR60" s="92"/>
      <c r="IS60" s="92"/>
      <c r="IT60" s="92"/>
      <c r="IU60" s="92"/>
      <c r="IV60" s="92"/>
      <c r="IW60" s="92"/>
      <c r="IX60" s="92"/>
      <c r="IY60" s="92"/>
      <c r="IZ60" s="92"/>
      <c r="JA60" s="92"/>
      <c r="JB60" s="92"/>
      <c r="JC60" s="92"/>
      <c r="JD60" s="92"/>
      <c r="JE60" s="92"/>
      <c r="JF60" s="92"/>
      <c r="JG60" s="92"/>
      <c r="JH60" s="92"/>
      <c r="JI60" s="92"/>
      <c r="JJ60" s="92"/>
      <c r="JK60" s="92"/>
      <c r="JL60" s="92"/>
      <c r="JM60" s="92"/>
      <c r="JN60" s="92"/>
      <c r="JO60" s="92"/>
      <c r="JP60" s="92"/>
      <c r="JQ60" s="92"/>
      <c r="JR60" s="92"/>
      <c r="JS60" s="92"/>
      <c r="JT60" s="92"/>
      <c r="JU60" s="92"/>
      <c r="JV60" s="92"/>
      <c r="JW60" s="92"/>
      <c r="JX60" s="92"/>
      <c r="JY60" s="92"/>
      <c r="JZ60" s="92"/>
      <c r="KA60" s="92"/>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2"/>
      <c r="LA60" s="92"/>
      <c r="LB60" s="92"/>
      <c r="LC60" s="92"/>
      <c r="LD60" s="92"/>
      <c r="LE60" s="92"/>
      <c r="LF60" s="92"/>
      <c r="LG60" s="92"/>
      <c r="LH60" s="92"/>
      <c r="LI60" s="92"/>
      <c r="LJ60" s="92"/>
      <c r="LK60" s="92"/>
      <c r="LL60" s="92"/>
      <c r="LM60" s="92"/>
      <c r="LN60" s="92"/>
      <c r="LO60" s="92"/>
      <c r="LP60" s="92"/>
      <c r="LQ60" s="92"/>
      <c r="LR60" s="92"/>
      <c r="LS60" s="92"/>
      <c r="LT60" s="92"/>
      <c r="LU60" s="92"/>
      <c r="LV60" s="92"/>
      <c r="LW60" s="92"/>
      <c r="LX60" s="92"/>
      <c r="LY60" s="92"/>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2"/>
      <c r="MY60" s="92"/>
      <c r="MZ60" s="92"/>
      <c r="NA60" s="92"/>
      <c r="NB60" s="92"/>
      <c r="NC60" s="92"/>
      <c r="ND60" s="92"/>
      <c r="NE60" s="92"/>
      <c r="NF60" s="92"/>
      <c r="NG60" s="92"/>
      <c r="NH60" s="92"/>
      <c r="NI60" s="92"/>
      <c r="NJ60" s="92"/>
      <c r="NK60" s="92"/>
      <c r="NL60" s="92"/>
      <c r="NM60" s="92"/>
      <c r="NN60" s="92"/>
      <c r="NO60" s="92"/>
      <c r="NP60" s="92"/>
      <c r="NQ60" s="92"/>
      <c r="NR60" s="92"/>
      <c r="NS60" s="92"/>
      <c r="NT60" s="92"/>
      <c r="NU60" s="92"/>
      <c r="NV60" s="92"/>
      <c r="NW60" s="92"/>
      <c r="NX60" s="92"/>
      <c r="NY60" s="92"/>
      <c r="NZ60" s="92"/>
      <c r="OA60" s="92"/>
      <c r="OB60" s="92"/>
      <c r="OC60" s="92"/>
      <c r="OD60" s="92"/>
      <c r="OE60" s="92"/>
      <c r="OF60" s="92"/>
      <c r="OG60" s="92"/>
      <c r="OH60" s="92"/>
      <c r="OI60" s="92"/>
      <c r="OJ60" s="92"/>
      <c r="OK60" s="92"/>
      <c r="OL60" s="92"/>
      <c r="OM60" s="92"/>
      <c r="ON60" s="92"/>
      <c r="OO60" s="92"/>
      <c r="OP60" s="92"/>
      <c r="OQ60" s="92"/>
      <c r="OR60" s="92"/>
      <c r="OS60" s="92"/>
      <c r="OT60" s="92"/>
      <c r="OU60" s="92"/>
      <c r="OV60" s="92"/>
      <c r="OW60" s="92"/>
      <c r="OX60" s="92"/>
      <c r="OY60" s="92"/>
      <c r="OZ60" s="92"/>
      <c r="PA60" s="92"/>
      <c r="PB60" s="92"/>
      <c r="PC60" s="92"/>
      <c r="PD60" s="92"/>
      <c r="PE60" s="92"/>
      <c r="PF60" s="92"/>
      <c r="PG60" s="92"/>
      <c r="PH60" s="92"/>
      <c r="PI60" s="92"/>
      <c r="PJ60" s="92"/>
      <c r="PK60" s="92"/>
      <c r="PL60" s="92"/>
      <c r="PM60" s="92"/>
      <c r="PN60" s="92"/>
      <c r="PO60" s="92"/>
      <c r="PP60" s="92"/>
      <c r="PQ60" s="92"/>
      <c r="PR60" s="92"/>
      <c r="PS60" s="92"/>
      <c r="PT60" s="92"/>
      <c r="PU60" s="92"/>
      <c r="PV60" s="92"/>
      <c r="PW60" s="92"/>
      <c r="PX60" s="92"/>
      <c r="PY60" s="92"/>
      <c r="PZ60" s="92"/>
      <c r="QA60" s="92"/>
      <c r="QB60" s="92"/>
      <c r="QC60" s="92"/>
      <c r="QD60" s="92"/>
      <c r="QE60" s="92"/>
      <c r="QF60" s="92"/>
      <c r="QG60" s="92"/>
      <c r="QH60" s="92"/>
      <c r="QI60" s="92"/>
      <c r="QJ60" s="92"/>
      <c r="QK60" s="92"/>
      <c r="QL60" s="92"/>
      <c r="QM60" s="92"/>
      <c r="QN60" s="92"/>
      <c r="QO60" s="92"/>
    </row>
    <row r="61" spans="1:457">
      <c r="C61" s="273"/>
      <c r="D61" s="94"/>
      <c r="E61" s="94"/>
      <c r="F61" s="94"/>
      <c r="G61" s="271"/>
      <c r="H61" s="94"/>
      <c r="I61" s="94"/>
      <c r="J61" s="94"/>
      <c r="K61" s="94"/>
      <c r="L61" s="94"/>
      <c r="M61" s="94"/>
      <c r="N61" s="94"/>
      <c r="O61" s="95"/>
      <c r="P61" s="95"/>
      <c r="Q61" s="92"/>
      <c r="R61" s="92"/>
      <c r="S61" s="92"/>
      <c r="T61" s="183" t="s">
        <v>534</v>
      </c>
      <c r="U61" s="183">
        <v>2017</v>
      </c>
      <c r="V61" s="183" t="s">
        <v>531</v>
      </c>
      <c r="W61" s="184">
        <v>481.25633586548514</v>
      </c>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2"/>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2"/>
      <c r="CZ61" s="92"/>
      <c r="DA61" s="92"/>
      <c r="DB61" s="92"/>
      <c r="DC61" s="92"/>
      <c r="DD61" s="92"/>
      <c r="DE61" s="92"/>
      <c r="DF61" s="92"/>
      <c r="DG61" s="92"/>
      <c r="DH61" s="92"/>
      <c r="DI61" s="92"/>
      <c r="DJ61" s="92"/>
      <c r="DK61" s="92"/>
      <c r="DL61" s="92"/>
      <c r="DM61" s="92"/>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92"/>
      <c r="EL61" s="92"/>
      <c r="EM61" s="92"/>
      <c r="EN61" s="92"/>
      <c r="EO61" s="92"/>
      <c r="EP61" s="92"/>
      <c r="EQ61" s="92"/>
      <c r="ER61" s="92"/>
      <c r="ES61" s="92"/>
      <c r="ET61" s="92"/>
      <c r="EU61" s="92"/>
      <c r="EV61" s="92"/>
      <c r="EW61" s="92"/>
      <c r="EX61" s="92"/>
      <c r="EY61" s="92"/>
      <c r="EZ61" s="92"/>
      <c r="FA61" s="92"/>
      <c r="FB61" s="92"/>
      <c r="FC61" s="92"/>
      <c r="FD61" s="92"/>
      <c r="FE61" s="92"/>
      <c r="FF61" s="92"/>
      <c r="FG61" s="92"/>
      <c r="FH61" s="92"/>
      <c r="FI61" s="92"/>
      <c r="FJ61" s="92"/>
      <c r="FK61" s="92"/>
      <c r="FL61" s="92"/>
      <c r="FM61" s="92"/>
      <c r="FN61" s="92"/>
      <c r="FO61" s="92"/>
      <c r="FP61" s="92"/>
      <c r="FQ61" s="92"/>
      <c r="FR61" s="92"/>
      <c r="FS61" s="92"/>
      <c r="FT61" s="92"/>
      <c r="FU61" s="92"/>
      <c r="FV61" s="92"/>
      <c r="FW61" s="92"/>
      <c r="FX61" s="92"/>
      <c r="FY61" s="92"/>
      <c r="FZ61" s="92"/>
      <c r="GA61" s="92"/>
      <c r="GB61" s="92"/>
      <c r="GC61" s="92"/>
      <c r="GD61" s="92"/>
      <c r="GE61" s="92"/>
      <c r="GF61" s="92"/>
      <c r="GG61" s="92"/>
      <c r="GH61" s="92"/>
      <c r="GI61" s="92"/>
      <c r="GJ61" s="92"/>
      <c r="GK61" s="92"/>
      <c r="GL61" s="92"/>
      <c r="GM61" s="92"/>
      <c r="GN61" s="92"/>
      <c r="GO61" s="92"/>
      <c r="GP61" s="92"/>
      <c r="GQ61" s="92"/>
      <c r="GR61" s="92"/>
      <c r="GS61" s="92"/>
      <c r="GT61" s="92"/>
      <c r="GU61" s="92"/>
      <c r="GV61" s="92"/>
      <c r="GW61" s="92"/>
      <c r="GX61" s="92"/>
      <c r="GY61" s="92"/>
      <c r="GZ61" s="92"/>
      <c r="HA61" s="92"/>
      <c r="HB61" s="92"/>
      <c r="HC61" s="92"/>
      <c r="HD61" s="92"/>
      <c r="HE61" s="92"/>
      <c r="HF61" s="92"/>
      <c r="HG61" s="92"/>
      <c r="HH61" s="92"/>
      <c r="HI61" s="92"/>
      <c r="HJ61" s="92"/>
      <c r="HK61" s="92"/>
      <c r="HL61" s="92"/>
      <c r="HM61" s="92"/>
      <c r="HN61" s="92"/>
      <c r="HO61" s="92"/>
      <c r="HP61" s="92"/>
      <c r="HQ61" s="92"/>
      <c r="HR61" s="92"/>
      <c r="HS61" s="92"/>
      <c r="HT61" s="92"/>
      <c r="HU61" s="92"/>
      <c r="HV61" s="92"/>
      <c r="HW61" s="92"/>
      <c r="HX61" s="92"/>
      <c r="HY61" s="92"/>
      <c r="HZ61" s="92"/>
      <c r="IA61" s="92"/>
      <c r="IB61" s="92"/>
      <c r="IC61" s="92"/>
      <c r="ID61" s="92"/>
      <c r="IE61" s="92"/>
      <c r="IF61" s="92"/>
      <c r="IG61" s="92"/>
      <c r="IH61" s="92"/>
      <c r="II61" s="92"/>
      <c r="IJ61" s="92"/>
      <c r="IK61" s="92"/>
      <c r="IL61" s="92"/>
      <c r="IM61" s="92"/>
      <c r="IN61" s="92"/>
      <c r="IO61" s="92"/>
      <c r="IP61" s="92"/>
      <c r="IQ61" s="92"/>
      <c r="IR61" s="92"/>
      <c r="IS61" s="92"/>
      <c r="IT61" s="92"/>
      <c r="IU61" s="92"/>
      <c r="IV61" s="92"/>
      <c r="IW61" s="92"/>
      <c r="IX61" s="92"/>
      <c r="IY61" s="92"/>
      <c r="IZ61" s="92"/>
      <c r="JA61" s="92"/>
      <c r="JB61" s="92"/>
      <c r="JC61" s="92"/>
      <c r="JD61" s="92"/>
      <c r="JE61" s="92"/>
      <c r="JF61" s="92"/>
      <c r="JG61" s="92"/>
      <c r="JH61" s="92"/>
      <c r="JI61" s="92"/>
      <c r="JJ61" s="92"/>
      <c r="JK61" s="92"/>
      <c r="JL61" s="92"/>
      <c r="JM61" s="92"/>
      <c r="JN61" s="92"/>
      <c r="JO61" s="92"/>
      <c r="JP61" s="92"/>
      <c r="JQ61" s="92"/>
      <c r="JR61" s="92"/>
      <c r="JS61" s="92"/>
      <c r="JT61" s="92"/>
      <c r="JU61" s="92"/>
      <c r="JV61" s="92"/>
      <c r="JW61" s="92"/>
      <c r="JX61" s="92"/>
      <c r="JY61" s="92"/>
      <c r="JZ61" s="92"/>
      <c r="KA61" s="92"/>
      <c r="KB61" s="92"/>
      <c r="KC61" s="92"/>
      <c r="KD61" s="92"/>
      <c r="KE61" s="92"/>
      <c r="KF61" s="92"/>
      <c r="KG61" s="92"/>
      <c r="KH61" s="92"/>
      <c r="KI61" s="92"/>
      <c r="KJ61" s="92"/>
      <c r="KK61" s="92"/>
      <c r="KL61" s="92"/>
      <c r="KM61" s="92"/>
      <c r="KN61" s="92"/>
      <c r="KO61" s="92"/>
      <c r="KP61" s="92"/>
      <c r="KQ61" s="92"/>
      <c r="KR61" s="92"/>
      <c r="KS61" s="92"/>
      <c r="KT61" s="92"/>
      <c r="KU61" s="92"/>
      <c r="KV61" s="92"/>
      <c r="KW61" s="92"/>
      <c r="KX61" s="92"/>
      <c r="KY61" s="92"/>
      <c r="KZ61" s="92"/>
      <c r="LA61" s="92"/>
      <c r="LB61" s="92"/>
      <c r="LC61" s="92"/>
      <c r="LD61" s="92"/>
      <c r="LE61" s="92"/>
      <c r="LF61" s="92"/>
      <c r="LG61" s="92"/>
      <c r="LH61" s="92"/>
      <c r="LI61" s="92"/>
      <c r="LJ61" s="92"/>
      <c r="LK61" s="92"/>
      <c r="LL61" s="92"/>
      <c r="LM61" s="92"/>
      <c r="LN61" s="92"/>
      <c r="LO61" s="92"/>
      <c r="LP61" s="92"/>
      <c r="LQ61" s="92"/>
      <c r="LR61" s="92"/>
      <c r="LS61" s="92"/>
      <c r="LT61" s="92"/>
      <c r="LU61" s="92"/>
      <c r="LV61" s="92"/>
      <c r="LW61" s="92"/>
      <c r="LX61" s="92"/>
      <c r="LY61" s="92"/>
      <c r="LZ61" s="92"/>
      <c r="MA61" s="92"/>
      <c r="MB61" s="92"/>
      <c r="MC61" s="92"/>
      <c r="MD61" s="92"/>
      <c r="ME61" s="92"/>
      <c r="MF61" s="92"/>
      <c r="MG61" s="92"/>
      <c r="MH61" s="92"/>
      <c r="MI61" s="92"/>
      <c r="MJ61" s="92"/>
      <c r="MK61" s="92"/>
      <c r="ML61" s="92"/>
      <c r="MM61" s="92"/>
      <c r="MN61" s="92"/>
      <c r="MO61" s="92"/>
      <c r="MP61" s="92"/>
      <c r="MQ61" s="92"/>
      <c r="MR61" s="92"/>
      <c r="MS61" s="92"/>
      <c r="MT61" s="92"/>
      <c r="MU61" s="92"/>
      <c r="MV61" s="92"/>
      <c r="MW61" s="92"/>
      <c r="MX61" s="92"/>
      <c r="MY61" s="92"/>
      <c r="MZ61" s="92"/>
      <c r="NA61" s="92"/>
      <c r="NB61" s="92"/>
      <c r="NC61" s="92"/>
      <c r="ND61" s="92"/>
      <c r="NE61" s="92"/>
      <c r="NF61" s="92"/>
      <c r="NG61" s="92"/>
      <c r="NH61" s="92"/>
      <c r="NI61" s="92"/>
      <c r="NJ61" s="92"/>
      <c r="NK61" s="92"/>
      <c r="NL61" s="92"/>
      <c r="NM61" s="92"/>
      <c r="NN61" s="92"/>
      <c r="NO61" s="92"/>
      <c r="NP61" s="92"/>
      <c r="NQ61" s="92"/>
      <c r="NR61" s="92"/>
      <c r="NS61" s="92"/>
      <c r="NT61" s="92"/>
      <c r="NU61" s="92"/>
      <c r="NV61" s="92"/>
      <c r="NW61" s="92"/>
      <c r="NX61" s="92"/>
      <c r="NY61" s="92"/>
      <c r="NZ61" s="92"/>
      <c r="OA61" s="92"/>
      <c r="OB61" s="92"/>
      <c r="OC61" s="92"/>
      <c r="OD61" s="92"/>
      <c r="OE61" s="92"/>
      <c r="OF61" s="92"/>
      <c r="OG61" s="92"/>
      <c r="OH61" s="92"/>
      <c r="OI61" s="92"/>
      <c r="OJ61" s="92"/>
      <c r="OK61" s="92"/>
      <c r="OL61" s="92"/>
      <c r="OM61" s="92"/>
      <c r="ON61" s="92"/>
      <c r="OO61" s="92"/>
      <c r="OP61" s="92"/>
      <c r="OQ61" s="92"/>
      <c r="OR61" s="92"/>
      <c r="OS61" s="92"/>
      <c r="OT61" s="92"/>
      <c r="OU61" s="92"/>
      <c r="OV61" s="92"/>
      <c r="OW61" s="92"/>
      <c r="OX61" s="92"/>
      <c r="OY61" s="92"/>
      <c r="OZ61" s="92"/>
      <c r="PA61" s="92"/>
      <c r="PB61" s="92"/>
      <c r="PC61" s="92"/>
      <c r="PD61" s="92"/>
      <c r="PE61" s="92"/>
      <c r="PF61" s="92"/>
      <c r="PG61" s="92"/>
      <c r="PH61" s="92"/>
      <c r="PI61" s="92"/>
      <c r="PJ61" s="92"/>
      <c r="PK61" s="92"/>
      <c r="PL61" s="92"/>
      <c r="PM61" s="92"/>
      <c r="PN61" s="92"/>
      <c r="PO61" s="92"/>
      <c r="PP61" s="92"/>
      <c r="PQ61" s="92"/>
      <c r="PR61" s="92"/>
      <c r="PS61" s="92"/>
      <c r="PT61" s="92"/>
      <c r="PU61" s="92"/>
      <c r="PV61" s="92"/>
      <c r="PW61" s="92"/>
      <c r="PX61" s="92"/>
      <c r="PY61" s="92"/>
      <c r="PZ61" s="92"/>
      <c r="QA61" s="92"/>
      <c r="QB61" s="92"/>
      <c r="QC61" s="92"/>
      <c r="QD61" s="92"/>
      <c r="QE61" s="92"/>
      <c r="QF61" s="92"/>
      <c r="QG61" s="92"/>
      <c r="QH61" s="92"/>
      <c r="QI61" s="92"/>
      <c r="QJ61" s="92"/>
      <c r="QK61" s="92"/>
      <c r="QL61" s="92"/>
      <c r="QM61" s="92"/>
      <c r="QN61" s="92"/>
      <c r="QO61" s="92"/>
    </row>
    <row r="62" spans="1:457">
      <c r="C62" s="273"/>
      <c r="D62" s="94"/>
      <c r="E62" s="94"/>
      <c r="F62" s="94"/>
      <c r="G62" s="271"/>
      <c r="H62" s="94"/>
      <c r="M62" s="94"/>
      <c r="N62" s="94"/>
      <c r="O62" s="95"/>
      <c r="P62" s="95"/>
      <c r="Q62" s="92"/>
      <c r="R62" s="92"/>
      <c r="S62" s="92"/>
      <c r="T62" s="183" t="s">
        <v>533</v>
      </c>
      <c r="U62" s="183">
        <v>2017</v>
      </c>
      <c r="V62" s="183" t="s">
        <v>531</v>
      </c>
      <c r="W62" s="184">
        <v>535.15942793952775</v>
      </c>
      <c r="AE62" s="92"/>
      <c r="AF62" s="92"/>
      <c r="AG62" s="92"/>
      <c r="AH62" s="92"/>
      <c r="AI62" s="92"/>
      <c r="AJ62" s="92"/>
      <c r="AK62" s="92"/>
      <c r="AL62" s="92"/>
      <c r="AM62" s="92"/>
      <c r="AN62" s="92"/>
      <c r="AO62" s="92"/>
      <c r="AP62" s="92"/>
      <c r="AQ62" s="92"/>
      <c r="AR62" s="92"/>
      <c r="AS62" s="92"/>
      <c r="AT62" s="92"/>
      <c r="AU62" s="92"/>
      <c r="AV62" s="92"/>
      <c r="AW62" s="92"/>
      <c r="AX62" s="92"/>
      <c r="AY62" s="92"/>
      <c r="AZ62" s="92"/>
      <c r="BA62" s="92"/>
      <c r="BB62" s="92"/>
      <c r="BC62" s="92"/>
      <c r="BD62" s="92"/>
      <c r="BE62" s="92"/>
      <c r="BF62" s="92"/>
      <c r="BG62" s="92"/>
      <c r="BH62" s="92"/>
      <c r="BI62" s="92"/>
      <c r="BJ62" s="92"/>
      <c r="BK62" s="92"/>
      <c r="BL62" s="92"/>
      <c r="BM62" s="92"/>
      <c r="BN62" s="92"/>
      <c r="BO62" s="92"/>
      <c r="BP62" s="92"/>
      <c r="BQ62" s="92"/>
      <c r="BR62" s="92"/>
      <c r="BS62" s="92"/>
      <c r="BT62" s="92"/>
      <c r="BU62" s="92"/>
      <c r="BV62" s="92"/>
      <c r="BW62" s="92"/>
      <c r="BX62" s="92"/>
      <c r="BY62" s="92"/>
      <c r="BZ62" s="92"/>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2"/>
      <c r="CZ62" s="92"/>
      <c r="DA62" s="92"/>
      <c r="DB62" s="92"/>
      <c r="DC62" s="92"/>
      <c r="DD62" s="92"/>
      <c r="DE62" s="92"/>
      <c r="DF62" s="92"/>
      <c r="DG62" s="92"/>
      <c r="DH62" s="92"/>
      <c r="DI62" s="92"/>
      <c r="DJ62" s="92"/>
      <c r="DK62" s="92"/>
      <c r="DL62" s="92"/>
      <c r="DM62" s="92"/>
      <c r="DN62" s="92"/>
      <c r="DO62" s="92"/>
      <c r="DP62" s="92"/>
      <c r="DQ62" s="92"/>
      <c r="DR62" s="92"/>
      <c r="DS62" s="92"/>
      <c r="DT62" s="92"/>
      <c r="DU62" s="92"/>
      <c r="DV62" s="92"/>
      <c r="DW62" s="92"/>
      <c r="DX62" s="92"/>
      <c r="DY62" s="92"/>
      <c r="DZ62" s="92"/>
      <c r="EA62" s="92"/>
      <c r="EB62" s="92"/>
      <c r="EC62" s="92"/>
      <c r="ED62" s="92"/>
      <c r="EE62" s="92"/>
      <c r="EF62" s="92"/>
      <c r="EG62" s="92"/>
      <c r="EH62" s="92"/>
      <c r="EI62" s="92"/>
      <c r="EJ62" s="92"/>
      <c r="EK62" s="92"/>
      <c r="EL62" s="92"/>
      <c r="EM62" s="92"/>
      <c r="EN62" s="92"/>
      <c r="EO62" s="92"/>
      <c r="EP62" s="92"/>
      <c r="EQ62" s="92"/>
      <c r="ER62" s="92"/>
      <c r="ES62" s="92"/>
      <c r="ET62" s="92"/>
      <c r="EU62" s="92"/>
      <c r="EV62" s="92"/>
      <c r="EW62" s="92"/>
      <c r="EX62" s="92"/>
      <c r="EY62" s="92"/>
      <c r="EZ62" s="92"/>
      <c r="FA62" s="92"/>
      <c r="FB62" s="92"/>
      <c r="FC62" s="92"/>
      <c r="FD62" s="92"/>
      <c r="FE62" s="92"/>
      <c r="FF62" s="92"/>
      <c r="FG62" s="92"/>
      <c r="FH62" s="92"/>
      <c r="FI62" s="92"/>
      <c r="FJ62" s="92"/>
      <c r="FK62" s="92"/>
      <c r="FL62" s="92"/>
      <c r="FM62" s="92"/>
      <c r="FN62" s="92"/>
      <c r="FO62" s="92"/>
      <c r="FP62" s="92"/>
      <c r="FQ62" s="92"/>
      <c r="FR62" s="92"/>
      <c r="FS62" s="92"/>
      <c r="FT62" s="92"/>
      <c r="FU62" s="92"/>
      <c r="FV62" s="92"/>
      <c r="FW62" s="92"/>
      <c r="FX62" s="92"/>
      <c r="FY62" s="92"/>
      <c r="FZ62" s="92"/>
      <c r="GA62" s="92"/>
      <c r="GB62" s="92"/>
      <c r="GC62" s="92"/>
      <c r="GD62" s="92"/>
      <c r="GE62" s="92"/>
      <c r="GF62" s="92"/>
      <c r="GG62" s="92"/>
      <c r="GH62" s="92"/>
      <c r="GI62" s="92"/>
      <c r="GJ62" s="92"/>
      <c r="GK62" s="92"/>
      <c r="GL62" s="92"/>
      <c r="GM62" s="92"/>
      <c r="GN62" s="92"/>
      <c r="GO62" s="92"/>
      <c r="GP62" s="92"/>
      <c r="GQ62" s="92"/>
      <c r="GR62" s="92"/>
      <c r="GS62" s="92"/>
      <c r="GT62" s="92"/>
      <c r="GU62" s="92"/>
      <c r="GV62" s="92"/>
      <c r="GW62" s="92"/>
      <c r="GX62" s="92"/>
      <c r="GY62" s="92"/>
      <c r="GZ62" s="92"/>
      <c r="HA62" s="92"/>
      <c r="HB62" s="92"/>
      <c r="HC62" s="92"/>
      <c r="HD62" s="92"/>
      <c r="HE62" s="92"/>
      <c r="HF62" s="92"/>
      <c r="HG62" s="92"/>
      <c r="HH62" s="92"/>
      <c r="HI62" s="92"/>
      <c r="HJ62" s="92"/>
      <c r="HK62" s="92"/>
      <c r="HL62" s="92"/>
      <c r="HM62" s="92"/>
      <c r="HN62" s="92"/>
      <c r="HO62" s="92"/>
      <c r="HP62" s="92"/>
      <c r="HQ62" s="92"/>
      <c r="HR62" s="92"/>
      <c r="HS62" s="92"/>
      <c r="HT62" s="92"/>
      <c r="HU62" s="92"/>
      <c r="HV62" s="92"/>
      <c r="HW62" s="92"/>
      <c r="HX62" s="92"/>
      <c r="HY62" s="92"/>
      <c r="HZ62" s="92"/>
      <c r="IA62" s="92"/>
      <c r="IB62" s="92"/>
      <c r="IC62" s="92"/>
      <c r="ID62" s="92"/>
      <c r="IE62" s="92"/>
      <c r="IF62" s="92"/>
      <c r="IG62" s="92"/>
      <c r="IH62" s="92"/>
      <c r="II62" s="92"/>
      <c r="IJ62" s="92"/>
      <c r="IK62" s="92"/>
      <c r="IL62" s="92"/>
      <c r="IM62" s="92"/>
      <c r="IN62" s="92"/>
      <c r="IO62" s="92"/>
      <c r="IP62" s="92"/>
      <c r="IQ62" s="92"/>
      <c r="IR62" s="92"/>
      <c r="IS62" s="92"/>
      <c r="IT62" s="92"/>
      <c r="IU62" s="92"/>
      <c r="IV62" s="92"/>
      <c r="IW62" s="92"/>
      <c r="IX62" s="92"/>
      <c r="IY62" s="92"/>
      <c r="IZ62" s="92"/>
      <c r="JA62" s="92"/>
      <c r="JB62" s="92"/>
      <c r="JC62" s="92"/>
      <c r="JD62" s="92"/>
      <c r="JE62" s="92"/>
      <c r="JF62" s="92"/>
      <c r="JG62" s="92"/>
      <c r="JH62" s="92"/>
      <c r="JI62" s="92"/>
      <c r="JJ62" s="92"/>
      <c r="JK62" s="92"/>
      <c r="JL62" s="92"/>
      <c r="JM62" s="92"/>
      <c r="JN62" s="92"/>
      <c r="JO62" s="92"/>
      <c r="JP62" s="92"/>
      <c r="JQ62" s="92"/>
      <c r="JR62" s="92"/>
      <c r="JS62" s="92"/>
      <c r="JT62" s="92"/>
      <c r="JU62" s="92"/>
      <c r="JV62" s="92"/>
      <c r="JW62" s="92"/>
      <c r="JX62" s="92"/>
      <c r="JY62" s="92"/>
      <c r="JZ62" s="92"/>
      <c r="KA62" s="92"/>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2"/>
      <c r="LA62" s="92"/>
      <c r="LB62" s="92"/>
      <c r="LC62" s="92"/>
      <c r="LD62" s="92"/>
      <c r="LE62" s="92"/>
      <c r="LF62" s="92"/>
      <c r="LG62" s="92"/>
      <c r="LH62" s="92"/>
      <c r="LI62" s="92"/>
      <c r="LJ62" s="92"/>
      <c r="LK62" s="92"/>
      <c r="LL62" s="92"/>
      <c r="LM62" s="92"/>
      <c r="LN62" s="92"/>
      <c r="LO62" s="92"/>
      <c r="LP62" s="92"/>
      <c r="LQ62" s="92"/>
      <c r="LR62" s="92"/>
      <c r="LS62" s="92"/>
      <c r="LT62" s="92"/>
      <c r="LU62" s="92"/>
      <c r="LV62" s="92"/>
      <c r="LW62" s="92"/>
      <c r="LX62" s="92"/>
      <c r="LY62" s="92"/>
      <c r="LZ62" s="92"/>
      <c r="MA62" s="92"/>
      <c r="MB62" s="92"/>
      <c r="MC62" s="92"/>
      <c r="MD62" s="92"/>
      <c r="ME62" s="92"/>
      <c r="MF62" s="92"/>
      <c r="MG62" s="92"/>
      <c r="MH62" s="92"/>
      <c r="MI62" s="92"/>
      <c r="MJ62" s="92"/>
      <c r="MK62" s="92"/>
      <c r="ML62" s="92"/>
      <c r="MM62" s="92"/>
      <c r="MN62" s="92"/>
      <c r="MO62" s="92"/>
      <c r="MP62" s="92"/>
      <c r="MQ62" s="92"/>
      <c r="MR62" s="92"/>
      <c r="MS62" s="92"/>
      <c r="MT62" s="92"/>
      <c r="MU62" s="92"/>
      <c r="MV62" s="92"/>
      <c r="MW62" s="92"/>
      <c r="MX62" s="92"/>
      <c r="MY62" s="92"/>
      <c r="MZ62" s="92"/>
      <c r="NA62" s="92"/>
      <c r="NB62" s="92"/>
      <c r="NC62" s="92"/>
      <c r="ND62" s="92"/>
      <c r="NE62" s="92"/>
      <c r="NF62" s="92"/>
      <c r="NG62" s="92"/>
      <c r="NH62" s="92"/>
      <c r="NI62" s="92"/>
      <c r="NJ62" s="92"/>
      <c r="NK62" s="92"/>
      <c r="NL62" s="92"/>
      <c r="NM62" s="92"/>
      <c r="NN62" s="92"/>
      <c r="NO62" s="92"/>
      <c r="NP62" s="92"/>
      <c r="NQ62" s="92"/>
      <c r="NR62" s="92"/>
      <c r="NS62" s="92"/>
      <c r="NT62" s="92"/>
      <c r="NU62" s="92"/>
      <c r="NV62" s="92"/>
      <c r="NW62" s="92"/>
      <c r="NX62" s="92"/>
      <c r="NY62" s="92"/>
      <c r="NZ62" s="92"/>
      <c r="OA62" s="92"/>
      <c r="OB62" s="92"/>
      <c r="OC62" s="92"/>
      <c r="OD62" s="92"/>
      <c r="OE62" s="92"/>
      <c r="OF62" s="92"/>
      <c r="OG62" s="92"/>
      <c r="OH62" s="92"/>
      <c r="OI62" s="92"/>
      <c r="OJ62" s="92"/>
      <c r="OK62" s="92"/>
      <c r="OL62" s="92"/>
      <c r="OM62" s="92"/>
      <c r="ON62" s="92"/>
      <c r="OO62" s="92"/>
      <c r="OP62" s="92"/>
      <c r="OQ62" s="92"/>
      <c r="OR62" s="92"/>
      <c r="OS62" s="92"/>
      <c r="OT62" s="92"/>
      <c r="OU62" s="92"/>
      <c r="OV62" s="92"/>
      <c r="OW62" s="92"/>
      <c r="OX62" s="92"/>
      <c r="OY62" s="92"/>
      <c r="OZ62" s="92"/>
      <c r="PA62" s="92"/>
      <c r="PB62" s="92"/>
      <c r="PC62" s="92"/>
      <c r="PD62" s="92"/>
      <c r="PE62" s="92"/>
      <c r="PF62" s="92"/>
      <c r="PG62" s="92"/>
      <c r="PH62" s="92"/>
      <c r="PI62" s="92"/>
      <c r="PJ62" s="92"/>
      <c r="PK62" s="92"/>
      <c r="PL62" s="92"/>
      <c r="PM62" s="92"/>
      <c r="PN62" s="92"/>
      <c r="PO62" s="92"/>
      <c r="PP62" s="92"/>
      <c r="PQ62" s="92"/>
      <c r="PR62" s="92"/>
      <c r="PS62" s="92"/>
      <c r="PT62" s="92"/>
      <c r="PU62" s="92"/>
      <c r="PV62" s="92"/>
      <c r="PW62" s="92"/>
      <c r="PX62" s="92"/>
      <c r="PY62" s="92"/>
      <c r="PZ62" s="92"/>
      <c r="QA62" s="92"/>
      <c r="QB62" s="92"/>
      <c r="QC62" s="92"/>
      <c r="QD62" s="92"/>
      <c r="QE62" s="92"/>
      <c r="QF62" s="92"/>
      <c r="QG62" s="92"/>
      <c r="QH62" s="92"/>
      <c r="QI62" s="92"/>
      <c r="QJ62" s="92"/>
      <c r="QK62" s="92"/>
      <c r="QL62" s="92"/>
      <c r="QM62" s="92"/>
      <c r="QN62" s="92"/>
      <c r="QO62" s="92"/>
    </row>
    <row r="63" spans="1:457">
      <c r="C63" s="101"/>
      <c r="D63" s="94"/>
      <c r="E63" s="94"/>
      <c r="F63" s="94"/>
      <c r="G63" s="94"/>
      <c r="H63" s="94"/>
      <c r="I63" s="94"/>
      <c r="J63" s="94"/>
      <c r="K63" s="94"/>
      <c r="L63" s="94"/>
      <c r="M63" s="94"/>
      <c r="N63" s="94"/>
      <c r="O63" s="95"/>
      <c r="P63" s="95"/>
      <c r="Q63" s="92"/>
      <c r="R63" s="92"/>
      <c r="S63" s="92"/>
      <c r="T63" s="183" t="s">
        <v>3</v>
      </c>
      <c r="U63" s="183">
        <v>2017</v>
      </c>
      <c r="V63" s="183" t="s">
        <v>531</v>
      </c>
      <c r="W63" s="184">
        <v>463.84352633049798</v>
      </c>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92"/>
      <c r="FC63" s="92"/>
      <c r="FD63" s="92"/>
      <c r="FE63" s="92"/>
      <c r="FF63" s="92"/>
      <c r="FG63" s="92"/>
      <c r="FH63" s="92"/>
      <c r="FI63" s="92"/>
      <c r="FJ63" s="92"/>
      <c r="FK63" s="92"/>
      <c r="FL63" s="92"/>
      <c r="FM63" s="92"/>
      <c r="FN63" s="92"/>
      <c r="FO63" s="92"/>
      <c r="FP63" s="92"/>
      <c r="FQ63" s="92"/>
      <c r="FR63" s="92"/>
      <c r="FS63" s="92"/>
      <c r="FT63" s="92"/>
      <c r="FU63" s="92"/>
      <c r="FV63" s="92"/>
      <c r="FW63" s="92"/>
      <c r="FX63" s="92"/>
      <c r="FY63" s="92"/>
      <c r="FZ63" s="92"/>
      <c r="GA63" s="92"/>
      <c r="GB63" s="92"/>
      <c r="GC63" s="92"/>
      <c r="GD63" s="92"/>
      <c r="GE63" s="92"/>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2"/>
      <c r="HE63" s="92"/>
      <c r="HF63" s="92"/>
      <c r="HG63" s="92"/>
      <c r="HH63" s="92"/>
      <c r="HI63" s="92"/>
      <c r="HJ63" s="92"/>
      <c r="HK63" s="92"/>
      <c r="HL63" s="92"/>
      <c r="HM63" s="92"/>
      <c r="HN63" s="92"/>
      <c r="HO63" s="92"/>
      <c r="HP63" s="92"/>
      <c r="HQ63" s="92"/>
      <c r="HR63" s="92"/>
      <c r="HS63" s="92"/>
      <c r="HT63" s="92"/>
      <c r="HU63" s="92"/>
      <c r="HV63" s="92"/>
      <c r="HW63" s="92"/>
      <c r="HX63" s="92"/>
      <c r="HY63" s="92"/>
      <c r="HZ63" s="92"/>
      <c r="IA63" s="92"/>
      <c r="IB63" s="92"/>
      <c r="IC63" s="92"/>
      <c r="ID63" s="92"/>
      <c r="IE63" s="92"/>
      <c r="IF63" s="92"/>
      <c r="IG63" s="92"/>
      <c r="IH63" s="92"/>
      <c r="II63" s="92"/>
      <c r="IJ63" s="92"/>
      <c r="IK63" s="92"/>
      <c r="IL63" s="92"/>
      <c r="IM63" s="92"/>
      <c r="IN63" s="92"/>
      <c r="IO63" s="92"/>
      <c r="IP63" s="92"/>
      <c r="IQ63" s="92"/>
      <c r="IR63" s="92"/>
      <c r="IS63" s="92"/>
      <c r="IT63" s="92"/>
      <c r="IU63" s="92"/>
      <c r="IV63" s="92"/>
      <c r="IW63" s="92"/>
      <c r="IX63" s="92"/>
      <c r="IY63" s="92"/>
      <c r="IZ63" s="92"/>
      <c r="JA63" s="92"/>
      <c r="JB63" s="92"/>
      <c r="JC63" s="92"/>
      <c r="JD63" s="92"/>
      <c r="JE63" s="92"/>
      <c r="JF63" s="92"/>
      <c r="JG63" s="92"/>
      <c r="JH63" s="92"/>
      <c r="JI63" s="92"/>
      <c r="JJ63" s="92"/>
      <c r="JK63" s="92"/>
      <c r="JL63" s="92"/>
      <c r="JM63" s="92"/>
      <c r="JN63" s="92"/>
      <c r="JO63" s="92"/>
      <c r="JP63" s="92"/>
      <c r="JQ63" s="92"/>
      <c r="JR63" s="92"/>
      <c r="JS63" s="92"/>
      <c r="JT63" s="92"/>
      <c r="JU63" s="92"/>
      <c r="JV63" s="92"/>
      <c r="JW63" s="92"/>
      <c r="JX63" s="92"/>
      <c r="JY63" s="92"/>
      <c r="JZ63" s="92"/>
      <c r="KA63" s="92"/>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2"/>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2"/>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2"/>
      <c r="MY63" s="92"/>
      <c r="MZ63" s="92"/>
      <c r="NA63" s="92"/>
      <c r="NB63" s="92"/>
      <c r="NC63" s="92"/>
      <c r="ND63" s="92"/>
      <c r="NE63" s="92"/>
      <c r="NF63" s="92"/>
      <c r="NG63" s="92"/>
      <c r="NH63" s="92"/>
      <c r="NI63" s="92"/>
      <c r="NJ63" s="92"/>
      <c r="NK63" s="92"/>
      <c r="NL63" s="92"/>
      <c r="NM63" s="92"/>
      <c r="NN63" s="92"/>
      <c r="NO63" s="92"/>
      <c r="NP63" s="92"/>
      <c r="NQ63" s="92"/>
      <c r="NR63" s="92"/>
      <c r="NS63" s="92"/>
      <c r="NT63" s="92"/>
      <c r="NU63" s="92"/>
      <c r="NV63" s="92"/>
      <c r="NW63" s="92"/>
      <c r="NX63" s="92"/>
      <c r="NY63" s="92"/>
      <c r="NZ63" s="92"/>
      <c r="OA63" s="92"/>
      <c r="OB63" s="92"/>
      <c r="OC63" s="92"/>
      <c r="OD63" s="92"/>
      <c r="OE63" s="92"/>
      <c r="OF63" s="92"/>
      <c r="OG63" s="92"/>
      <c r="OH63" s="92"/>
      <c r="OI63" s="92"/>
      <c r="OJ63" s="92"/>
      <c r="OK63" s="92"/>
      <c r="OL63" s="92"/>
      <c r="OM63" s="92"/>
      <c r="ON63" s="92"/>
      <c r="OO63" s="92"/>
      <c r="OP63" s="92"/>
      <c r="OQ63" s="92"/>
      <c r="OR63" s="92"/>
      <c r="OS63" s="92"/>
      <c r="OT63" s="92"/>
      <c r="OU63" s="92"/>
      <c r="OV63" s="92"/>
      <c r="OW63" s="92"/>
      <c r="OX63" s="92"/>
      <c r="OY63" s="92"/>
      <c r="OZ63" s="92"/>
      <c r="PA63" s="92"/>
      <c r="PB63" s="92"/>
      <c r="PC63" s="92"/>
      <c r="PD63" s="92"/>
      <c r="PE63" s="92"/>
      <c r="PF63" s="92"/>
      <c r="PG63" s="92"/>
      <c r="PH63" s="92"/>
      <c r="PI63" s="92"/>
      <c r="PJ63" s="92"/>
      <c r="PK63" s="92"/>
      <c r="PL63" s="92"/>
      <c r="PM63" s="92"/>
      <c r="PN63" s="92"/>
      <c r="PO63" s="92"/>
      <c r="PP63" s="92"/>
      <c r="PQ63" s="92"/>
      <c r="PR63" s="92"/>
      <c r="PS63" s="92"/>
      <c r="PT63" s="92"/>
      <c r="PU63" s="92"/>
      <c r="PV63" s="92"/>
      <c r="PW63" s="92"/>
      <c r="PX63" s="92"/>
      <c r="PY63" s="92"/>
      <c r="PZ63" s="92"/>
      <c r="QA63" s="92"/>
      <c r="QB63" s="92"/>
      <c r="QC63" s="92"/>
      <c r="QD63" s="92"/>
      <c r="QE63" s="92"/>
      <c r="QF63" s="92"/>
      <c r="QG63" s="92"/>
      <c r="QH63" s="92"/>
      <c r="QI63" s="92"/>
      <c r="QJ63" s="92"/>
      <c r="QK63" s="92"/>
      <c r="QL63" s="92"/>
      <c r="QM63" s="92"/>
      <c r="QN63" s="92"/>
      <c r="QO63" s="92"/>
    </row>
    <row r="64" spans="1:457">
      <c r="C64" s="102" t="s">
        <v>546</v>
      </c>
      <c r="D64" s="95">
        <f>D58+D60</f>
        <v>4051.5992572417294</v>
      </c>
      <c r="E64" s="95">
        <f t="shared" ref="E64:G64" si="39">E58+E60</f>
        <v>2553.8955186293924</v>
      </c>
      <c r="F64" s="95">
        <f t="shared" si="39"/>
        <v>923.48520590802036</v>
      </c>
      <c r="G64" s="95">
        <f t="shared" si="39"/>
        <v>7528.9799817791418</v>
      </c>
      <c r="H64" s="94"/>
      <c r="I64" s="95">
        <f>I58+I61+I60</f>
        <v>379.74684000000002</v>
      </c>
      <c r="J64" s="95">
        <f>J58+J61+J60</f>
        <v>0</v>
      </c>
      <c r="K64" s="95">
        <f>K58+K61+K60</f>
        <v>15.064</v>
      </c>
      <c r="L64" s="95">
        <f>L58+L61+L60</f>
        <v>0.36</v>
      </c>
      <c r="M64" s="95">
        <f t="shared" ref="M64:O64" si="40">M58+M61+M62</f>
        <v>100.87700000000001</v>
      </c>
      <c r="N64" s="95">
        <f t="shared" si="40"/>
        <v>131.316</v>
      </c>
      <c r="O64" s="95">
        <f t="shared" si="40"/>
        <v>122.598</v>
      </c>
      <c r="P64" s="95">
        <f>P58+P61+P62</f>
        <v>6154.6271496186073</v>
      </c>
      <c r="Q64" s="95"/>
      <c r="R64" s="92"/>
      <c r="S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c r="BZ64" s="92"/>
      <c r="CA64" s="92"/>
      <c r="CB64" s="92"/>
      <c r="CC64" s="92"/>
      <c r="CD64" s="92"/>
      <c r="CE64" s="92"/>
      <c r="CF64" s="92"/>
      <c r="CG64" s="92"/>
      <c r="CH64" s="92"/>
      <c r="CI64" s="92"/>
      <c r="CJ64" s="92"/>
      <c r="CK64" s="92"/>
      <c r="CL64" s="92"/>
      <c r="CM64" s="92"/>
      <c r="CN64" s="92"/>
      <c r="CO64" s="92"/>
      <c r="CP64" s="92"/>
      <c r="CQ64" s="92"/>
      <c r="CR64" s="92"/>
      <c r="CS64" s="92"/>
      <c r="CT64" s="92"/>
      <c r="CU64" s="92"/>
      <c r="CV64" s="92"/>
      <c r="CW64" s="92"/>
      <c r="CX64" s="92"/>
      <c r="CY64" s="92"/>
      <c r="CZ64" s="92"/>
      <c r="DA64" s="92"/>
      <c r="DB64" s="92"/>
      <c r="DC64" s="92"/>
      <c r="DD64" s="92"/>
      <c r="DE64" s="92"/>
      <c r="DF64" s="92"/>
      <c r="DG64" s="92"/>
      <c r="DH64" s="92"/>
      <c r="DI64" s="92"/>
      <c r="DJ64" s="92"/>
      <c r="DK64" s="92"/>
      <c r="DL64" s="92"/>
      <c r="DM64" s="92"/>
      <c r="DN64" s="92"/>
      <c r="DO64" s="92"/>
      <c r="DP64" s="92"/>
      <c r="DQ64" s="92"/>
      <c r="DR64" s="92"/>
      <c r="DS64" s="92"/>
      <c r="DT64" s="92"/>
      <c r="DU64" s="92"/>
      <c r="DV64" s="92"/>
      <c r="DW64" s="92"/>
      <c r="DX64" s="92"/>
      <c r="DY64" s="92"/>
      <c r="DZ64" s="92"/>
      <c r="EA64" s="92"/>
      <c r="EB64" s="92"/>
      <c r="EC64" s="92"/>
      <c r="ED64" s="92"/>
      <c r="EE64" s="92"/>
      <c r="EF64" s="92"/>
      <c r="EG64" s="92"/>
      <c r="EH64" s="92"/>
      <c r="EI64" s="92"/>
      <c r="EJ64" s="92"/>
      <c r="EK64" s="92"/>
      <c r="EL64" s="92"/>
      <c r="EM64" s="92"/>
      <c r="EN64" s="92"/>
      <c r="EO64" s="92"/>
      <c r="EP64" s="92"/>
      <c r="EQ64" s="92"/>
      <c r="ER64" s="92"/>
      <c r="ES64" s="92"/>
      <c r="ET64" s="92"/>
      <c r="EU64" s="92"/>
      <c r="EV64" s="92"/>
      <c r="EW64" s="92"/>
      <c r="EX64" s="92"/>
      <c r="EY64" s="92"/>
      <c r="EZ64" s="92"/>
      <c r="FA64" s="92"/>
      <c r="FB64" s="92"/>
      <c r="FC64" s="92"/>
      <c r="FD64" s="92"/>
      <c r="FE64" s="92"/>
      <c r="FF64" s="92"/>
      <c r="FG64" s="92"/>
      <c r="FH64" s="92"/>
      <c r="FI64" s="92"/>
      <c r="FJ64" s="92"/>
      <c r="FK64" s="92"/>
      <c r="FL64" s="92"/>
      <c r="FM64" s="92"/>
      <c r="FN64" s="92"/>
      <c r="FO64" s="92"/>
      <c r="FP64" s="92"/>
      <c r="FQ64" s="92"/>
      <c r="FR64" s="92"/>
      <c r="FS64" s="92"/>
      <c r="FT64" s="92"/>
      <c r="FU64" s="92"/>
      <c r="FV64" s="92"/>
      <c r="FW64" s="92"/>
      <c r="FX64" s="92"/>
      <c r="FY64" s="92"/>
      <c r="FZ64" s="92"/>
      <c r="GA64" s="92"/>
      <c r="GB64" s="92"/>
      <c r="GC64" s="92"/>
      <c r="GD64" s="92"/>
      <c r="GE64" s="92"/>
      <c r="GF64" s="92"/>
      <c r="GG64" s="92"/>
      <c r="GH64" s="92"/>
      <c r="GI64" s="92"/>
      <c r="GJ64" s="92"/>
      <c r="GK64" s="92"/>
      <c r="GL64" s="92"/>
      <c r="GM64" s="92"/>
      <c r="GN64" s="92"/>
      <c r="GO64" s="92"/>
      <c r="GP64" s="92"/>
      <c r="GQ64" s="92"/>
      <c r="GR64" s="92"/>
      <c r="GS64" s="92"/>
      <c r="GT64" s="92"/>
      <c r="GU64" s="92"/>
      <c r="GV64" s="92"/>
      <c r="GW64" s="92"/>
      <c r="GX64" s="92"/>
      <c r="GY64" s="92"/>
      <c r="GZ64" s="92"/>
      <c r="HA64" s="92"/>
      <c r="HB64" s="92"/>
      <c r="HC64" s="92"/>
      <c r="HD64" s="92"/>
      <c r="HE64" s="92"/>
      <c r="HF64" s="92"/>
      <c r="HG64" s="92"/>
      <c r="HH64" s="92"/>
      <c r="HI64" s="92"/>
      <c r="HJ64" s="92"/>
      <c r="HK64" s="92"/>
      <c r="HL64" s="92"/>
      <c r="HM64" s="92"/>
      <c r="HN64" s="92"/>
      <c r="HO64" s="92"/>
      <c r="HP64" s="92"/>
      <c r="HQ64" s="92"/>
      <c r="HR64" s="92"/>
      <c r="HS64" s="92"/>
      <c r="HT64" s="92"/>
      <c r="HU64" s="92"/>
      <c r="HV64" s="92"/>
      <c r="HW64" s="92"/>
      <c r="HX64" s="92"/>
      <c r="HY64" s="92"/>
      <c r="HZ64" s="92"/>
      <c r="IA64" s="92"/>
      <c r="IB64" s="92"/>
      <c r="IC64" s="92"/>
      <c r="ID64" s="92"/>
      <c r="IE64" s="92"/>
      <c r="IF64" s="92"/>
      <c r="IG64" s="92"/>
      <c r="IH64" s="92"/>
      <c r="II64" s="92"/>
      <c r="IJ64" s="92"/>
      <c r="IK64" s="92"/>
      <c r="IL64" s="92"/>
      <c r="IM64" s="92"/>
      <c r="IN64" s="92"/>
      <c r="IO64" s="92"/>
      <c r="IP64" s="92"/>
      <c r="IQ64" s="92"/>
      <c r="IR64" s="92"/>
      <c r="IS64" s="92"/>
      <c r="IT64" s="92"/>
      <c r="IU64" s="92"/>
      <c r="IV64" s="92"/>
      <c r="IW64" s="92"/>
      <c r="IX64" s="92"/>
      <c r="IY64" s="92"/>
      <c r="IZ64" s="92"/>
      <c r="JA64" s="92"/>
      <c r="JB64" s="92"/>
      <c r="JC64" s="92"/>
      <c r="JD64" s="92"/>
      <c r="JE64" s="92"/>
      <c r="JF64" s="92"/>
      <c r="JG64" s="92"/>
      <c r="JH64" s="92"/>
      <c r="JI64" s="92"/>
      <c r="JJ64" s="92"/>
      <c r="JK64" s="92"/>
      <c r="JL64" s="92"/>
      <c r="JM64" s="92"/>
      <c r="JN64" s="92"/>
      <c r="JO64" s="92"/>
      <c r="JP64" s="92"/>
      <c r="JQ64" s="92"/>
      <c r="JR64" s="92"/>
      <c r="JS64" s="92"/>
      <c r="JT64" s="92"/>
      <c r="JU64" s="92"/>
      <c r="JV64" s="92"/>
      <c r="JW64" s="92"/>
      <c r="JX64" s="92"/>
      <c r="JY64" s="92"/>
      <c r="JZ64" s="92"/>
      <c r="KA64" s="92"/>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2"/>
      <c r="LA64" s="92"/>
      <c r="LB64" s="92"/>
      <c r="LC64" s="92"/>
      <c r="LD64" s="92"/>
      <c r="LE64" s="92"/>
      <c r="LF64" s="92"/>
      <c r="LG64" s="92"/>
      <c r="LH64" s="92"/>
      <c r="LI64" s="92"/>
      <c r="LJ64" s="92"/>
      <c r="LK64" s="92"/>
      <c r="LL64" s="92"/>
      <c r="LM64" s="92"/>
      <c r="LN64" s="92"/>
      <c r="LO64" s="92"/>
      <c r="LP64" s="92"/>
      <c r="LQ64" s="92"/>
      <c r="LR64" s="92"/>
      <c r="LS64" s="92"/>
      <c r="LT64" s="92"/>
      <c r="LU64" s="92"/>
      <c r="LV64" s="92"/>
      <c r="LW64" s="92"/>
      <c r="LX64" s="92"/>
      <c r="LY64" s="92"/>
      <c r="LZ64" s="92"/>
      <c r="MA64" s="92"/>
      <c r="MB64" s="92"/>
      <c r="MC64" s="92"/>
      <c r="MD64" s="92"/>
      <c r="ME64" s="92"/>
      <c r="MF64" s="92"/>
      <c r="MG64" s="92"/>
      <c r="MH64" s="92"/>
      <c r="MI64" s="92"/>
      <c r="MJ64" s="92"/>
      <c r="MK64" s="92"/>
      <c r="ML64" s="92"/>
      <c r="MM64" s="92"/>
      <c r="MN64" s="92"/>
      <c r="MO64" s="92"/>
      <c r="MP64" s="92"/>
      <c r="MQ64" s="92"/>
      <c r="MR64" s="92"/>
      <c r="MS64" s="92"/>
      <c r="MT64" s="92"/>
      <c r="MU64" s="92"/>
      <c r="MV64" s="92"/>
      <c r="MW64" s="92"/>
      <c r="MX64" s="92"/>
      <c r="MY64" s="92"/>
      <c r="MZ64" s="92"/>
      <c r="NA64" s="92"/>
      <c r="NB64" s="92"/>
      <c r="NC64" s="92"/>
      <c r="ND64" s="92"/>
      <c r="NE64" s="92"/>
      <c r="NF64" s="92"/>
      <c r="NG64" s="92"/>
      <c r="NH64" s="92"/>
      <c r="NI64" s="92"/>
      <c r="NJ64" s="92"/>
      <c r="NK64" s="92"/>
      <c r="NL64" s="92"/>
      <c r="NM64" s="92"/>
      <c r="NN64" s="92"/>
      <c r="NO64" s="92"/>
      <c r="NP64" s="92"/>
      <c r="NQ64" s="92"/>
      <c r="NR64" s="92"/>
      <c r="NS64" s="92"/>
      <c r="NT64" s="92"/>
      <c r="NU64" s="92"/>
      <c r="NV64" s="92"/>
      <c r="NW64" s="92"/>
      <c r="NX64" s="92"/>
      <c r="NY64" s="92"/>
      <c r="NZ64" s="92"/>
      <c r="OA64" s="92"/>
      <c r="OB64" s="92"/>
      <c r="OC64" s="92"/>
      <c r="OD64" s="92"/>
      <c r="OE64" s="92"/>
      <c r="OF64" s="92"/>
      <c r="OG64" s="92"/>
      <c r="OH64" s="92"/>
      <c r="OI64" s="92"/>
      <c r="OJ64" s="92"/>
      <c r="OK64" s="92"/>
      <c r="OL64" s="92"/>
      <c r="OM64" s="92"/>
      <c r="ON64" s="92"/>
      <c r="OO64" s="92"/>
      <c r="OP64" s="92"/>
      <c r="OQ64" s="92"/>
      <c r="OR64" s="92"/>
      <c r="OS64" s="92"/>
      <c r="OT64" s="92"/>
      <c r="OU64" s="92"/>
      <c r="OV64" s="92"/>
      <c r="OW64" s="92"/>
      <c r="OX64" s="92"/>
      <c r="OY64" s="92"/>
      <c r="OZ64" s="92"/>
      <c r="PA64" s="92"/>
      <c r="PB64" s="92"/>
      <c r="PC64" s="92"/>
      <c r="PD64" s="92"/>
      <c r="PE64" s="92"/>
      <c r="PF64" s="92"/>
      <c r="PG64" s="92"/>
      <c r="PH64" s="92"/>
      <c r="PI64" s="92"/>
      <c r="PJ64" s="92"/>
      <c r="PK64" s="92"/>
      <c r="PL64" s="92"/>
      <c r="PM64" s="92"/>
      <c r="PN64" s="92"/>
      <c r="PO64" s="92"/>
      <c r="PP64" s="92"/>
      <c r="PQ64" s="92"/>
      <c r="PR64" s="92"/>
      <c r="PS64" s="92"/>
      <c r="PT64" s="92"/>
      <c r="PU64" s="92"/>
      <c r="PV64" s="92"/>
      <c r="PW64" s="92"/>
      <c r="PX64" s="92"/>
      <c r="PY64" s="92"/>
      <c r="PZ64" s="92"/>
      <c r="QA64" s="92"/>
      <c r="QB64" s="92"/>
      <c r="QC64" s="92"/>
      <c r="QD64" s="92"/>
      <c r="QE64" s="92"/>
      <c r="QF64" s="92"/>
      <c r="QG64" s="92"/>
      <c r="QH64" s="92"/>
      <c r="QI64" s="92"/>
      <c r="QJ64" s="92"/>
      <c r="QK64" s="92"/>
      <c r="QL64" s="92"/>
      <c r="QM64" s="92"/>
      <c r="QN64" s="92"/>
      <c r="QO64" s="92"/>
    </row>
    <row r="65" spans="2:457" ht="15.75">
      <c r="C65" s="101"/>
      <c r="D65" s="94"/>
      <c r="E65" s="94"/>
      <c r="F65" s="94"/>
      <c r="G65" s="94"/>
      <c r="H65" s="94"/>
      <c r="I65" s="94"/>
      <c r="J65" s="94"/>
      <c r="K65" s="94"/>
      <c r="L65" s="94"/>
      <c r="M65" s="94"/>
      <c r="N65" s="94"/>
      <c r="O65" s="95"/>
      <c r="P65" s="101"/>
      <c r="Q65" s="92"/>
      <c r="R65" s="92"/>
      <c r="S65" s="92"/>
      <c r="T65" s="181" t="s">
        <v>535</v>
      </c>
      <c r="U65" s="181"/>
      <c r="V65" s="181"/>
      <c r="W65" s="181"/>
      <c r="X65" s="181"/>
      <c r="Y65" s="181"/>
      <c r="Z65" s="181"/>
      <c r="AE65" s="92"/>
      <c r="AF65" s="92"/>
      <c r="AG65" s="92"/>
      <c r="AH65" s="92"/>
      <c r="AI65" s="92"/>
      <c r="AJ65" s="92"/>
      <c r="AK65" s="92"/>
      <c r="AL65" s="92"/>
      <c r="AM65" s="92"/>
      <c r="AN65" s="92"/>
      <c r="AO65" s="92"/>
      <c r="AP65" s="92"/>
      <c r="AQ65" s="92"/>
      <c r="AR65" s="92"/>
      <c r="AS65" s="92"/>
      <c r="AT65" s="92"/>
      <c r="AU65" s="92"/>
      <c r="AV65" s="92"/>
      <c r="AW65" s="92"/>
      <c r="AX65" s="92"/>
      <c r="AY65" s="92"/>
      <c r="AZ65" s="92"/>
      <c r="BA65" s="92"/>
      <c r="BB65" s="92"/>
      <c r="BC65" s="92"/>
      <c r="BD65" s="92"/>
      <c r="BE65" s="92"/>
      <c r="BF65" s="92"/>
      <c r="BG65" s="92"/>
      <c r="BH65" s="92"/>
      <c r="BI65" s="92"/>
      <c r="BJ65" s="92"/>
      <c r="BK65" s="92"/>
      <c r="BL65" s="92"/>
      <c r="BM65" s="92"/>
      <c r="BN65" s="92"/>
      <c r="BO65" s="92"/>
      <c r="BP65" s="92"/>
      <c r="BQ65" s="92"/>
      <c r="BR65" s="92"/>
      <c r="BS65" s="92"/>
      <c r="BT65" s="92"/>
      <c r="BU65" s="92"/>
      <c r="BV65" s="92"/>
      <c r="BW65" s="92"/>
      <c r="BX65" s="92"/>
      <c r="BY65" s="92"/>
      <c r="BZ65" s="92"/>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2"/>
      <c r="CZ65" s="92"/>
      <c r="DA65" s="92"/>
      <c r="DB65" s="92"/>
      <c r="DC65" s="92"/>
      <c r="DD65" s="92"/>
      <c r="DE65" s="92"/>
      <c r="DF65" s="92"/>
      <c r="DG65" s="92"/>
      <c r="DH65" s="92"/>
      <c r="DI65" s="92"/>
      <c r="DJ65" s="92"/>
      <c r="DK65" s="92"/>
      <c r="DL65" s="92"/>
      <c r="DM65" s="92"/>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92"/>
      <c r="EL65" s="92"/>
      <c r="EM65" s="92"/>
      <c r="EN65" s="92"/>
      <c r="EO65" s="92"/>
      <c r="EP65" s="92"/>
      <c r="EQ65" s="92"/>
      <c r="ER65" s="92"/>
      <c r="ES65" s="92"/>
      <c r="ET65" s="92"/>
      <c r="EU65" s="92"/>
      <c r="EV65" s="92"/>
      <c r="EW65" s="92"/>
      <c r="EX65" s="92"/>
      <c r="EY65" s="92"/>
      <c r="EZ65" s="92"/>
      <c r="FA65" s="92"/>
      <c r="FB65" s="92"/>
      <c r="FC65" s="92"/>
      <c r="FD65" s="92"/>
      <c r="FE65" s="92"/>
      <c r="FF65" s="92"/>
      <c r="FG65" s="92"/>
      <c r="FH65" s="92"/>
      <c r="FI65" s="92"/>
      <c r="FJ65" s="92"/>
      <c r="FK65" s="92"/>
      <c r="FL65" s="92"/>
      <c r="FM65" s="92"/>
      <c r="FN65" s="92"/>
      <c r="FO65" s="92"/>
      <c r="FP65" s="92"/>
      <c r="FQ65" s="92"/>
      <c r="FR65" s="92"/>
      <c r="FS65" s="92"/>
      <c r="FT65" s="92"/>
      <c r="FU65" s="92"/>
      <c r="FV65" s="92"/>
      <c r="FW65" s="92"/>
      <c r="FX65" s="92"/>
      <c r="FY65" s="92"/>
      <c r="FZ65" s="92"/>
      <c r="GA65" s="92"/>
      <c r="GB65" s="92"/>
      <c r="GC65" s="92"/>
      <c r="GD65" s="92"/>
      <c r="GE65" s="92"/>
      <c r="GF65" s="92"/>
      <c r="GG65" s="92"/>
      <c r="GH65" s="92"/>
      <c r="GI65" s="92"/>
      <c r="GJ65" s="92"/>
      <c r="GK65" s="92"/>
      <c r="GL65" s="92"/>
      <c r="GM65" s="92"/>
      <c r="GN65" s="92"/>
      <c r="GO65" s="92"/>
      <c r="GP65" s="92"/>
      <c r="GQ65" s="92"/>
      <c r="GR65" s="92"/>
      <c r="GS65" s="92"/>
      <c r="GT65" s="92"/>
      <c r="GU65" s="92"/>
      <c r="GV65" s="92"/>
      <c r="GW65" s="92"/>
      <c r="GX65" s="92"/>
      <c r="GY65" s="92"/>
      <c r="GZ65" s="92"/>
      <c r="HA65" s="92"/>
      <c r="HB65" s="92"/>
      <c r="HC65" s="92"/>
      <c r="HD65" s="92"/>
      <c r="HE65" s="92"/>
      <c r="HF65" s="92"/>
      <c r="HG65" s="92"/>
      <c r="HH65" s="92"/>
      <c r="HI65" s="92"/>
      <c r="HJ65" s="92"/>
      <c r="HK65" s="92"/>
      <c r="HL65" s="92"/>
      <c r="HM65" s="92"/>
      <c r="HN65" s="92"/>
      <c r="HO65" s="92"/>
      <c r="HP65" s="92"/>
      <c r="HQ65" s="92"/>
      <c r="HR65" s="92"/>
      <c r="HS65" s="92"/>
      <c r="HT65" s="92"/>
      <c r="HU65" s="92"/>
      <c r="HV65" s="92"/>
      <c r="HW65" s="92"/>
      <c r="HX65" s="92"/>
      <c r="HY65" s="92"/>
      <c r="HZ65" s="92"/>
      <c r="IA65" s="92"/>
      <c r="IB65" s="92"/>
      <c r="IC65" s="92"/>
      <c r="ID65" s="92"/>
      <c r="IE65" s="92"/>
      <c r="IF65" s="92"/>
      <c r="IG65" s="92"/>
      <c r="IH65" s="92"/>
      <c r="II65" s="92"/>
      <c r="IJ65" s="92"/>
      <c r="IK65" s="92"/>
      <c r="IL65" s="92"/>
      <c r="IM65" s="92"/>
      <c r="IN65" s="92"/>
      <c r="IO65" s="92"/>
      <c r="IP65" s="92"/>
      <c r="IQ65" s="92"/>
      <c r="IR65" s="92"/>
      <c r="IS65" s="92"/>
      <c r="IT65" s="92"/>
      <c r="IU65" s="92"/>
      <c r="IV65" s="92"/>
      <c r="IW65" s="92"/>
      <c r="IX65" s="92"/>
      <c r="IY65" s="92"/>
      <c r="IZ65" s="92"/>
      <c r="JA65" s="92"/>
      <c r="JB65" s="92"/>
      <c r="JC65" s="92"/>
      <c r="JD65" s="92"/>
      <c r="JE65" s="92"/>
      <c r="JF65" s="92"/>
      <c r="JG65" s="92"/>
      <c r="JH65" s="92"/>
      <c r="JI65" s="92"/>
      <c r="JJ65" s="92"/>
      <c r="JK65" s="92"/>
      <c r="JL65" s="92"/>
      <c r="JM65" s="92"/>
      <c r="JN65" s="92"/>
      <c r="JO65" s="92"/>
      <c r="JP65" s="92"/>
      <c r="JQ65" s="92"/>
      <c r="JR65" s="92"/>
      <c r="JS65" s="92"/>
      <c r="JT65" s="92"/>
      <c r="JU65" s="92"/>
      <c r="JV65" s="92"/>
      <c r="JW65" s="92"/>
      <c r="JX65" s="92"/>
      <c r="JY65" s="92"/>
      <c r="JZ65" s="92"/>
      <c r="KA65" s="92"/>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2"/>
      <c r="LA65" s="92"/>
      <c r="LB65" s="92"/>
      <c r="LC65" s="92"/>
      <c r="LD65" s="92"/>
      <c r="LE65" s="92"/>
      <c r="LF65" s="92"/>
      <c r="LG65" s="92"/>
      <c r="LH65" s="92"/>
      <c r="LI65" s="92"/>
      <c r="LJ65" s="92"/>
      <c r="LK65" s="92"/>
      <c r="LL65" s="92"/>
      <c r="LM65" s="92"/>
      <c r="LN65" s="92"/>
      <c r="LO65" s="92"/>
      <c r="LP65" s="92"/>
      <c r="LQ65" s="92"/>
      <c r="LR65" s="92"/>
      <c r="LS65" s="92"/>
      <c r="LT65" s="92"/>
      <c r="LU65" s="92"/>
      <c r="LV65" s="92"/>
      <c r="LW65" s="92"/>
      <c r="LX65" s="92"/>
      <c r="LY65" s="92"/>
      <c r="LZ65" s="92"/>
      <c r="MA65" s="92"/>
      <c r="MB65" s="92"/>
      <c r="MC65" s="92"/>
      <c r="MD65" s="92"/>
      <c r="ME65" s="92"/>
      <c r="MF65" s="92"/>
      <c r="MG65" s="92"/>
      <c r="MH65" s="92"/>
      <c r="MI65" s="92"/>
      <c r="MJ65" s="92"/>
      <c r="MK65" s="92"/>
      <c r="ML65" s="92"/>
      <c r="MM65" s="92"/>
      <c r="MN65" s="92"/>
      <c r="MO65" s="92"/>
      <c r="MP65" s="92"/>
      <c r="MQ65" s="92"/>
      <c r="MR65" s="92"/>
      <c r="MS65" s="92"/>
      <c r="MT65" s="92"/>
      <c r="MU65" s="92"/>
      <c r="MV65" s="92"/>
      <c r="MW65" s="92"/>
      <c r="MX65" s="92"/>
      <c r="MY65" s="92"/>
      <c r="MZ65" s="92"/>
      <c r="NA65" s="92"/>
      <c r="NB65" s="92"/>
      <c r="NC65" s="92"/>
      <c r="ND65" s="92"/>
      <c r="NE65" s="92"/>
      <c r="NF65" s="92"/>
      <c r="NG65" s="92"/>
      <c r="NH65" s="92"/>
      <c r="NI65" s="92"/>
      <c r="NJ65" s="92"/>
      <c r="NK65" s="92"/>
      <c r="NL65" s="92"/>
      <c r="NM65" s="92"/>
      <c r="NN65" s="92"/>
      <c r="NO65" s="92"/>
      <c r="NP65" s="92"/>
      <c r="NQ65" s="92"/>
      <c r="NR65" s="92"/>
      <c r="NS65" s="92"/>
      <c r="NT65" s="92"/>
      <c r="NU65" s="92"/>
      <c r="NV65" s="92"/>
      <c r="NW65" s="92"/>
      <c r="NX65" s="92"/>
      <c r="NY65" s="92"/>
      <c r="NZ65" s="92"/>
      <c r="OA65" s="92"/>
      <c r="OB65" s="92"/>
      <c r="OC65" s="92"/>
      <c r="OD65" s="92"/>
      <c r="OE65" s="92"/>
      <c r="OF65" s="92"/>
      <c r="OG65" s="92"/>
      <c r="OH65" s="92"/>
      <c r="OI65" s="92"/>
      <c r="OJ65" s="92"/>
      <c r="OK65" s="92"/>
      <c r="OL65" s="92"/>
      <c r="OM65" s="92"/>
      <c r="ON65" s="92"/>
      <c r="OO65" s="92"/>
      <c r="OP65" s="92"/>
      <c r="OQ65" s="92"/>
      <c r="OR65" s="92"/>
      <c r="OS65" s="92"/>
      <c r="OT65" s="92"/>
      <c r="OU65" s="92"/>
      <c r="OV65" s="92"/>
      <c r="OW65" s="92"/>
      <c r="OX65" s="92"/>
      <c r="OY65" s="92"/>
      <c r="OZ65" s="92"/>
      <c r="PA65" s="92"/>
      <c r="PB65" s="92"/>
      <c r="PC65" s="92"/>
      <c r="PD65" s="92"/>
      <c r="PE65" s="92"/>
      <c r="PF65" s="92"/>
      <c r="PG65" s="92"/>
      <c r="PH65" s="92"/>
      <c r="PI65" s="92"/>
      <c r="PJ65" s="92"/>
      <c r="PK65" s="92"/>
      <c r="PL65" s="92"/>
      <c r="PM65" s="92"/>
      <c r="PN65" s="92"/>
      <c r="PO65" s="92"/>
      <c r="PP65" s="92"/>
      <c r="PQ65" s="92"/>
      <c r="PR65" s="92"/>
      <c r="PS65" s="92"/>
      <c r="PT65" s="92"/>
      <c r="PU65" s="92"/>
      <c r="PV65" s="92"/>
      <c r="PW65" s="92"/>
      <c r="PX65" s="92"/>
      <c r="PY65" s="92"/>
      <c r="PZ65" s="92"/>
      <c r="QA65" s="92"/>
      <c r="QB65" s="92"/>
      <c r="QC65" s="92"/>
      <c r="QD65" s="92"/>
      <c r="QE65" s="92"/>
      <c r="QF65" s="92"/>
      <c r="QG65" s="92"/>
      <c r="QH65" s="92"/>
      <c r="QI65" s="92"/>
      <c r="QJ65" s="92"/>
      <c r="QK65" s="92"/>
      <c r="QL65" s="92"/>
      <c r="QM65" s="92"/>
      <c r="QN65" s="92"/>
      <c r="QO65" s="92"/>
    </row>
    <row r="66" spans="2:457" ht="30">
      <c r="B66" s="274"/>
      <c r="C66" s="275" t="s">
        <v>0</v>
      </c>
      <c r="D66" s="212" t="s">
        <v>383</v>
      </c>
      <c r="E66" s="212" t="s">
        <v>384</v>
      </c>
      <c r="F66" s="213" t="s">
        <v>172</v>
      </c>
      <c r="G66" s="213" t="s">
        <v>560</v>
      </c>
      <c r="H66" s="149"/>
      <c r="I66" s="149" t="s">
        <v>386</v>
      </c>
      <c r="J66" s="149" t="s">
        <v>385</v>
      </c>
      <c r="K66" s="149" t="s">
        <v>219</v>
      </c>
      <c r="L66" s="149" t="s">
        <v>11</v>
      </c>
      <c r="M66" s="149" t="s">
        <v>218</v>
      </c>
      <c r="N66" s="149" t="s">
        <v>171</v>
      </c>
      <c r="O66" s="149" t="s">
        <v>187</v>
      </c>
      <c r="P66" s="216" t="s">
        <v>7</v>
      </c>
      <c r="Q66" s="92"/>
      <c r="R66" s="92"/>
      <c r="S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92"/>
      <c r="FC66" s="92"/>
      <c r="FD66" s="92"/>
      <c r="FE66" s="92"/>
      <c r="FF66" s="92"/>
      <c r="FG66" s="92"/>
      <c r="FH66" s="92"/>
      <c r="FI66" s="92"/>
      <c r="FJ66" s="92"/>
      <c r="FK66" s="92"/>
      <c r="FL66" s="92"/>
      <c r="FM66" s="92"/>
      <c r="FN66" s="92"/>
      <c r="FO66" s="92"/>
      <c r="FP66" s="92"/>
      <c r="FQ66" s="92"/>
      <c r="FR66" s="92"/>
      <c r="FS66" s="92"/>
      <c r="FT66" s="92"/>
      <c r="FU66" s="92"/>
      <c r="FV66" s="92"/>
      <c r="FW66" s="92"/>
      <c r="FX66" s="92"/>
      <c r="FY66" s="92"/>
      <c r="FZ66" s="92"/>
      <c r="GA66" s="92"/>
      <c r="GB66" s="92"/>
      <c r="GC66" s="92"/>
      <c r="GD66" s="92"/>
      <c r="GE66" s="92"/>
      <c r="GF66" s="92"/>
      <c r="GG66" s="92"/>
      <c r="GH66" s="92"/>
      <c r="GI66" s="92"/>
      <c r="GJ66" s="92"/>
      <c r="GK66" s="92"/>
      <c r="GL66" s="92"/>
      <c r="GM66" s="92"/>
      <c r="GN66" s="92"/>
      <c r="GO66" s="92"/>
      <c r="GP66" s="92"/>
      <c r="GQ66" s="92"/>
      <c r="GR66" s="92"/>
      <c r="GS66" s="92"/>
      <c r="GT66" s="92"/>
      <c r="GU66" s="92"/>
      <c r="GV66" s="92"/>
      <c r="GW66" s="92"/>
      <c r="GX66" s="92"/>
      <c r="GY66" s="92"/>
      <c r="GZ66" s="92"/>
      <c r="HA66" s="92"/>
      <c r="HB66" s="92"/>
      <c r="HC66" s="92"/>
      <c r="HD66" s="92"/>
      <c r="HE66" s="92"/>
      <c r="HF66" s="92"/>
      <c r="HG66" s="92"/>
      <c r="HH66" s="92"/>
      <c r="HI66" s="92"/>
      <c r="HJ66" s="92"/>
      <c r="HK66" s="92"/>
      <c r="HL66" s="92"/>
      <c r="HM66" s="92"/>
      <c r="HN66" s="92"/>
      <c r="HO66" s="92"/>
      <c r="HP66" s="92"/>
      <c r="HQ66" s="92"/>
      <c r="HR66" s="92"/>
      <c r="HS66" s="92"/>
      <c r="HT66" s="92"/>
      <c r="HU66" s="92"/>
      <c r="HV66" s="92"/>
      <c r="HW66" s="92"/>
      <c r="HX66" s="92"/>
      <c r="HY66" s="92"/>
      <c r="HZ66" s="92"/>
      <c r="IA66" s="92"/>
      <c r="IB66" s="92"/>
      <c r="IC66" s="92"/>
      <c r="ID66" s="92"/>
      <c r="IE66" s="92"/>
      <c r="IF66" s="92"/>
      <c r="IG66" s="92"/>
      <c r="IH66" s="92"/>
      <c r="II66" s="92"/>
      <c r="IJ66" s="92"/>
      <c r="IK66" s="92"/>
      <c r="IL66" s="92"/>
      <c r="IM66" s="92"/>
      <c r="IN66" s="92"/>
      <c r="IO66" s="92"/>
      <c r="IP66" s="92"/>
      <c r="IQ66" s="92"/>
      <c r="IR66" s="92"/>
      <c r="IS66" s="92"/>
      <c r="IT66" s="92"/>
      <c r="IU66" s="92"/>
      <c r="IV66" s="92"/>
      <c r="IW66" s="92"/>
      <c r="IX66" s="92"/>
      <c r="IY66" s="92"/>
      <c r="IZ66" s="92"/>
      <c r="JA66" s="92"/>
      <c r="JB66" s="92"/>
      <c r="JC66" s="92"/>
      <c r="JD66" s="92"/>
      <c r="JE66" s="92"/>
      <c r="JF66" s="92"/>
      <c r="JG66" s="92"/>
      <c r="JH66" s="92"/>
      <c r="JI66" s="92"/>
      <c r="JJ66" s="92"/>
      <c r="JK66" s="92"/>
      <c r="JL66" s="92"/>
      <c r="JM66" s="92"/>
      <c r="JN66" s="92"/>
      <c r="JO66" s="92"/>
      <c r="JP66" s="92"/>
      <c r="JQ66" s="92"/>
      <c r="JR66" s="92"/>
      <c r="JS66" s="92"/>
      <c r="JT66" s="92"/>
      <c r="JU66" s="92"/>
      <c r="JV66" s="92"/>
      <c r="JW66" s="92"/>
      <c r="JX66" s="92"/>
      <c r="JY66" s="92"/>
      <c r="JZ66" s="92"/>
      <c r="KA66" s="92"/>
      <c r="KB66" s="92"/>
      <c r="KC66" s="92"/>
      <c r="KD66" s="92"/>
      <c r="KE66" s="92"/>
      <c r="KF66" s="92"/>
      <c r="KG66" s="92"/>
      <c r="KH66" s="92"/>
      <c r="KI66" s="92"/>
      <c r="KJ66" s="92"/>
      <c r="KK66" s="92"/>
      <c r="KL66" s="92"/>
      <c r="KM66" s="92"/>
      <c r="KN66" s="92"/>
      <c r="KO66" s="92"/>
      <c r="KP66" s="92"/>
      <c r="KQ66" s="92"/>
      <c r="KR66" s="92"/>
      <c r="KS66" s="92"/>
      <c r="KT66" s="92"/>
      <c r="KU66" s="92"/>
      <c r="KV66" s="92"/>
      <c r="KW66" s="92"/>
      <c r="KX66" s="92"/>
      <c r="KY66" s="92"/>
      <c r="KZ66" s="92"/>
      <c r="LA66" s="92"/>
      <c r="LB66" s="92"/>
      <c r="LC66" s="92"/>
      <c r="LD66" s="92"/>
      <c r="LE66" s="92"/>
      <c r="LF66" s="92"/>
      <c r="LG66" s="92"/>
      <c r="LH66" s="92"/>
      <c r="LI66" s="92"/>
      <c r="LJ66" s="92"/>
      <c r="LK66" s="92"/>
      <c r="LL66" s="92"/>
      <c r="LM66" s="92"/>
      <c r="LN66" s="92"/>
      <c r="LO66" s="92"/>
      <c r="LP66" s="92"/>
      <c r="LQ66" s="92"/>
      <c r="LR66" s="92"/>
      <c r="LS66" s="92"/>
      <c r="LT66" s="92"/>
      <c r="LU66" s="92"/>
      <c r="LV66" s="92"/>
      <c r="LW66" s="92"/>
      <c r="LX66" s="92"/>
      <c r="LY66" s="92"/>
      <c r="LZ66" s="92"/>
      <c r="MA66" s="92"/>
      <c r="MB66" s="92"/>
      <c r="MC66" s="92"/>
      <c r="MD66" s="92"/>
      <c r="ME66" s="92"/>
      <c r="MF66" s="92"/>
      <c r="MG66" s="92"/>
      <c r="MH66" s="92"/>
      <c r="MI66" s="92"/>
      <c r="MJ66" s="92"/>
      <c r="MK66" s="92"/>
      <c r="ML66" s="92"/>
      <c r="MM66" s="92"/>
      <c r="MN66" s="92"/>
      <c r="MO66" s="92"/>
      <c r="MP66" s="92"/>
      <c r="MQ66" s="92"/>
      <c r="MR66" s="92"/>
      <c r="MS66" s="92"/>
      <c r="MT66" s="92"/>
      <c r="MU66" s="92"/>
      <c r="MV66" s="92"/>
      <c r="MW66" s="92"/>
      <c r="MX66" s="92"/>
      <c r="MY66" s="92"/>
      <c r="MZ66" s="92"/>
      <c r="NA66" s="92"/>
      <c r="NB66" s="92"/>
      <c r="NC66" s="92"/>
      <c r="ND66" s="92"/>
      <c r="NE66" s="92"/>
      <c r="NF66" s="92"/>
      <c r="NG66" s="92"/>
      <c r="NH66" s="92"/>
      <c r="NI66" s="92"/>
      <c r="NJ66" s="92"/>
      <c r="NK66" s="92"/>
      <c r="NL66" s="92"/>
      <c r="NM66" s="92"/>
      <c r="NN66" s="92"/>
      <c r="NO66" s="92"/>
      <c r="NP66" s="92"/>
      <c r="NQ66" s="92"/>
      <c r="NR66" s="92"/>
      <c r="NS66" s="92"/>
      <c r="NT66" s="92"/>
      <c r="NU66" s="92"/>
      <c r="NV66" s="92"/>
      <c r="NW66" s="92"/>
      <c r="NX66" s="92"/>
      <c r="NY66" s="92"/>
      <c r="NZ66" s="92"/>
      <c r="OA66" s="92"/>
      <c r="OB66" s="92"/>
      <c r="OC66" s="92"/>
      <c r="OD66" s="92"/>
      <c r="OE66" s="92"/>
      <c r="OF66" s="92"/>
      <c r="OG66" s="92"/>
      <c r="OH66" s="92"/>
      <c r="OI66" s="92"/>
      <c r="OJ66" s="92"/>
      <c r="OK66" s="92"/>
      <c r="OL66" s="92"/>
      <c r="OM66" s="92"/>
      <c r="ON66" s="92"/>
      <c r="OO66" s="92"/>
      <c r="OP66" s="92"/>
      <c r="OQ66" s="92"/>
      <c r="OR66" s="92"/>
      <c r="OS66" s="92"/>
      <c r="OT66" s="92"/>
      <c r="OU66" s="92"/>
      <c r="OV66" s="92"/>
      <c r="OW66" s="92"/>
      <c r="OX66" s="92"/>
      <c r="OY66" s="92"/>
      <c r="OZ66" s="92"/>
      <c r="PA66" s="92"/>
      <c r="PB66" s="92"/>
      <c r="PC66" s="92"/>
      <c r="PD66" s="92"/>
      <c r="PE66" s="92"/>
      <c r="PF66" s="92"/>
      <c r="PG66" s="92"/>
      <c r="PH66" s="92"/>
      <c r="PI66" s="92"/>
      <c r="PJ66" s="92"/>
      <c r="PK66" s="92"/>
      <c r="PL66" s="92"/>
      <c r="PM66" s="92"/>
      <c r="PN66" s="92"/>
      <c r="PO66" s="92"/>
      <c r="PP66" s="92"/>
      <c r="PQ66" s="92"/>
      <c r="PR66" s="92"/>
      <c r="PS66" s="92"/>
      <c r="PT66" s="92"/>
      <c r="PU66" s="92"/>
      <c r="PV66" s="92"/>
      <c r="PW66" s="92"/>
      <c r="PX66" s="92"/>
      <c r="PY66" s="92"/>
      <c r="PZ66" s="92"/>
      <c r="QA66" s="92"/>
      <c r="QB66" s="92"/>
      <c r="QC66" s="92"/>
      <c r="QD66" s="92"/>
      <c r="QE66" s="92"/>
      <c r="QF66" s="92"/>
      <c r="QG66" s="92"/>
      <c r="QH66" s="92"/>
      <c r="QI66" s="92"/>
      <c r="QJ66" s="92"/>
      <c r="QK66" s="92"/>
      <c r="QL66" s="92"/>
      <c r="QM66" s="92"/>
      <c r="QN66" s="92"/>
      <c r="QO66" s="92"/>
    </row>
    <row r="67" spans="2:457" ht="24.75">
      <c r="C67" s="258" t="s">
        <v>226</v>
      </c>
      <c r="D67" s="94">
        <f>D36+D37</f>
        <v>121.58713299999999</v>
      </c>
      <c r="E67" s="94">
        <f t="shared" ref="E67:F67" si="41">E36+E37</f>
        <v>7.5365014935901156E-2</v>
      </c>
      <c r="F67" s="94">
        <f t="shared" si="41"/>
        <v>37.028000000000006</v>
      </c>
      <c r="G67" s="271">
        <f t="shared" ref="G67:G76" si="42">SUM(D67:F67)</f>
        <v>158.69049801493588</v>
      </c>
      <c r="H67" s="94"/>
      <c r="I67" s="94">
        <f>'AggrStep1-energy'!I94</f>
        <v>0</v>
      </c>
      <c r="J67" s="94"/>
      <c r="K67" s="94"/>
      <c r="L67" s="94"/>
      <c r="M67" s="94"/>
      <c r="N67" s="94"/>
      <c r="O67" s="94"/>
      <c r="P67" s="102">
        <f>SUM(G67,I67:O67)</f>
        <v>158.69049801493588</v>
      </c>
      <c r="Q67" s="92"/>
      <c r="R67" s="92"/>
      <c r="S67" s="92"/>
      <c r="U67" s="349" t="s">
        <v>585</v>
      </c>
      <c r="V67" s="350" t="s">
        <v>584</v>
      </c>
      <c r="W67" s="276"/>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2"/>
      <c r="CZ67" s="92"/>
      <c r="DA67" s="92"/>
      <c r="DB67" s="92"/>
      <c r="DC67" s="92"/>
      <c r="DD67" s="92"/>
      <c r="DE67" s="92"/>
      <c r="DF67" s="92"/>
      <c r="DG67" s="92"/>
      <c r="DH67" s="92"/>
      <c r="DI67" s="92"/>
      <c r="DJ67" s="92"/>
      <c r="DK67" s="92"/>
      <c r="DL67" s="92"/>
      <c r="DM67" s="92"/>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92"/>
      <c r="EL67" s="92"/>
      <c r="EM67" s="92"/>
      <c r="EN67" s="92"/>
      <c r="EO67" s="92"/>
      <c r="EP67" s="92"/>
      <c r="EQ67" s="92"/>
      <c r="ER67" s="92"/>
      <c r="ES67" s="92"/>
      <c r="ET67" s="92"/>
      <c r="EU67" s="92"/>
      <c r="EV67" s="92"/>
      <c r="EW67" s="92"/>
      <c r="EX67" s="92"/>
      <c r="EY67" s="92"/>
      <c r="EZ67" s="92"/>
      <c r="FA67" s="92"/>
      <c r="FB67" s="92"/>
      <c r="FC67" s="92"/>
      <c r="FD67" s="92"/>
      <c r="FE67" s="92"/>
      <c r="FF67" s="92"/>
      <c r="FG67" s="92"/>
      <c r="FH67" s="92"/>
      <c r="FI67" s="92"/>
      <c r="FJ67" s="92"/>
      <c r="FK67" s="92"/>
      <c r="FL67" s="92"/>
      <c r="FM67" s="92"/>
      <c r="FN67" s="92"/>
      <c r="FO67" s="92"/>
      <c r="FP67" s="92"/>
      <c r="FQ67" s="92"/>
      <c r="FR67" s="92"/>
      <c r="FS67" s="92"/>
      <c r="FT67" s="92"/>
      <c r="FU67" s="92"/>
      <c r="FV67" s="92"/>
      <c r="FW67" s="92"/>
      <c r="FX67" s="92"/>
      <c r="FY67" s="92"/>
      <c r="FZ67" s="92"/>
      <c r="GA67" s="92"/>
      <c r="GB67" s="92"/>
      <c r="GC67" s="92"/>
      <c r="GD67" s="92"/>
      <c r="GE67" s="92"/>
      <c r="GF67" s="92"/>
      <c r="GG67" s="92"/>
      <c r="GH67" s="92"/>
      <c r="GI67" s="92"/>
      <c r="GJ67" s="92"/>
      <c r="GK67" s="92"/>
      <c r="GL67" s="92"/>
      <c r="GM67" s="92"/>
      <c r="GN67" s="92"/>
      <c r="GO67" s="92"/>
      <c r="GP67" s="92"/>
      <c r="GQ67" s="92"/>
      <c r="GR67" s="92"/>
      <c r="GS67" s="92"/>
      <c r="GT67" s="92"/>
      <c r="GU67" s="92"/>
      <c r="GV67" s="92"/>
      <c r="GW67" s="92"/>
      <c r="GX67" s="92"/>
      <c r="GY67" s="92"/>
      <c r="GZ67" s="92"/>
      <c r="HA67" s="92"/>
      <c r="HB67" s="92"/>
      <c r="HC67" s="92"/>
      <c r="HD67" s="92"/>
      <c r="HE67" s="92"/>
      <c r="HF67" s="92"/>
      <c r="HG67" s="92"/>
      <c r="HH67" s="92"/>
      <c r="HI67" s="92"/>
      <c r="HJ67" s="92"/>
      <c r="HK67" s="92"/>
      <c r="HL67" s="92"/>
      <c r="HM67" s="92"/>
      <c r="HN67" s="92"/>
      <c r="HO67" s="92"/>
      <c r="HP67" s="92"/>
      <c r="HQ67" s="92"/>
      <c r="HR67" s="92"/>
      <c r="HS67" s="92"/>
      <c r="HT67" s="92"/>
      <c r="HU67" s="92"/>
      <c r="HV67" s="92"/>
      <c r="HW67" s="92"/>
      <c r="HX67" s="92"/>
      <c r="HY67" s="92"/>
      <c r="HZ67" s="92"/>
      <c r="IA67" s="92"/>
      <c r="IB67" s="92"/>
      <c r="IC67" s="92"/>
      <c r="ID67" s="92"/>
      <c r="IE67" s="92"/>
      <c r="IF67" s="92"/>
      <c r="IG67" s="92"/>
      <c r="IH67" s="92"/>
      <c r="II67" s="92"/>
      <c r="IJ67" s="92"/>
      <c r="IK67" s="92"/>
      <c r="IL67" s="92"/>
      <c r="IM67" s="92"/>
      <c r="IN67" s="92"/>
      <c r="IO67" s="92"/>
      <c r="IP67" s="92"/>
      <c r="IQ67" s="92"/>
      <c r="IR67" s="92"/>
      <c r="IS67" s="92"/>
      <c r="IT67" s="92"/>
      <c r="IU67" s="92"/>
      <c r="IV67" s="92"/>
      <c r="IW67" s="92"/>
      <c r="IX67" s="92"/>
      <c r="IY67" s="92"/>
      <c r="IZ67" s="92"/>
      <c r="JA67" s="92"/>
      <c r="JB67" s="92"/>
      <c r="JC67" s="92"/>
      <c r="JD67" s="92"/>
      <c r="JE67" s="92"/>
      <c r="JF67" s="92"/>
      <c r="JG67" s="92"/>
      <c r="JH67" s="92"/>
      <c r="JI67" s="92"/>
      <c r="JJ67" s="92"/>
      <c r="JK67" s="92"/>
      <c r="JL67" s="92"/>
      <c r="JM67" s="92"/>
      <c r="JN67" s="92"/>
      <c r="JO67" s="92"/>
      <c r="JP67" s="92"/>
      <c r="JQ67" s="92"/>
      <c r="JR67" s="92"/>
      <c r="JS67" s="92"/>
      <c r="JT67" s="92"/>
      <c r="JU67" s="92"/>
      <c r="JV67" s="92"/>
      <c r="JW67" s="92"/>
      <c r="JX67" s="92"/>
      <c r="JY67" s="92"/>
      <c r="JZ67" s="92"/>
      <c r="KA67" s="92"/>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2"/>
      <c r="LA67" s="92"/>
      <c r="LB67" s="92"/>
      <c r="LC67" s="92"/>
      <c r="LD67" s="92"/>
      <c r="LE67" s="92"/>
      <c r="LF67" s="92"/>
      <c r="LG67" s="92"/>
      <c r="LH67" s="92"/>
      <c r="LI67" s="92"/>
      <c r="LJ67" s="92"/>
      <c r="LK67" s="92"/>
      <c r="LL67" s="92"/>
      <c r="LM67" s="92"/>
      <c r="LN67" s="92"/>
      <c r="LO67" s="92"/>
      <c r="LP67" s="92"/>
      <c r="LQ67" s="92"/>
      <c r="LR67" s="92"/>
      <c r="LS67" s="92"/>
      <c r="LT67" s="92"/>
      <c r="LU67" s="92"/>
      <c r="LV67" s="92"/>
      <c r="LW67" s="92"/>
      <c r="LX67" s="92"/>
      <c r="LY67" s="92"/>
      <c r="LZ67" s="92"/>
      <c r="MA67" s="92"/>
      <c r="MB67" s="92"/>
      <c r="MC67" s="92"/>
      <c r="MD67" s="92"/>
      <c r="ME67" s="92"/>
      <c r="MF67" s="92"/>
      <c r="MG67" s="92"/>
      <c r="MH67" s="92"/>
      <c r="MI67" s="92"/>
      <c r="MJ67" s="92"/>
      <c r="MK67" s="92"/>
      <c r="ML67" s="92"/>
      <c r="MM67" s="92"/>
      <c r="MN67" s="92"/>
      <c r="MO67" s="92"/>
      <c r="MP67" s="92"/>
      <c r="MQ67" s="92"/>
      <c r="MR67" s="92"/>
      <c r="MS67" s="92"/>
      <c r="MT67" s="92"/>
      <c r="MU67" s="92"/>
      <c r="MV67" s="92"/>
      <c r="MW67" s="92"/>
      <c r="MX67" s="92"/>
      <c r="MY67" s="92"/>
      <c r="MZ67" s="92"/>
      <c r="NA67" s="92"/>
      <c r="NB67" s="92"/>
      <c r="NC67" s="92"/>
      <c r="ND67" s="92"/>
      <c r="NE67" s="92"/>
      <c r="NF67" s="92"/>
      <c r="NG67" s="92"/>
      <c r="NH67" s="92"/>
      <c r="NI67" s="92"/>
      <c r="NJ67" s="92"/>
      <c r="NK67" s="92"/>
      <c r="NL67" s="92"/>
      <c r="NM67" s="92"/>
      <c r="NN67" s="92"/>
      <c r="NO67" s="92"/>
      <c r="NP67" s="92"/>
      <c r="NQ67" s="92"/>
      <c r="NR67" s="92"/>
      <c r="NS67" s="92"/>
      <c r="NT67" s="92"/>
      <c r="NU67" s="92"/>
      <c r="NV67" s="92"/>
      <c r="NW67" s="92"/>
      <c r="NX67" s="92"/>
      <c r="NY67" s="92"/>
      <c r="NZ67" s="92"/>
      <c r="OA67" s="92"/>
      <c r="OB67" s="92"/>
      <c r="OC67" s="92"/>
      <c r="OD67" s="92"/>
      <c r="OE67" s="92"/>
      <c r="OF67" s="92"/>
      <c r="OG67" s="92"/>
      <c r="OH67" s="92"/>
      <c r="OI67" s="92"/>
      <c r="OJ67" s="92"/>
      <c r="OK67" s="92"/>
      <c r="OL67" s="92"/>
      <c r="OM67" s="92"/>
      <c r="ON67" s="92"/>
      <c r="OO67" s="92"/>
      <c r="OP67" s="92"/>
      <c r="OQ67" s="92"/>
      <c r="OR67" s="92"/>
      <c r="OS67" s="92"/>
      <c r="OT67" s="92"/>
      <c r="OU67" s="92"/>
      <c r="OV67" s="92"/>
      <c r="OW67" s="92"/>
      <c r="OX67" s="92"/>
      <c r="OY67" s="92"/>
      <c r="OZ67" s="92"/>
      <c r="PA67" s="92"/>
      <c r="PB67" s="92"/>
      <c r="PC67" s="92"/>
      <c r="PD67" s="92"/>
      <c r="PE67" s="92"/>
      <c r="PF67" s="92"/>
      <c r="PG67" s="92"/>
      <c r="PH67" s="92"/>
      <c r="PI67" s="92"/>
      <c r="PJ67" s="92"/>
      <c r="PK67" s="92"/>
      <c r="PL67" s="92"/>
      <c r="PM67" s="92"/>
      <c r="PN67" s="92"/>
      <c r="PO67" s="92"/>
      <c r="PP67" s="92"/>
      <c r="PQ67" s="92"/>
      <c r="PR67" s="92"/>
      <c r="PS67" s="92"/>
      <c r="PT67" s="92"/>
      <c r="PU67" s="92"/>
      <c r="PV67" s="92"/>
      <c r="PW67" s="92"/>
      <c r="PX67" s="92"/>
      <c r="PY67" s="92"/>
      <c r="PZ67" s="92"/>
      <c r="QA67" s="92"/>
      <c r="QB67" s="92"/>
      <c r="QC67" s="92"/>
      <c r="QD67" s="92"/>
      <c r="QE67" s="92"/>
      <c r="QF67" s="92"/>
      <c r="QG67" s="92"/>
      <c r="QH67" s="92"/>
      <c r="QI67" s="92"/>
      <c r="QJ67" s="92"/>
      <c r="QK67" s="92"/>
      <c r="QL67" s="92"/>
      <c r="QM67" s="92"/>
      <c r="QN67" s="92"/>
      <c r="QO67" s="92"/>
    </row>
    <row r="68" spans="2:457">
      <c r="C68" s="258" t="s">
        <v>387</v>
      </c>
      <c r="D68" s="94">
        <f>SUM(D38:D43,D45:D46)</f>
        <v>411.05060299999991</v>
      </c>
      <c r="E68" s="94">
        <f t="shared" ref="E68:F68" si="43">SUM(E38:E43,E45:E46)</f>
        <v>594.81225350263162</v>
      </c>
      <c r="F68" s="94">
        <f t="shared" si="43"/>
        <v>530.98400000000004</v>
      </c>
      <c r="G68" s="271">
        <f t="shared" si="42"/>
        <v>1536.8468565026315</v>
      </c>
      <c r="H68" s="94"/>
      <c r="I68" s="94">
        <f>'AggrStep1-energy'!I95</f>
        <v>63.782443000000001</v>
      </c>
      <c r="J68" s="94"/>
      <c r="K68" s="94"/>
      <c r="L68" s="94"/>
      <c r="M68" s="94"/>
      <c r="N68" s="94"/>
      <c r="O68" s="94"/>
      <c r="P68" s="102">
        <f t="shared" ref="P68:P71" si="44">SUM(G68,I68:O68)</f>
        <v>1600.6292995026315</v>
      </c>
      <c r="Q68" s="92"/>
      <c r="R68" s="92"/>
      <c r="S68" s="92"/>
      <c r="T68" s="277" t="s">
        <v>574</v>
      </c>
      <c r="U68" s="291">
        <v>152.69999999999999</v>
      </c>
      <c r="V68" s="292">
        <f>U68*$X$81</f>
        <v>424.16666666666663</v>
      </c>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2"/>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2"/>
      <c r="CZ68" s="92"/>
      <c r="DA68" s="92"/>
      <c r="DB68" s="92"/>
      <c r="DC68" s="92"/>
      <c r="DD68" s="92"/>
      <c r="DE68" s="92"/>
      <c r="DF68" s="92"/>
      <c r="DG68" s="92"/>
      <c r="DH68" s="92"/>
      <c r="DI68" s="92"/>
      <c r="DJ68" s="92"/>
      <c r="DK68" s="92"/>
      <c r="DL68" s="92"/>
      <c r="DM68" s="92"/>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2"/>
      <c r="EN68" s="92"/>
      <c r="EO68" s="92"/>
      <c r="EP68" s="92"/>
      <c r="EQ68" s="92"/>
      <c r="ER68" s="92"/>
      <c r="ES68" s="92"/>
      <c r="ET68" s="92"/>
      <c r="EU68" s="92"/>
      <c r="EV68" s="92"/>
      <c r="EW68" s="92"/>
      <c r="EX68" s="92"/>
      <c r="EY68" s="92"/>
      <c r="EZ68" s="92"/>
      <c r="FA68" s="92"/>
      <c r="FB68" s="92"/>
      <c r="FC68" s="92"/>
      <c r="FD68" s="92"/>
      <c r="FE68" s="92"/>
      <c r="FF68" s="92"/>
      <c r="FG68" s="92"/>
      <c r="FH68" s="92"/>
      <c r="FI68" s="92"/>
      <c r="FJ68" s="92"/>
      <c r="FK68" s="92"/>
      <c r="FL68" s="92"/>
      <c r="FM68" s="92"/>
      <c r="FN68" s="92"/>
      <c r="FO68" s="92"/>
      <c r="FP68" s="92"/>
      <c r="FQ68" s="92"/>
      <c r="FR68" s="92"/>
      <c r="FS68" s="92"/>
      <c r="FT68" s="92"/>
      <c r="FU68" s="92"/>
      <c r="FV68" s="92"/>
      <c r="FW68" s="92"/>
      <c r="FX68" s="92"/>
      <c r="FY68" s="92"/>
      <c r="FZ68" s="92"/>
      <c r="GA68" s="92"/>
      <c r="GB68" s="92"/>
      <c r="GC68" s="92"/>
      <c r="GD68" s="92"/>
      <c r="GE68" s="92"/>
      <c r="GF68" s="92"/>
      <c r="GG68" s="92"/>
      <c r="GH68" s="92"/>
      <c r="GI68" s="92"/>
      <c r="GJ68" s="92"/>
      <c r="GK68" s="92"/>
      <c r="GL68" s="92"/>
      <c r="GM68" s="92"/>
      <c r="GN68" s="92"/>
      <c r="GO68" s="92"/>
      <c r="GP68" s="92"/>
      <c r="GQ68" s="92"/>
      <c r="GR68" s="92"/>
      <c r="GS68" s="92"/>
      <c r="GT68" s="92"/>
      <c r="GU68" s="92"/>
      <c r="GV68" s="92"/>
      <c r="GW68" s="92"/>
      <c r="GX68" s="92"/>
      <c r="GY68" s="92"/>
      <c r="GZ68" s="92"/>
      <c r="HA68" s="92"/>
      <c r="HB68" s="92"/>
      <c r="HC68" s="92"/>
      <c r="HD68" s="92"/>
      <c r="HE68" s="92"/>
      <c r="HF68" s="92"/>
      <c r="HG68" s="92"/>
      <c r="HH68" s="92"/>
      <c r="HI68" s="92"/>
      <c r="HJ68" s="92"/>
      <c r="HK68" s="92"/>
      <c r="HL68" s="92"/>
      <c r="HM68" s="92"/>
      <c r="HN68" s="92"/>
      <c r="HO68" s="92"/>
      <c r="HP68" s="92"/>
      <c r="HQ68" s="92"/>
      <c r="HR68" s="92"/>
      <c r="HS68" s="92"/>
      <c r="HT68" s="92"/>
      <c r="HU68" s="92"/>
      <c r="HV68" s="92"/>
      <c r="HW68" s="92"/>
      <c r="HX68" s="92"/>
      <c r="HY68" s="92"/>
      <c r="HZ68" s="92"/>
      <c r="IA68" s="92"/>
      <c r="IB68" s="92"/>
      <c r="IC68" s="92"/>
      <c r="ID68" s="92"/>
      <c r="IE68" s="92"/>
      <c r="IF68" s="92"/>
      <c r="IG68" s="92"/>
      <c r="IH68" s="92"/>
      <c r="II68" s="92"/>
      <c r="IJ68" s="92"/>
      <c r="IK68" s="92"/>
      <c r="IL68" s="92"/>
      <c r="IM68" s="92"/>
      <c r="IN68" s="92"/>
      <c r="IO68" s="92"/>
      <c r="IP68" s="92"/>
      <c r="IQ68" s="92"/>
      <c r="IR68" s="92"/>
      <c r="IS68" s="92"/>
      <c r="IT68" s="92"/>
      <c r="IU68" s="92"/>
      <c r="IV68" s="92"/>
      <c r="IW68" s="92"/>
      <c r="IX68" s="92"/>
      <c r="IY68" s="92"/>
      <c r="IZ68" s="92"/>
      <c r="JA68" s="92"/>
      <c r="JB68" s="92"/>
      <c r="JC68" s="92"/>
      <c r="JD68" s="92"/>
      <c r="JE68" s="92"/>
      <c r="JF68" s="92"/>
      <c r="JG68" s="92"/>
      <c r="JH68" s="92"/>
      <c r="JI68" s="92"/>
      <c r="JJ68" s="92"/>
      <c r="JK68" s="92"/>
      <c r="JL68" s="92"/>
      <c r="JM68" s="92"/>
      <c r="JN68" s="92"/>
      <c r="JO68" s="92"/>
      <c r="JP68" s="92"/>
      <c r="JQ68" s="92"/>
      <c r="JR68" s="92"/>
      <c r="JS68" s="92"/>
      <c r="JT68" s="92"/>
      <c r="JU68" s="92"/>
      <c r="JV68" s="92"/>
      <c r="JW68" s="92"/>
      <c r="JX68" s="92"/>
      <c r="JY68" s="92"/>
      <c r="JZ68" s="92"/>
      <c r="KA68" s="92"/>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2"/>
      <c r="LA68" s="92"/>
      <c r="LB68" s="92"/>
      <c r="LC68" s="92"/>
      <c r="LD68" s="92"/>
      <c r="LE68" s="92"/>
      <c r="LF68" s="92"/>
      <c r="LG68" s="92"/>
      <c r="LH68" s="92"/>
      <c r="LI68" s="92"/>
      <c r="LJ68" s="92"/>
      <c r="LK68" s="92"/>
      <c r="LL68" s="92"/>
      <c r="LM68" s="92"/>
      <c r="LN68" s="92"/>
      <c r="LO68" s="92"/>
      <c r="LP68" s="92"/>
      <c r="LQ68" s="92"/>
      <c r="LR68" s="92"/>
      <c r="LS68" s="92"/>
      <c r="LT68" s="92"/>
      <c r="LU68" s="92"/>
      <c r="LV68" s="92"/>
      <c r="LW68" s="92"/>
      <c r="LX68" s="92"/>
      <c r="LY68" s="92"/>
      <c r="LZ68" s="92"/>
      <c r="MA68" s="92"/>
      <c r="MB68" s="92"/>
      <c r="MC68" s="92"/>
      <c r="MD68" s="92"/>
      <c r="ME68" s="92"/>
      <c r="MF68" s="92"/>
      <c r="MG68" s="92"/>
      <c r="MH68" s="92"/>
      <c r="MI68" s="92"/>
      <c r="MJ68" s="92"/>
      <c r="MK68" s="92"/>
      <c r="ML68" s="92"/>
      <c r="MM68" s="92"/>
      <c r="MN68" s="92"/>
      <c r="MO68" s="92"/>
      <c r="MP68" s="92"/>
      <c r="MQ68" s="92"/>
      <c r="MR68" s="92"/>
      <c r="MS68" s="92"/>
      <c r="MT68" s="92"/>
      <c r="MU68" s="92"/>
      <c r="MV68" s="92"/>
      <c r="MW68" s="92"/>
      <c r="MX68" s="92"/>
      <c r="MY68" s="92"/>
      <c r="MZ68" s="92"/>
      <c r="NA68" s="92"/>
      <c r="NB68" s="92"/>
      <c r="NC68" s="92"/>
      <c r="ND68" s="92"/>
      <c r="NE68" s="92"/>
      <c r="NF68" s="92"/>
      <c r="NG68" s="92"/>
      <c r="NH68" s="92"/>
      <c r="NI68" s="92"/>
      <c r="NJ68" s="92"/>
      <c r="NK68" s="92"/>
      <c r="NL68" s="92"/>
      <c r="NM68" s="92"/>
      <c r="NN68" s="92"/>
      <c r="NO68" s="92"/>
      <c r="NP68" s="92"/>
      <c r="NQ68" s="92"/>
      <c r="NR68" s="92"/>
      <c r="NS68" s="92"/>
      <c r="NT68" s="92"/>
      <c r="NU68" s="92"/>
      <c r="NV68" s="92"/>
      <c r="NW68" s="92"/>
      <c r="NX68" s="92"/>
      <c r="NY68" s="92"/>
      <c r="NZ68" s="92"/>
      <c r="OA68" s="92"/>
      <c r="OB68" s="92"/>
      <c r="OC68" s="92"/>
      <c r="OD68" s="92"/>
      <c r="OE68" s="92"/>
      <c r="OF68" s="92"/>
      <c r="OG68" s="92"/>
      <c r="OH68" s="92"/>
      <c r="OI68" s="92"/>
      <c r="OJ68" s="92"/>
      <c r="OK68" s="92"/>
      <c r="OL68" s="92"/>
      <c r="OM68" s="92"/>
      <c r="ON68" s="92"/>
      <c r="OO68" s="92"/>
      <c r="OP68" s="92"/>
      <c r="OQ68" s="92"/>
      <c r="OR68" s="92"/>
      <c r="OS68" s="92"/>
      <c r="OT68" s="92"/>
      <c r="OU68" s="92"/>
      <c r="OV68" s="92"/>
      <c r="OW68" s="92"/>
      <c r="OX68" s="92"/>
      <c r="OY68" s="92"/>
      <c r="OZ68" s="92"/>
      <c r="PA68" s="92"/>
      <c r="PB68" s="92"/>
      <c r="PC68" s="92"/>
      <c r="PD68" s="92"/>
      <c r="PE68" s="92"/>
      <c r="PF68" s="92"/>
      <c r="PG68" s="92"/>
      <c r="PH68" s="92"/>
      <c r="PI68" s="92"/>
      <c r="PJ68" s="92"/>
      <c r="PK68" s="92"/>
      <c r="PL68" s="92"/>
      <c r="PM68" s="92"/>
      <c r="PN68" s="92"/>
      <c r="PO68" s="92"/>
      <c r="PP68" s="92"/>
      <c r="PQ68" s="92"/>
      <c r="PR68" s="92"/>
      <c r="PS68" s="92"/>
      <c r="PT68" s="92"/>
      <c r="PU68" s="92"/>
      <c r="PV68" s="92"/>
      <c r="PW68" s="92"/>
      <c r="PX68" s="92"/>
      <c r="PY68" s="92"/>
      <c r="PZ68" s="92"/>
      <c r="QA68" s="92"/>
      <c r="QB68" s="92"/>
      <c r="QC68" s="92"/>
      <c r="QD68" s="92"/>
      <c r="QE68" s="92"/>
      <c r="QF68" s="92"/>
      <c r="QG68" s="92"/>
      <c r="QH68" s="92"/>
      <c r="QI68" s="92"/>
      <c r="QJ68" s="92"/>
      <c r="QK68" s="92"/>
      <c r="QL68" s="92"/>
      <c r="QM68" s="92"/>
      <c r="QN68" s="92"/>
      <c r="QO68" s="92"/>
    </row>
    <row r="69" spans="2:457">
      <c r="C69" s="644" t="s">
        <v>946</v>
      </c>
      <c r="D69" s="94">
        <f>SUM(D47:D52)</f>
        <v>1245.3447022115167</v>
      </c>
      <c r="E69" s="94">
        <f t="shared" ref="E69:F69" si="45">SUM(E47:E52)</f>
        <v>1.1275404571068952</v>
      </c>
      <c r="F69" s="94">
        <f t="shared" si="45"/>
        <v>25.212201088328904</v>
      </c>
      <c r="G69" s="271">
        <f t="shared" si="42"/>
        <v>1271.6844437569525</v>
      </c>
      <c r="H69" s="94"/>
      <c r="I69" s="94">
        <f>'AggrStep1-energy'!I99</f>
        <v>255.42239699999999</v>
      </c>
      <c r="J69" s="94"/>
      <c r="K69" s="94"/>
      <c r="L69" s="94"/>
      <c r="M69" s="94"/>
      <c r="N69" s="94"/>
      <c r="O69" s="94"/>
      <c r="P69" s="102">
        <f>SUM(G69,I69:O69)</f>
        <v>1527.1068407569526</v>
      </c>
      <c r="Q69" s="92"/>
      <c r="R69" s="92"/>
      <c r="S69" s="92"/>
      <c r="T69" s="278" t="s">
        <v>575</v>
      </c>
      <c r="U69" s="291">
        <v>116</v>
      </c>
      <c r="V69" s="292">
        <f t="shared" ref="V69:V75" si="46">U69*$X$81</f>
        <v>322.22222222222223</v>
      </c>
      <c r="Z69" s="267"/>
      <c r="AA69" s="290"/>
      <c r="AB69" s="267"/>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2"/>
      <c r="FV69" s="92"/>
      <c r="FW69" s="92"/>
      <c r="FX69" s="92"/>
      <c r="FY69" s="92"/>
      <c r="FZ69" s="92"/>
      <c r="GA69" s="92"/>
      <c r="GB69" s="92"/>
      <c r="GC69" s="92"/>
      <c r="GD69" s="92"/>
      <c r="GE69" s="92"/>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2"/>
      <c r="HE69" s="92"/>
      <c r="HF69" s="92"/>
      <c r="HG69" s="92"/>
      <c r="HH69" s="92"/>
      <c r="HI69" s="92"/>
      <c r="HJ69" s="92"/>
      <c r="HK69" s="92"/>
      <c r="HL69" s="92"/>
      <c r="HM69" s="92"/>
      <c r="HN69" s="92"/>
      <c r="HO69" s="92"/>
      <c r="HP69" s="92"/>
      <c r="HQ69" s="92"/>
      <c r="HR69" s="92"/>
      <c r="HS69" s="92"/>
      <c r="HT69" s="92"/>
      <c r="HU69" s="92"/>
      <c r="HV69" s="92"/>
      <c r="HW69" s="92"/>
      <c r="HX69" s="92"/>
      <c r="HY69" s="92"/>
      <c r="HZ69" s="92"/>
      <c r="IA69" s="92"/>
      <c r="IB69" s="92"/>
      <c r="IC69" s="92"/>
      <c r="ID69" s="92"/>
      <c r="IE69" s="92"/>
      <c r="IF69" s="92"/>
      <c r="IG69" s="92"/>
      <c r="IH69" s="92"/>
      <c r="II69" s="92"/>
      <c r="IJ69" s="92"/>
      <c r="IK69" s="92"/>
      <c r="IL69" s="92"/>
      <c r="IM69" s="92"/>
      <c r="IN69" s="92"/>
      <c r="IO69" s="92"/>
      <c r="IP69" s="92"/>
      <c r="IQ69" s="92"/>
      <c r="IR69" s="92"/>
      <c r="IS69" s="92"/>
      <c r="IT69" s="92"/>
      <c r="IU69" s="92"/>
      <c r="IV69" s="92"/>
      <c r="IW69" s="92"/>
      <c r="IX69" s="92"/>
      <c r="IY69" s="92"/>
      <c r="IZ69" s="92"/>
      <c r="JA69" s="92"/>
      <c r="JB69" s="92"/>
      <c r="JC69" s="92"/>
      <c r="JD69" s="92"/>
      <c r="JE69" s="92"/>
      <c r="JF69" s="92"/>
      <c r="JG69" s="92"/>
      <c r="JH69" s="92"/>
      <c r="JI69" s="92"/>
      <c r="JJ69" s="92"/>
      <c r="JK69" s="92"/>
      <c r="JL69" s="92"/>
      <c r="JM69" s="92"/>
      <c r="JN69" s="92"/>
      <c r="JO69" s="92"/>
      <c r="JP69" s="92"/>
      <c r="JQ69" s="92"/>
      <c r="JR69" s="92"/>
      <c r="JS69" s="92"/>
      <c r="JT69" s="92"/>
      <c r="JU69" s="92"/>
      <c r="JV69" s="92"/>
      <c r="JW69" s="92"/>
      <c r="JX69" s="92"/>
      <c r="JY69" s="92"/>
      <c r="JZ69" s="92"/>
      <c r="KA69" s="92"/>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2"/>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2"/>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2"/>
      <c r="MY69" s="92"/>
      <c r="MZ69" s="92"/>
      <c r="NA69" s="92"/>
      <c r="NB69" s="92"/>
      <c r="NC69" s="92"/>
      <c r="ND69" s="92"/>
      <c r="NE69" s="92"/>
      <c r="NF69" s="92"/>
      <c r="NG69" s="92"/>
      <c r="NH69" s="92"/>
      <c r="NI69" s="92"/>
      <c r="NJ69" s="92"/>
      <c r="NK69" s="92"/>
      <c r="NL69" s="92"/>
      <c r="NM69" s="92"/>
      <c r="NN69" s="92"/>
      <c r="NO69" s="92"/>
      <c r="NP69" s="92"/>
      <c r="NQ69" s="92"/>
      <c r="NR69" s="92"/>
      <c r="NS69" s="92"/>
      <c r="NT69" s="92"/>
      <c r="NU69" s="92"/>
      <c r="NV69" s="92"/>
      <c r="NW69" s="92"/>
      <c r="NX69" s="92"/>
      <c r="NY69" s="92"/>
      <c r="NZ69" s="92"/>
      <c r="OA69" s="92"/>
      <c r="OB69" s="92"/>
      <c r="OC69" s="92"/>
      <c r="OD69" s="92"/>
      <c r="OE69" s="92"/>
      <c r="OF69" s="92"/>
      <c r="OG69" s="92"/>
      <c r="OH69" s="92"/>
      <c r="OI69" s="92"/>
      <c r="OJ69" s="92"/>
      <c r="OK69" s="92"/>
      <c r="OL69" s="92"/>
      <c r="OM69" s="92"/>
      <c r="ON69" s="92"/>
      <c r="OO69" s="92"/>
      <c r="OP69" s="92"/>
      <c r="OQ69" s="92"/>
      <c r="OR69" s="92"/>
      <c r="OS69" s="92"/>
      <c r="OT69" s="92"/>
      <c r="OU69" s="92"/>
      <c r="OV69" s="92"/>
      <c r="OW69" s="92"/>
      <c r="OX69" s="92"/>
      <c r="OY69" s="92"/>
      <c r="OZ69" s="92"/>
      <c r="PA69" s="92"/>
      <c r="PB69" s="92"/>
      <c r="PC69" s="92"/>
      <c r="PD69" s="92"/>
      <c r="PE69" s="92"/>
      <c r="PF69" s="92"/>
      <c r="PG69" s="92"/>
      <c r="PH69" s="92"/>
      <c r="PI69" s="92"/>
      <c r="PJ69" s="92"/>
      <c r="PK69" s="92"/>
      <c r="PL69" s="92"/>
      <c r="PM69" s="92"/>
      <c r="PN69" s="92"/>
      <c r="PO69" s="92"/>
      <c r="PP69" s="92"/>
      <c r="PQ69" s="92"/>
      <c r="PR69" s="92"/>
      <c r="PS69" s="92"/>
      <c r="PT69" s="92"/>
      <c r="PU69" s="92"/>
      <c r="PV69" s="92"/>
      <c r="PW69" s="92"/>
      <c r="PX69" s="92"/>
      <c r="PY69" s="92"/>
      <c r="PZ69" s="92"/>
      <c r="QA69" s="92"/>
      <c r="QB69" s="92"/>
      <c r="QC69" s="92"/>
      <c r="QD69" s="92"/>
      <c r="QE69" s="92"/>
      <c r="QF69" s="92"/>
      <c r="QG69" s="92"/>
      <c r="QH69" s="92"/>
      <c r="QI69" s="92"/>
      <c r="QJ69" s="92"/>
      <c r="QK69" s="92"/>
      <c r="QL69" s="92"/>
      <c r="QM69" s="92"/>
      <c r="QN69" s="92"/>
      <c r="QO69" s="92"/>
    </row>
    <row r="70" spans="2:457" ht="15.75">
      <c r="C70" s="66" t="s">
        <v>214</v>
      </c>
      <c r="D70" s="94">
        <f>D53</f>
        <v>69.427137000000002</v>
      </c>
      <c r="E70" s="94">
        <f t="shared" ref="E70:F71" si="47">E53</f>
        <v>11.097</v>
      </c>
      <c r="F70" s="94">
        <f t="shared" si="47"/>
        <v>52.900000000000006</v>
      </c>
      <c r="G70" s="271">
        <f>SUM(D70:F70)</f>
        <v>133.424137</v>
      </c>
      <c r="H70" s="94"/>
      <c r="I70" s="94">
        <f>'AggrStep1-energy'!I97</f>
        <v>0</v>
      </c>
      <c r="J70" s="94"/>
      <c r="K70" s="94"/>
      <c r="L70" s="94"/>
      <c r="M70" s="94"/>
      <c r="N70" s="94"/>
      <c r="O70" s="94"/>
      <c r="P70" s="102">
        <f t="shared" si="44"/>
        <v>133.424137</v>
      </c>
      <c r="Q70" s="92"/>
      <c r="R70" s="92"/>
      <c r="S70" s="92"/>
      <c r="T70" s="278" t="s">
        <v>398</v>
      </c>
      <c r="U70" s="291">
        <v>225.9</v>
      </c>
      <c r="V70" s="292">
        <f t="shared" si="46"/>
        <v>627.5</v>
      </c>
      <c r="Y70" s="288"/>
      <c r="Z70" s="267"/>
      <c r="AA70" s="290"/>
      <c r="AB70" s="267"/>
      <c r="AC70" s="287"/>
      <c r="AD70" s="287"/>
      <c r="AE70" s="92"/>
      <c r="AF70" s="92"/>
      <c r="AG70" s="92"/>
      <c r="AH70" s="92"/>
      <c r="AI70" s="92"/>
      <c r="AJ70" s="92"/>
      <c r="AK70" s="92"/>
      <c r="AL70" s="92"/>
      <c r="AM70" s="92"/>
      <c r="AN70" s="92"/>
      <c r="AO70" s="92"/>
      <c r="AP70" s="92"/>
      <c r="AQ70" s="92"/>
      <c r="AR70" s="92"/>
      <c r="AS70" s="92"/>
      <c r="AT70" s="92"/>
      <c r="AU70" s="92"/>
      <c r="AV70" s="92"/>
      <c r="AW70" s="92"/>
      <c r="AX70" s="92"/>
      <c r="AY70" s="92"/>
      <c r="AZ70" s="92"/>
      <c r="BA70" s="92"/>
      <c r="BB70" s="92"/>
      <c r="BC70" s="92"/>
      <c r="BD70" s="92"/>
      <c r="BE70" s="92"/>
      <c r="BF70" s="92"/>
      <c r="BG70" s="92"/>
      <c r="BH70" s="92"/>
      <c r="BI70" s="92"/>
      <c r="BJ70" s="92"/>
      <c r="BK70" s="92"/>
      <c r="BL70" s="92"/>
      <c r="BM70" s="92"/>
      <c r="BN70" s="92"/>
      <c r="BO70" s="92"/>
      <c r="BP70" s="92"/>
      <c r="BQ70" s="92"/>
      <c r="BR70" s="92"/>
      <c r="BS70" s="92"/>
      <c r="BT70" s="92"/>
      <c r="BU70" s="92"/>
      <c r="BV70" s="92"/>
      <c r="BW70" s="92"/>
      <c r="BX70" s="92"/>
      <c r="BY70" s="92"/>
      <c r="BZ70" s="92"/>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2"/>
      <c r="CZ70" s="92"/>
      <c r="DA70" s="92"/>
      <c r="DB70" s="92"/>
      <c r="DC70" s="92"/>
      <c r="DD70" s="92"/>
      <c r="DE70" s="92"/>
      <c r="DF70" s="92"/>
      <c r="DG70" s="92"/>
      <c r="DH70" s="92"/>
      <c r="DI70" s="92"/>
      <c r="DJ70" s="92"/>
      <c r="DK70" s="92"/>
      <c r="DL70" s="92"/>
      <c r="DM70" s="92"/>
      <c r="DN70" s="92"/>
      <c r="DO70" s="92"/>
      <c r="DP70" s="92"/>
      <c r="DQ70" s="92"/>
      <c r="DR70" s="92"/>
      <c r="DS70" s="92"/>
      <c r="DT70" s="92"/>
      <c r="DU70" s="92"/>
      <c r="DV70" s="92"/>
      <c r="DW70" s="92"/>
      <c r="DX70" s="92"/>
      <c r="DY70" s="92"/>
      <c r="DZ70" s="92"/>
      <c r="EA70" s="92"/>
      <c r="EB70" s="92"/>
      <c r="EC70" s="92"/>
      <c r="ED70" s="92"/>
      <c r="EE70" s="92"/>
      <c r="EF70" s="92"/>
      <c r="EG70" s="92"/>
      <c r="EH70" s="92"/>
      <c r="EI70" s="92"/>
      <c r="EJ70" s="92"/>
      <c r="EK70" s="92"/>
      <c r="EL70" s="92"/>
      <c r="EM70" s="92"/>
      <c r="EN70" s="92"/>
      <c r="EO70" s="92"/>
      <c r="EP70" s="92"/>
      <c r="EQ70" s="92"/>
      <c r="ER70" s="92"/>
      <c r="ES70" s="92"/>
      <c r="ET70" s="92"/>
      <c r="EU70" s="92"/>
      <c r="EV70" s="92"/>
      <c r="EW70" s="92"/>
      <c r="EX70" s="92"/>
      <c r="EY70" s="92"/>
      <c r="EZ70" s="92"/>
      <c r="FA70" s="92"/>
      <c r="FB70" s="92"/>
      <c r="FC70" s="92"/>
      <c r="FD70" s="92"/>
      <c r="FE70" s="92"/>
      <c r="FF70" s="92"/>
      <c r="FG70" s="92"/>
      <c r="FH70" s="92"/>
      <c r="FI70" s="92"/>
      <c r="FJ70" s="92"/>
      <c r="FK70" s="92"/>
      <c r="FL70" s="92"/>
      <c r="FM70" s="92"/>
      <c r="FN70" s="92"/>
      <c r="FO70" s="92"/>
      <c r="FP70" s="92"/>
      <c r="FQ70" s="92"/>
      <c r="FR70" s="92"/>
      <c r="FS70" s="92"/>
      <c r="FT70" s="92"/>
      <c r="FU70" s="92"/>
      <c r="FV70" s="92"/>
      <c r="FW70" s="92"/>
      <c r="FX70" s="92"/>
      <c r="FY70" s="92"/>
      <c r="FZ70" s="92"/>
      <c r="GA70" s="92"/>
      <c r="GB70" s="92"/>
      <c r="GC70" s="92"/>
      <c r="GD70" s="92"/>
      <c r="GE70" s="92"/>
      <c r="GF70" s="92"/>
      <c r="GG70" s="92"/>
      <c r="GH70" s="92"/>
      <c r="GI70" s="92"/>
      <c r="GJ70" s="92"/>
      <c r="GK70" s="92"/>
      <c r="GL70" s="92"/>
      <c r="GM70" s="92"/>
      <c r="GN70" s="92"/>
      <c r="GO70" s="92"/>
      <c r="GP70" s="92"/>
      <c r="GQ70" s="92"/>
      <c r="GR70" s="92"/>
      <c r="GS70" s="92"/>
      <c r="GT70" s="92"/>
      <c r="GU70" s="92"/>
      <c r="GV70" s="92"/>
      <c r="GW70" s="92"/>
      <c r="GX70" s="92"/>
      <c r="GY70" s="92"/>
      <c r="GZ70" s="92"/>
      <c r="HA70" s="92"/>
      <c r="HB70" s="92"/>
      <c r="HC70" s="92"/>
      <c r="HD70" s="92"/>
      <c r="HE70" s="92"/>
      <c r="HF70" s="92"/>
      <c r="HG70" s="92"/>
      <c r="HH70" s="92"/>
      <c r="HI70" s="92"/>
      <c r="HJ70" s="92"/>
      <c r="HK70" s="92"/>
      <c r="HL70" s="92"/>
      <c r="HM70" s="92"/>
      <c r="HN70" s="92"/>
      <c r="HO70" s="92"/>
      <c r="HP70" s="92"/>
      <c r="HQ70" s="92"/>
      <c r="HR70" s="92"/>
      <c r="HS70" s="92"/>
      <c r="HT70" s="92"/>
      <c r="HU70" s="92"/>
      <c r="HV70" s="92"/>
      <c r="HW70" s="92"/>
      <c r="HX70" s="92"/>
      <c r="HY70" s="92"/>
      <c r="HZ70" s="92"/>
      <c r="IA70" s="92"/>
      <c r="IB70" s="92"/>
      <c r="IC70" s="92"/>
      <c r="ID70" s="92"/>
      <c r="IE70" s="92"/>
      <c r="IF70" s="92"/>
      <c r="IG70" s="92"/>
      <c r="IH70" s="92"/>
      <c r="II70" s="92"/>
      <c r="IJ70" s="92"/>
      <c r="IK70" s="92"/>
      <c r="IL70" s="92"/>
      <c r="IM70" s="92"/>
      <c r="IN70" s="92"/>
      <c r="IO70" s="92"/>
      <c r="IP70" s="92"/>
      <c r="IQ70" s="92"/>
      <c r="IR70" s="92"/>
      <c r="IS70" s="92"/>
      <c r="IT70" s="92"/>
      <c r="IU70" s="92"/>
      <c r="IV70" s="92"/>
      <c r="IW70" s="92"/>
      <c r="IX70" s="92"/>
      <c r="IY70" s="92"/>
      <c r="IZ70" s="92"/>
      <c r="JA70" s="92"/>
      <c r="JB70" s="92"/>
      <c r="JC70" s="92"/>
      <c r="JD70" s="92"/>
      <c r="JE70" s="92"/>
      <c r="JF70" s="92"/>
      <c r="JG70" s="92"/>
      <c r="JH70" s="92"/>
      <c r="JI70" s="92"/>
      <c r="JJ70" s="92"/>
      <c r="JK70" s="92"/>
      <c r="JL70" s="92"/>
      <c r="JM70" s="92"/>
      <c r="JN70" s="92"/>
      <c r="JO70" s="92"/>
      <c r="JP70" s="92"/>
      <c r="JQ70" s="92"/>
      <c r="JR70" s="92"/>
      <c r="JS70" s="92"/>
      <c r="JT70" s="92"/>
      <c r="JU70" s="92"/>
      <c r="JV70" s="92"/>
      <c r="JW70" s="92"/>
      <c r="JX70" s="92"/>
      <c r="JY70" s="92"/>
      <c r="JZ70" s="92"/>
      <c r="KA70" s="92"/>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2"/>
      <c r="LA70" s="92"/>
      <c r="LB70" s="92"/>
      <c r="LC70" s="92"/>
      <c r="LD70" s="92"/>
      <c r="LE70" s="92"/>
      <c r="LF70" s="92"/>
      <c r="LG70" s="92"/>
      <c r="LH70" s="92"/>
      <c r="LI70" s="92"/>
      <c r="LJ70" s="92"/>
      <c r="LK70" s="92"/>
      <c r="LL70" s="92"/>
      <c r="LM70" s="92"/>
      <c r="LN70" s="92"/>
      <c r="LO70" s="92"/>
      <c r="LP70" s="92"/>
      <c r="LQ70" s="92"/>
      <c r="LR70" s="92"/>
      <c r="LS70" s="92"/>
      <c r="LT70" s="92"/>
      <c r="LU70" s="92"/>
      <c r="LV70" s="92"/>
      <c r="LW70" s="92"/>
      <c r="LX70" s="92"/>
      <c r="LY70" s="92"/>
      <c r="LZ70" s="92"/>
      <c r="MA70" s="92"/>
      <c r="MB70" s="92"/>
      <c r="MC70" s="92"/>
      <c r="MD70" s="92"/>
      <c r="ME70" s="92"/>
      <c r="MF70" s="92"/>
      <c r="MG70" s="92"/>
      <c r="MH70" s="92"/>
      <c r="MI70" s="92"/>
      <c r="MJ70" s="92"/>
      <c r="MK70" s="92"/>
      <c r="ML70" s="92"/>
      <c r="MM70" s="92"/>
      <c r="MN70" s="92"/>
      <c r="MO70" s="92"/>
      <c r="MP70" s="92"/>
      <c r="MQ70" s="92"/>
      <c r="MR70" s="92"/>
      <c r="MS70" s="92"/>
      <c r="MT70" s="92"/>
      <c r="MU70" s="92"/>
      <c r="MV70" s="92"/>
      <c r="MW70" s="92"/>
      <c r="MX70" s="92"/>
      <c r="MY70" s="92"/>
      <c r="MZ70" s="92"/>
      <c r="NA70" s="92"/>
      <c r="NB70" s="92"/>
      <c r="NC70" s="92"/>
      <c r="ND70" s="92"/>
      <c r="NE70" s="92"/>
      <c r="NF70" s="92"/>
      <c r="NG70" s="92"/>
      <c r="NH70" s="92"/>
      <c r="NI70" s="92"/>
      <c r="NJ70" s="92"/>
      <c r="NK70" s="92"/>
      <c r="NL70" s="92"/>
      <c r="NM70" s="92"/>
      <c r="NN70" s="92"/>
      <c r="NO70" s="92"/>
      <c r="NP70" s="92"/>
      <c r="NQ70" s="92"/>
      <c r="NR70" s="92"/>
      <c r="NS70" s="92"/>
      <c r="NT70" s="92"/>
      <c r="NU70" s="92"/>
      <c r="NV70" s="92"/>
      <c r="NW70" s="92"/>
      <c r="NX70" s="92"/>
      <c r="NY70" s="92"/>
      <c r="NZ70" s="92"/>
      <c r="OA70" s="92"/>
      <c r="OB70" s="92"/>
      <c r="OC70" s="92"/>
      <c r="OD70" s="92"/>
      <c r="OE70" s="92"/>
      <c r="OF70" s="92"/>
      <c r="OG70" s="92"/>
      <c r="OH70" s="92"/>
      <c r="OI70" s="92"/>
      <c r="OJ70" s="92"/>
      <c r="OK70" s="92"/>
      <c r="OL70" s="92"/>
      <c r="OM70" s="92"/>
      <c r="ON70" s="92"/>
      <c r="OO70" s="92"/>
      <c r="OP70" s="92"/>
      <c r="OQ70" s="92"/>
      <c r="OR70" s="92"/>
      <c r="OS70" s="92"/>
      <c r="OT70" s="92"/>
      <c r="OU70" s="92"/>
      <c r="OV70" s="92"/>
      <c r="OW70" s="92"/>
      <c r="OX70" s="92"/>
      <c r="OY70" s="92"/>
      <c r="OZ70" s="92"/>
      <c r="PA70" s="92"/>
      <c r="PB70" s="92"/>
      <c r="PC70" s="92"/>
      <c r="PD70" s="92"/>
      <c r="PE70" s="92"/>
      <c r="PF70" s="92"/>
      <c r="PG70" s="92"/>
      <c r="PH70" s="92"/>
      <c r="PI70" s="92"/>
      <c r="PJ70" s="92"/>
      <c r="PK70" s="92"/>
      <c r="PL70" s="92"/>
      <c r="PM70" s="92"/>
      <c r="PN70" s="92"/>
      <c r="PO70" s="92"/>
      <c r="PP70" s="92"/>
      <c r="PQ70" s="92"/>
      <c r="PR70" s="92"/>
      <c r="PS70" s="92"/>
      <c r="PT70" s="92"/>
      <c r="PU70" s="92"/>
      <c r="PV70" s="92"/>
      <c r="PW70" s="92"/>
      <c r="PX70" s="92"/>
      <c r="PY70" s="92"/>
      <c r="PZ70" s="92"/>
      <c r="QA70" s="92"/>
      <c r="QB70" s="92"/>
      <c r="QC70" s="92"/>
      <c r="QD70" s="92"/>
      <c r="QE70" s="92"/>
      <c r="QF70" s="92"/>
      <c r="QG70" s="92"/>
      <c r="QH70" s="92"/>
      <c r="QI70" s="92"/>
      <c r="QJ70" s="92"/>
      <c r="QK70" s="92"/>
      <c r="QL70" s="92"/>
      <c r="QM70" s="92"/>
      <c r="QN70" s="92"/>
      <c r="QO70" s="92"/>
    </row>
    <row r="71" spans="2:457" ht="15.75">
      <c r="C71" s="66" t="s">
        <v>215</v>
      </c>
      <c r="D71" s="94">
        <f>D54</f>
        <v>13.57178738301335</v>
      </c>
      <c r="E71" s="94">
        <f t="shared" si="47"/>
        <v>0</v>
      </c>
      <c r="F71" s="94">
        <f t="shared" si="47"/>
        <v>33.427</v>
      </c>
      <c r="G71" s="271">
        <f t="shared" ref="G71:G72" si="48">SUM(D71:F71)</f>
        <v>46.998787383013351</v>
      </c>
      <c r="H71" s="94"/>
      <c r="I71" s="94">
        <f>'AggrStep1-energy'!I98</f>
        <v>0</v>
      </c>
      <c r="J71" s="94"/>
      <c r="K71" s="94"/>
      <c r="L71" s="94"/>
      <c r="M71" s="94"/>
      <c r="N71" s="94"/>
      <c r="O71" s="94"/>
      <c r="P71" s="102">
        <f t="shared" si="44"/>
        <v>46.998787383013351</v>
      </c>
      <c r="Q71" s="92"/>
      <c r="R71" s="92"/>
      <c r="S71" s="92"/>
      <c r="T71" s="278" t="s">
        <v>576</v>
      </c>
      <c r="U71" s="291">
        <v>294.60000000000002</v>
      </c>
      <c r="V71" s="292">
        <f t="shared" si="46"/>
        <v>818.33333333333337</v>
      </c>
      <c r="Z71" s="267"/>
      <c r="AA71" s="290"/>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2"/>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2"/>
      <c r="CZ71" s="92"/>
      <c r="DA71" s="92"/>
      <c r="DB71" s="92"/>
      <c r="DC71" s="92"/>
      <c r="DD71" s="92"/>
      <c r="DE71" s="92"/>
      <c r="DF71" s="92"/>
      <c r="DG71" s="92"/>
      <c r="DH71" s="92"/>
      <c r="DI71" s="92"/>
      <c r="DJ71" s="92"/>
      <c r="DK71" s="92"/>
      <c r="DL71" s="92"/>
      <c r="DM71" s="92"/>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92"/>
      <c r="EL71" s="92"/>
      <c r="EM71" s="92"/>
      <c r="EN71" s="92"/>
      <c r="EO71" s="92"/>
      <c r="EP71" s="92"/>
      <c r="EQ71" s="92"/>
      <c r="ER71" s="92"/>
      <c r="ES71" s="92"/>
      <c r="ET71" s="92"/>
      <c r="EU71" s="92"/>
      <c r="EV71" s="92"/>
      <c r="EW71" s="92"/>
      <c r="EX71" s="92"/>
      <c r="EY71" s="92"/>
      <c r="EZ71" s="92"/>
      <c r="FA71" s="92"/>
      <c r="FB71" s="92"/>
      <c r="FC71" s="92"/>
      <c r="FD71" s="92"/>
      <c r="FE71" s="92"/>
      <c r="FF71" s="92"/>
      <c r="FG71" s="92"/>
      <c r="FH71" s="92"/>
      <c r="FI71" s="92"/>
      <c r="FJ71" s="92"/>
      <c r="FK71" s="92"/>
      <c r="FL71" s="92"/>
      <c r="FM71" s="92"/>
      <c r="FN71" s="92"/>
      <c r="FO71" s="92"/>
      <c r="FP71" s="92"/>
      <c r="FQ71" s="92"/>
      <c r="FR71" s="92"/>
      <c r="FS71" s="92"/>
      <c r="FT71" s="92"/>
      <c r="FU71" s="92"/>
      <c r="FV71" s="92"/>
      <c r="FW71" s="92"/>
      <c r="FX71" s="92"/>
      <c r="FY71" s="92"/>
      <c r="FZ71" s="92"/>
      <c r="GA71" s="92"/>
      <c r="GB71" s="92"/>
      <c r="GC71" s="92"/>
      <c r="GD71" s="92"/>
      <c r="GE71" s="92"/>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2"/>
      <c r="HE71" s="92"/>
      <c r="HF71" s="92"/>
      <c r="HG71" s="92"/>
      <c r="HH71" s="92"/>
      <c r="HI71" s="92"/>
      <c r="HJ71" s="92"/>
      <c r="HK71" s="92"/>
      <c r="HL71" s="92"/>
      <c r="HM71" s="92"/>
      <c r="HN71" s="92"/>
      <c r="HO71" s="92"/>
      <c r="HP71" s="92"/>
      <c r="HQ71" s="92"/>
      <c r="HR71" s="92"/>
      <c r="HS71" s="92"/>
      <c r="HT71" s="92"/>
      <c r="HU71" s="92"/>
      <c r="HV71" s="92"/>
      <c r="HW71" s="92"/>
      <c r="HX71" s="92"/>
      <c r="HY71" s="92"/>
      <c r="HZ71" s="92"/>
      <c r="IA71" s="92"/>
      <c r="IB71" s="92"/>
      <c r="IC71" s="92"/>
      <c r="ID71" s="92"/>
      <c r="IE71" s="92"/>
      <c r="IF71" s="92"/>
      <c r="IG71" s="92"/>
      <c r="IH71" s="92"/>
      <c r="II71" s="92"/>
      <c r="IJ71" s="92"/>
      <c r="IK71" s="92"/>
      <c r="IL71" s="92"/>
      <c r="IM71" s="92"/>
      <c r="IN71" s="92"/>
      <c r="IO71" s="92"/>
      <c r="IP71" s="92"/>
      <c r="IQ71" s="92"/>
      <c r="IR71" s="92"/>
      <c r="IS71" s="92"/>
      <c r="IT71" s="92"/>
      <c r="IU71" s="92"/>
      <c r="IV71" s="92"/>
      <c r="IW71" s="92"/>
      <c r="IX71" s="92"/>
      <c r="IY71" s="92"/>
      <c r="IZ71" s="92"/>
      <c r="JA71" s="92"/>
      <c r="JB71" s="92"/>
      <c r="JC71" s="92"/>
      <c r="JD71" s="92"/>
      <c r="JE71" s="92"/>
      <c r="JF71" s="92"/>
      <c r="JG71" s="92"/>
      <c r="JH71" s="92"/>
      <c r="JI71" s="92"/>
      <c r="JJ71" s="92"/>
      <c r="JK71" s="92"/>
      <c r="JL71" s="92"/>
      <c r="JM71" s="92"/>
      <c r="JN71" s="92"/>
      <c r="JO71" s="92"/>
      <c r="JP71" s="92"/>
      <c r="JQ71" s="92"/>
      <c r="JR71" s="92"/>
      <c r="JS71" s="92"/>
      <c r="JT71" s="92"/>
      <c r="JU71" s="92"/>
      <c r="JV71" s="92"/>
      <c r="JW71" s="92"/>
      <c r="JX71" s="92"/>
      <c r="JY71" s="92"/>
      <c r="JZ71" s="92"/>
      <c r="KA71" s="92"/>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2"/>
      <c r="LA71" s="92"/>
      <c r="LB71" s="92"/>
      <c r="LC71" s="92"/>
      <c r="LD71" s="92"/>
      <c r="LE71" s="92"/>
      <c r="LF71" s="92"/>
      <c r="LG71" s="92"/>
      <c r="LH71" s="92"/>
      <c r="LI71" s="92"/>
      <c r="LJ71" s="92"/>
      <c r="LK71" s="92"/>
      <c r="LL71" s="92"/>
      <c r="LM71" s="92"/>
      <c r="LN71" s="92"/>
      <c r="LO71" s="92"/>
      <c r="LP71" s="92"/>
      <c r="LQ71" s="92"/>
      <c r="LR71" s="92"/>
      <c r="LS71" s="92"/>
      <c r="LT71" s="92"/>
      <c r="LU71" s="92"/>
      <c r="LV71" s="92"/>
      <c r="LW71" s="92"/>
      <c r="LX71" s="92"/>
      <c r="LY71" s="92"/>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2"/>
      <c r="MY71" s="92"/>
      <c r="MZ71" s="92"/>
      <c r="NA71" s="92"/>
      <c r="NB71" s="92"/>
      <c r="NC71" s="92"/>
      <c r="ND71" s="92"/>
      <c r="NE71" s="92"/>
      <c r="NF71" s="92"/>
      <c r="NG71" s="92"/>
      <c r="NH71" s="92"/>
      <c r="NI71" s="92"/>
      <c r="NJ71" s="92"/>
      <c r="NK71" s="92"/>
      <c r="NL71" s="92"/>
      <c r="NM71" s="92"/>
      <c r="NN71" s="92"/>
      <c r="NO71" s="92"/>
      <c r="NP71" s="92"/>
      <c r="NQ71" s="92"/>
      <c r="NR71" s="92"/>
      <c r="NS71" s="92"/>
      <c r="NT71" s="92"/>
      <c r="NU71" s="92"/>
      <c r="NV71" s="92"/>
      <c r="NW71" s="92"/>
      <c r="NX71" s="92"/>
      <c r="NY71" s="92"/>
      <c r="NZ71" s="92"/>
      <c r="OA71" s="92"/>
      <c r="OB71" s="92"/>
      <c r="OC71" s="92"/>
      <c r="OD71" s="92"/>
      <c r="OE71" s="92"/>
      <c r="OF71" s="92"/>
      <c r="OG71" s="92"/>
      <c r="OH71" s="92"/>
      <c r="OI71" s="92"/>
      <c r="OJ71" s="92"/>
      <c r="OK71" s="92"/>
      <c r="OL71" s="92"/>
      <c r="OM71" s="92"/>
      <c r="ON71" s="92"/>
      <c r="OO71" s="92"/>
      <c r="OP71" s="92"/>
      <c r="OQ71" s="92"/>
      <c r="OR71" s="92"/>
      <c r="OS71" s="92"/>
      <c r="OT71" s="92"/>
      <c r="OU71" s="92"/>
      <c r="OV71" s="92"/>
      <c r="OW71" s="92"/>
      <c r="OX71" s="92"/>
      <c r="OY71" s="92"/>
      <c r="OZ71" s="92"/>
      <c r="PA71" s="92"/>
      <c r="PB71" s="92"/>
      <c r="PC71" s="92"/>
      <c r="PD71" s="92"/>
      <c r="PE71" s="92"/>
      <c r="PF71" s="92"/>
      <c r="PG71" s="92"/>
      <c r="PH71" s="92"/>
      <c r="PI71" s="92"/>
      <c r="PJ71" s="92"/>
      <c r="PK71" s="92"/>
      <c r="PL71" s="92"/>
      <c r="PM71" s="92"/>
      <c r="PN71" s="92"/>
      <c r="PO71" s="92"/>
      <c r="PP71" s="92"/>
      <c r="PQ71" s="92"/>
      <c r="PR71" s="92"/>
      <c r="PS71" s="92"/>
      <c r="PT71" s="92"/>
      <c r="PU71" s="92"/>
      <c r="PV71" s="92"/>
      <c r="PW71" s="92"/>
      <c r="PX71" s="92"/>
      <c r="PY71" s="92"/>
      <c r="PZ71" s="92"/>
      <c r="QA71" s="92"/>
      <c r="QB71" s="92"/>
      <c r="QC71" s="92"/>
      <c r="QD71" s="92"/>
      <c r="QE71" s="92"/>
      <c r="QF71" s="92"/>
      <c r="QG71" s="92"/>
      <c r="QH71" s="92"/>
      <c r="QI71" s="92"/>
      <c r="QJ71" s="92"/>
      <c r="QK71" s="92"/>
      <c r="QL71" s="92"/>
      <c r="QM71" s="92"/>
      <c r="QN71" s="92"/>
      <c r="QO71" s="92"/>
    </row>
    <row r="72" spans="2:457">
      <c r="C72" s="637" t="s">
        <v>543</v>
      </c>
      <c r="D72" s="94">
        <f>D60</f>
        <v>1269.6992751605353</v>
      </c>
      <c r="E72" s="94">
        <f t="shared" ref="E72:F72" si="49">E60</f>
        <v>33.802999999999997</v>
      </c>
      <c r="F72" s="94">
        <f t="shared" si="49"/>
        <v>195.17500000000001</v>
      </c>
      <c r="G72" s="271">
        <f t="shared" si="48"/>
        <v>1498.6772751605351</v>
      </c>
      <c r="Q72" s="92"/>
      <c r="R72" s="92"/>
      <c r="S72" s="92"/>
      <c r="T72" s="278" t="s">
        <v>577</v>
      </c>
      <c r="U72" s="291">
        <v>53.7</v>
      </c>
      <c r="V72" s="292">
        <f t="shared" si="46"/>
        <v>149.16666666666666</v>
      </c>
      <c r="Z72" s="267"/>
      <c r="AA72" s="290"/>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92"/>
      <c r="FC72" s="92"/>
      <c r="FD72" s="92"/>
      <c r="FE72" s="92"/>
      <c r="FF72" s="92"/>
      <c r="FG72" s="92"/>
      <c r="FH72" s="92"/>
      <c r="FI72" s="92"/>
      <c r="FJ72" s="92"/>
      <c r="FK72" s="92"/>
      <c r="FL72" s="92"/>
      <c r="FM72" s="92"/>
      <c r="FN72" s="92"/>
      <c r="FO72" s="92"/>
      <c r="FP72" s="92"/>
      <c r="FQ72" s="92"/>
      <c r="FR72" s="92"/>
      <c r="FS72" s="92"/>
      <c r="FT72" s="92"/>
      <c r="FU72" s="92"/>
      <c r="FV72" s="92"/>
      <c r="FW72" s="92"/>
      <c r="FX72" s="92"/>
      <c r="FY72" s="92"/>
      <c r="FZ72" s="92"/>
      <c r="GA72" s="92"/>
      <c r="GB72" s="92"/>
      <c r="GC72" s="92"/>
      <c r="GD72" s="92"/>
      <c r="GE72" s="92"/>
      <c r="GF72" s="92"/>
      <c r="GG72" s="92"/>
      <c r="GH72" s="92"/>
      <c r="GI72" s="92"/>
      <c r="GJ72" s="92"/>
      <c r="GK72" s="92"/>
      <c r="GL72" s="92"/>
      <c r="GM72" s="92"/>
      <c r="GN72" s="92"/>
      <c r="GO72" s="92"/>
      <c r="GP72" s="92"/>
      <c r="GQ72" s="92"/>
      <c r="GR72" s="92"/>
      <c r="GS72" s="92"/>
      <c r="GT72" s="92"/>
      <c r="GU72" s="92"/>
      <c r="GV72" s="92"/>
      <c r="GW72" s="92"/>
      <c r="GX72" s="92"/>
      <c r="GY72" s="92"/>
      <c r="GZ72" s="92"/>
      <c r="HA72" s="92"/>
      <c r="HB72" s="92"/>
      <c r="HC72" s="92"/>
      <c r="HD72" s="92"/>
      <c r="HE72" s="92"/>
      <c r="HF72" s="92"/>
      <c r="HG72" s="92"/>
      <c r="HH72" s="92"/>
      <c r="HI72" s="92"/>
      <c r="HJ72" s="92"/>
      <c r="HK72" s="92"/>
      <c r="HL72" s="92"/>
      <c r="HM72" s="92"/>
      <c r="HN72" s="92"/>
      <c r="HO72" s="92"/>
      <c r="HP72" s="92"/>
      <c r="HQ72" s="92"/>
      <c r="HR72" s="92"/>
      <c r="HS72" s="92"/>
      <c r="HT72" s="92"/>
      <c r="HU72" s="92"/>
      <c r="HV72" s="92"/>
      <c r="HW72" s="92"/>
      <c r="HX72" s="92"/>
      <c r="HY72" s="92"/>
      <c r="HZ72" s="92"/>
      <c r="IA72" s="92"/>
      <c r="IB72" s="92"/>
      <c r="IC72" s="92"/>
      <c r="ID72" s="92"/>
      <c r="IE72" s="92"/>
      <c r="IF72" s="92"/>
      <c r="IG72" s="92"/>
      <c r="IH72" s="92"/>
      <c r="II72" s="92"/>
      <c r="IJ72" s="92"/>
      <c r="IK72" s="92"/>
      <c r="IL72" s="92"/>
      <c r="IM72" s="92"/>
      <c r="IN72" s="92"/>
      <c r="IO72" s="92"/>
      <c r="IP72" s="92"/>
      <c r="IQ72" s="92"/>
      <c r="IR72" s="92"/>
      <c r="IS72" s="92"/>
      <c r="IT72" s="92"/>
      <c r="IU72" s="92"/>
      <c r="IV72" s="92"/>
      <c r="IW72" s="92"/>
      <c r="IX72" s="92"/>
      <c r="IY72" s="92"/>
      <c r="IZ72" s="92"/>
      <c r="JA72" s="92"/>
      <c r="JB72" s="92"/>
      <c r="JC72" s="92"/>
      <c r="JD72" s="92"/>
      <c r="JE72" s="92"/>
      <c r="JF72" s="92"/>
      <c r="JG72" s="92"/>
      <c r="JH72" s="92"/>
      <c r="JI72" s="92"/>
      <c r="JJ72" s="92"/>
      <c r="JK72" s="92"/>
      <c r="JL72" s="92"/>
      <c r="JM72" s="92"/>
      <c r="JN72" s="92"/>
      <c r="JO72" s="92"/>
      <c r="JP72" s="92"/>
      <c r="JQ72" s="92"/>
      <c r="JR72" s="92"/>
      <c r="JS72" s="92"/>
      <c r="JT72" s="92"/>
      <c r="JU72" s="92"/>
      <c r="JV72" s="92"/>
      <c r="JW72" s="92"/>
      <c r="JX72" s="92"/>
      <c r="JY72" s="92"/>
      <c r="JZ72" s="92"/>
      <c r="KA72" s="92"/>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2"/>
      <c r="LA72" s="92"/>
      <c r="LB72" s="92"/>
      <c r="LC72" s="92"/>
      <c r="LD72" s="92"/>
      <c r="LE72" s="92"/>
      <c r="LF72" s="92"/>
      <c r="LG72" s="92"/>
      <c r="LH72" s="92"/>
      <c r="LI72" s="92"/>
      <c r="LJ72" s="92"/>
      <c r="LK72" s="92"/>
      <c r="LL72" s="92"/>
      <c r="LM72" s="92"/>
      <c r="LN72" s="92"/>
      <c r="LO72" s="92"/>
      <c r="LP72" s="92"/>
      <c r="LQ72" s="92"/>
      <c r="LR72" s="92"/>
      <c r="LS72" s="92"/>
      <c r="LT72" s="92"/>
      <c r="LU72" s="92"/>
      <c r="LV72" s="92"/>
      <c r="LW72" s="92"/>
      <c r="LX72" s="92"/>
      <c r="LY72" s="92"/>
      <c r="LZ72" s="92"/>
      <c r="MA72" s="92"/>
      <c r="MB72" s="92"/>
      <c r="MC72" s="92"/>
      <c r="MD72" s="92"/>
      <c r="ME72" s="92"/>
      <c r="MF72" s="92"/>
      <c r="MG72" s="92"/>
      <c r="MH72" s="92"/>
      <c r="MI72" s="92"/>
      <c r="MJ72" s="92"/>
      <c r="MK72" s="92"/>
      <c r="ML72" s="92"/>
      <c r="MM72" s="92"/>
      <c r="MN72" s="92"/>
      <c r="MO72" s="92"/>
      <c r="MP72" s="92"/>
      <c r="MQ72" s="92"/>
      <c r="MR72" s="92"/>
      <c r="MS72" s="92"/>
      <c r="MT72" s="92"/>
      <c r="MU72" s="92"/>
      <c r="MV72" s="92"/>
      <c r="MW72" s="92"/>
      <c r="MX72" s="92"/>
      <c r="MY72" s="92"/>
      <c r="MZ72" s="92"/>
      <c r="NA72" s="92"/>
      <c r="NB72" s="92"/>
      <c r="NC72" s="92"/>
      <c r="ND72" s="92"/>
      <c r="NE72" s="92"/>
      <c r="NF72" s="92"/>
      <c r="NG72" s="92"/>
      <c r="NH72" s="92"/>
      <c r="NI72" s="92"/>
      <c r="NJ72" s="92"/>
      <c r="NK72" s="92"/>
      <c r="NL72" s="92"/>
      <c r="NM72" s="92"/>
      <c r="NN72" s="92"/>
      <c r="NO72" s="92"/>
      <c r="NP72" s="92"/>
      <c r="NQ72" s="92"/>
      <c r="NR72" s="92"/>
      <c r="NS72" s="92"/>
      <c r="NT72" s="92"/>
      <c r="NU72" s="92"/>
      <c r="NV72" s="92"/>
      <c r="NW72" s="92"/>
      <c r="NX72" s="92"/>
      <c r="NY72" s="92"/>
      <c r="NZ72" s="92"/>
      <c r="OA72" s="92"/>
      <c r="OB72" s="92"/>
      <c r="OC72" s="92"/>
      <c r="OD72" s="92"/>
      <c r="OE72" s="92"/>
      <c r="OF72" s="92"/>
      <c r="OG72" s="92"/>
      <c r="OH72" s="92"/>
      <c r="OI72" s="92"/>
      <c r="OJ72" s="92"/>
      <c r="OK72" s="92"/>
      <c r="OL72" s="92"/>
      <c r="OM72" s="92"/>
      <c r="ON72" s="92"/>
      <c r="OO72" s="92"/>
      <c r="OP72" s="92"/>
      <c r="OQ72" s="92"/>
      <c r="OR72" s="92"/>
      <c r="OS72" s="92"/>
      <c r="OT72" s="92"/>
      <c r="OU72" s="92"/>
      <c r="OV72" s="92"/>
      <c r="OW72" s="92"/>
      <c r="OX72" s="92"/>
      <c r="OY72" s="92"/>
      <c r="OZ72" s="92"/>
      <c r="PA72" s="92"/>
      <c r="PB72" s="92"/>
      <c r="PC72" s="92"/>
      <c r="PD72" s="92"/>
      <c r="PE72" s="92"/>
      <c r="PF72" s="92"/>
      <c r="PG72" s="92"/>
      <c r="PH72" s="92"/>
      <c r="PI72" s="92"/>
      <c r="PJ72" s="92"/>
      <c r="PK72" s="92"/>
      <c r="PL72" s="92"/>
      <c r="PM72" s="92"/>
      <c r="PN72" s="92"/>
      <c r="PO72" s="92"/>
      <c r="PP72" s="92"/>
      <c r="PQ72" s="92"/>
      <c r="PR72" s="92"/>
      <c r="PS72" s="92"/>
      <c r="PT72" s="92"/>
      <c r="PU72" s="92"/>
      <c r="PV72" s="92"/>
      <c r="PW72" s="92"/>
      <c r="PX72" s="92"/>
      <c r="PY72" s="92"/>
      <c r="PZ72" s="92"/>
      <c r="QA72" s="92"/>
      <c r="QB72" s="92"/>
      <c r="QC72" s="92"/>
      <c r="QD72" s="92"/>
      <c r="QE72" s="92"/>
      <c r="QF72" s="92"/>
      <c r="QG72" s="92"/>
      <c r="QH72" s="92"/>
      <c r="QI72" s="92"/>
      <c r="QJ72" s="92"/>
      <c r="QK72" s="92"/>
      <c r="QL72" s="92"/>
      <c r="QM72" s="92"/>
      <c r="QN72" s="92"/>
      <c r="QO72" s="92"/>
    </row>
    <row r="73" spans="2:457">
      <c r="C73" s="51" t="s">
        <v>583</v>
      </c>
      <c r="D73" s="95">
        <f>SUM(D67:D72)</f>
        <v>3130.6806377550652</v>
      </c>
      <c r="E73" s="95">
        <f t="shared" ref="E73:G73" si="50">SUM(E67:E72)</f>
        <v>640.91515897467434</v>
      </c>
      <c r="F73" s="95">
        <f t="shared" si="50"/>
        <v>874.72620108832893</v>
      </c>
      <c r="G73" s="95">
        <f t="shared" si="50"/>
        <v>4646.3219978180678</v>
      </c>
      <c r="H73" s="94"/>
      <c r="I73" s="95">
        <f t="shared" ref="I73:P73" si="51">SUM(I67:I71)</f>
        <v>319.20483999999999</v>
      </c>
      <c r="J73" s="95">
        <f t="shared" si="51"/>
        <v>0</v>
      </c>
      <c r="K73" s="95">
        <f t="shared" si="51"/>
        <v>0</v>
      </c>
      <c r="L73" s="95">
        <f t="shared" si="51"/>
        <v>0</v>
      </c>
      <c r="M73" s="95">
        <f t="shared" si="51"/>
        <v>0</v>
      </c>
      <c r="N73" s="95">
        <f t="shared" si="51"/>
        <v>0</v>
      </c>
      <c r="O73" s="95">
        <f t="shared" si="51"/>
        <v>0</v>
      </c>
      <c r="P73" s="95">
        <f t="shared" si="51"/>
        <v>3466.8495626575332</v>
      </c>
      <c r="Q73" s="92"/>
      <c r="R73" s="92"/>
      <c r="S73" s="92"/>
      <c r="T73" s="277" t="s">
        <v>578</v>
      </c>
      <c r="U73" s="291">
        <v>155.19999999999999</v>
      </c>
      <c r="V73" s="292">
        <f t="shared" si="46"/>
        <v>431.11111111111109</v>
      </c>
      <c r="AE73" s="92"/>
      <c r="AF73" s="92"/>
      <c r="AG73" s="92"/>
      <c r="AH73" s="92"/>
      <c r="AI73" s="92"/>
      <c r="AJ73" s="92"/>
      <c r="AK73" s="92"/>
      <c r="AL73" s="92"/>
      <c r="AM73" s="92"/>
      <c r="AN73" s="92"/>
      <c r="AO73" s="92"/>
      <c r="AP73" s="92"/>
      <c r="AQ73" s="92"/>
      <c r="AR73" s="92"/>
      <c r="AS73" s="92"/>
      <c r="AT73" s="92"/>
      <c r="AU73" s="92"/>
      <c r="AV73" s="92"/>
      <c r="AW73" s="92"/>
      <c r="AX73" s="92"/>
      <c r="AY73" s="92"/>
      <c r="AZ73" s="92"/>
      <c r="BA73" s="92"/>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2"/>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2"/>
      <c r="CZ73" s="92"/>
      <c r="DA73" s="92"/>
      <c r="DB73" s="92"/>
      <c r="DC73" s="92"/>
      <c r="DD73" s="92"/>
      <c r="DE73" s="92"/>
      <c r="DF73" s="92"/>
      <c r="DG73" s="92"/>
      <c r="DH73" s="92"/>
      <c r="DI73" s="92"/>
      <c r="DJ73" s="92"/>
      <c r="DK73" s="92"/>
      <c r="DL73" s="92"/>
      <c r="DM73" s="92"/>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2"/>
      <c r="EN73" s="92"/>
      <c r="EO73" s="92"/>
      <c r="EP73" s="92"/>
      <c r="EQ73" s="92"/>
      <c r="ER73" s="92"/>
      <c r="ES73" s="92"/>
      <c r="ET73" s="92"/>
      <c r="EU73" s="92"/>
      <c r="EV73" s="92"/>
      <c r="EW73" s="92"/>
      <c r="EX73" s="92"/>
      <c r="EY73" s="92"/>
      <c r="EZ73" s="92"/>
      <c r="FA73" s="92"/>
      <c r="FB73" s="92"/>
      <c r="FC73" s="92"/>
      <c r="FD73" s="92"/>
      <c r="FE73" s="92"/>
      <c r="FF73" s="92"/>
      <c r="FG73" s="92"/>
      <c r="FH73" s="92"/>
      <c r="FI73" s="92"/>
      <c r="FJ73" s="92"/>
      <c r="FK73" s="92"/>
      <c r="FL73" s="92"/>
      <c r="FM73" s="92"/>
      <c r="FN73" s="92"/>
      <c r="FO73" s="92"/>
      <c r="FP73" s="92"/>
      <c r="FQ73" s="92"/>
      <c r="FR73" s="92"/>
      <c r="FS73" s="92"/>
      <c r="FT73" s="92"/>
      <c r="FU73" s="92"/>
      <c r="FV73" s="92"/>
      <c r="FW73" s="92"/>
      <c r="FX73" s="92"/>
      <c r="FY73" s="92"/>
      <c r="FZ73" s="92"/>
      <c r="GA73" s="92"/>
      <c r="GB73" s="92"/>
      <c r="GC73" s="92"/>
      <c r="GD73" s="92"/>
      <c r="GE73" s="92"/>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2"/>
      <c r="HE73" s="92"/>
      <c r="HF73" s="92"/>
      <c r="HG73" s="92"/>
      <c r="HH73" s="92"/>
      <c r="HI73" s="92"/>
      <c r="HJ73" s="92"/>
      <c r="HK73" s="92"/>
      <c r="HL73" s="92"/>
      <c r="HM73" s="92"/>
      <c r="HN73" s="92"/>
      <c r="HO73" s="92"/>
      <c r="HP73" s="92"/>
      <c r="HQ73" s="92"/>
      <c r="HR73" s="92"/>
      <c r="HS73" s="92"/>
      <c r="HT73" s="92"/>
      <c r="HU73" s="92"/>
      <c r="HV73" s="92"/>
      <c r="HW73" s="92"/>
      <c r="HX73" s="92"/>
      <c r="HY73" s="92"/>
      <c r="HZ73" s="92"/>
      <c r="IA73" s="92"/>
      <c r="IB73" s="92"/>
      <c r="IC73" s="92"/>
      <c r="ID73" s="92"/>
      <c r="IE73" s="92"/>
      <c r="IF73" s="92"/>
      <c r="IG73" s="92"/>
      <c r="IH73" s="92"/>
      <c r="II73" s="92"/>
      <c r="IJ73" s="92"/>
      <c r="IK73" s="92"/>
      <c r="IL73" s="92"/>
      <c r="IM73" s="92"/>
      <c r="IN73" s="92"/>
      <c r="IO73" s="92"/>
      <c r="IP73" s="92"/>
      <c r="IQ73" s="92"/>
      <c r="IR73" s="92"/>
      <c r="IS73" s="92"/>
      <c r="IT73" s="92"/>
      <c r="IU73" s="92"/>
      <c r="IV73" s="92"/>
      <c r="IW73" s="92"/>
      <c r="IX73" s="92"/>
      <c r="IY73" s="92"/>
      <c r="IZ73" s="92"/>
      <c r="JA73" s="92"/>
      <c r="JB73" s="92"/>
      <c r="JC73" s="92"/>
      <c r="JD73" s="92"/>
      <c r="JE73" s="92"/>
      <c r="JF73" s="92"/>
      <c r="JG73" s="92"/>
      <c r="JH73" s="92"/>
      <c r="JI73" s="92"/>
      <c r="JJ73" s="92"/>
      <c r="JK73" s="92"/>
      <c r="JL73" s="92"/>
      <c r="JM73" s="92"/>
      <c r="JN73" s="92"/>
      <c r="JO73" s="92"/>
      <c r="JP73" s="92"/>
      <c r="JQ73" s="92"/>
      <c r="JR73" s="92"/>
      <c r="JS73" s="92"/>
      <c r="JT73" s="92"/>
      <c r="JU73" s="92"/>
      <c r="JV73" s="92"/>
      <c r="JW73" s="92"/>
      <c r="JX73" s="92"/>
      <c r="JY73" s="92"/>
      <c r="JZ73" s="92"/>
      <c r="KA73" s="92"/>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2"/>
      <c r="LA73" s="92"/>
      <c r="LB73" s="92"/>
      <c r="LC73" s="92"/>
      <c r="LD73" s="92"/>
      <c r="LE73" s="92"/>
      <c r="LF73" s="92"/>
      <c r="LG73" s="92"/>
      <c r="LH73" s="92"/>
      <c r="LI73" s="92"/>
      <c r="LJ73" s="92"/>
      <c r="LK73" s="92"/>
      <c r="LL73" s="92"/>
      <c r="LM73" s="92"/>
      <c r="LN73" s="92"/>
      <c r="LO73" s="92"/>
      <c r="LP73" s="92"/>
      <c r="LQ73" s="92"/>
      <c r="LR73" s="92"/>
      <c r="LS73" s="92"/>
      <c r="LT73" s="92"/>
      <c r="LU73" s="92"/>
      <c r="LV73" s="92"/>
      <c r="LW73" s="92"/>
      <c r="LX73" s="92"/>
      <c r="LY73" s="92"/>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2"/>
      <c r="MY73" s="92"/>
      <c r="MZ73" s="92"/>
      <c r="NA73" s="92"/>
      <c r="NB73" s="92"/>
      <c r="NC73" s="92"/>
      <c r="ND73" s="92"/>
      <c r="NE73" s="92"/>
      <c r="NF73" s="92"/>
      <c r="NG73" s="92"/>
      <c r="NH73" s="92"/>
      <c r="NI73" s="92"/>
      <c r="NJ73" s="92"/>
      <c r="NK73" s="92"/>
      <c r="NL73" s="92"/>
      <c r="NM73" s="92"/>
      <c r="NN73" s="92"/>
      <c r="NO73" s="92"/>
      <c r="NP73" s="92"/>
      <c r="NQ73" s="92"/>
      <c r="NR73" s="92"/>
      <c r="NS73" s="92"/>
      <c r="NT73" s="92"/>
      <c r="NU73" s="92"/>
      <c r="NV73" s="92"/>
      <c r="NW73" s="92"/>
      <c r="NX73" s="92"/>
      <c r="NY73" s="92"/>
      <c r="NZ73" s="92"/>
      <c r="OA73" s="92"/>
      <c r="OB73" s="92"/>
      <c r="OC73" s="92"/>
      <c r="OD73" s="92"/>
      <c r="OE73" s="92"/>
      <c r="OF73" s="92"/>
      <c r="OG73" s="92"/>
      <c r="OH73" s="92"/>
      <c r="OI73" s="92"/>
      <c r="OJ73" s="92"/>
      <c r="OK73" s="92"/>
      <c r="OL73" s="92"/>
      <c r="OM73" s="92"/>
      <c r="ON73" s="92"/>
      <c r="OO73" s="92"/>
      <c r="OP73" s="92"/>
      <c r="OQ73" s="92"/>
      <c r="OR73" s="92"/>
      <c r="OS73" s="92"/>
      <c r="OT73" s="92"/>
      <c r="OU73" s="92"/>
      <c r="OV73" s="92"/>
      <c r="OW73" s="92"/>
      <c r="OX73" s="92"/>
      <c r="OY73" s="92"/>
      <c r="OZ73" s="92"/>
      <c r="PA73" s="92"/>
      <c r="PB73" s="92"/>
      <c r="PC73" s="92"/>
      <c r="PD73" s="92"/>
      <c r="PE73" s="92"/>
      <c r="PF73" s="92"/>
      <c r="PG73" s="92"/>
      <c r="PH73" s="92"/>
      <c r="PI73" s="92"/>
      <c r="PJ73" s="92"/>
      <c r="PK73" s="92"/>
      <c r="PL73" s="92"/>
      <c r="PM73" s="92"/>
      <c r="PN73" s="92"/>
      <c r="PO73" s="92"/>
      <c r="PP73" s="92"/>
      <c r="PQ73" s="92"/>
      <c r="PR73" s="92"/>
      <c r="PS73" s="92"/>
      <c r="PT73" s="92"/>
      <c r="PU73" s="92"/>
      <c r="PV73" s="92"/>
      <c r="PW73" s="92"/>
      <c r="PX73" s="92"/>
      <c r="PY73" s="92"/>
      <c r="PZ73" s="92"/>
      <c r="QA73" s="92"/>
      <c r="QB73" s="92"/>
      <c r="QC73" s="92"/>
      <c r="QD73" s="92"/>
      <c r="QE73" s="92"/>
      <c r="QF73" s="92"/>
      <c r="QG73" s="92"/>
      <c r="QH73" s="92"/>
      <c r="QI73" s="92"/>
      <c r="QJ73" s="92"/>
      <c r="QK73" s="92"/>
      <c r="QL73" s="92"/>
      <c r="QM73" s="92"/>
      <c r="QN73" s="92"/>
      <c r="QO73" s="92"/>
    </row>
    <row r="74" spans="2:457">
      <c r="C74" s="51"/>
      <c r="D74" s="94"/>
      <c r="E74" s="94"/>
      <c r="F74" s="94"/>
      <c r="G74" s="94"/>
      <c r="H74" s="94"/>
      <c r="I74" s="94"/>
      <c r="J74" s="94"/>
      <c r="K74" s="94"/>
      <c r="L74" s="94"/>
      <c r="M74" s="94"/>
      <c r="N74" s="94"/>
      <c r="O74" s="95"/>
      <c r="P74" s="102"/>
      <c r="Q74" s="92"/>
      <c r="R74" s="92"/>
      <c r="S74" s="92"/>
      <c r="T74" s="278" t="s">
        <v>579</v>
      </c>
      <c r="U74" s="291">
        <v>168.6</v>
      </c>
      <c r="V74" s="292">
        <f t="shared" si="46"/>
        <v>468.33333333333331</v>
      </c>
      <c r="AE74" s="92"/>
      <c r="AF74" s="92"/>
      <c r="AG74" s="92"/>
      <c r="AH74" s="92"/>
      <c r="AI74" s="92"/>
      <c r="AJ74" s="92"/>
      <c r="AK74" s="92"/>
      <c r="AL74" s="92"/>
      <c r="AM74" s="92"/>
      <c r="AN74" s="92"/>
      <c r="AO74" s="92"/>
      <c r="AP74" s="92"/>
      <c r="AQ74" s="92"/>
      <c r="AR74" s="92"/>
      <c r="AS74" s="92"/>
      <c r="AT74" s="92"/>
      <c r="AU74" s="92"/>
      <c r="AV74" s="92"/>
      <c r="AW74" s="92"/>
      <c r="AX74" s="92"/>
      <c r="AY74" s="92"/>
      <c r="AZ74" s="92"/>
      <c r="BA74" s="92"/>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2"/>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2"/>
      <c r="CZ74" s="92"/>
      <c r="DA74" s="92"/>
      <c r="DB74" s="92"/>
      <c r="DC74" s="92"/>
      <c r="DD74" s="92"/>
      <c r="DE74" s="92"/>
      <c r="DF74" s="92"/>
      <c r="DG74" s="92"/>
      <c r="DH74" s="92"/>
      <c r="DI74" s="92"/>
      <c r="DJ74" s="92"/>
      <c r="DK74" s="92"/>
      <c r="DL74" s="92"/>
      <c r="DM74" s="92"/>
      <c r="DN74" s="92"/>
      <c r="DO74" s="92"/>
      <c r="DP74" s="92"/>
      <c r="DQ74" s="92"/>
      <c r="DR74" s="92"/>
      <c r="DS74" s="92"/>
      <c r="DT74" s="92"/>
      <c r="DU74" s="92"/>
      <c r="DV74" s="92"/>
      <c r="DW74" s="92"/>
      <c r="DX74" s="92"/>
      <c r="DY74" s="92"/>
      <c r="DZ74" s="92"/>
      <c r="EA74" s="92"/>
      <c r="EB74" s="92"/>
      <c r="EC74" s="92"/>
      <c r="ED74" s="92"/>
      <c r="EE74" s="92"/>
      <c r="EF74" s="92"/>
      <c r="EG74" s="92"/>
      <c r="EH74" s="92"/>
      <c r="EI74" s="92"/>
      <c r="EJ74" s="92"/>
      <c r="EK74" s="92"/>
      <c r="EL74" s="92"/>
      <c r="EM74" s="92"/>
      <c r="EN74" s="92"/>
      <c r="EO74" s="92"/>
      <c r="EP74" s="92"/>
      <c r="EQ74" s="92"/>
      <c r="ER74" s="92"/>
      <c r="ES74" s="92"/>
      <c r="ET74" s="92"/>
      <c r="EU74" s="92"/>
      <c r="EV74" s="92"/>
      <c r="EW74" s="92"/>
      <c r="EX74" s="92"/>
      <c r="EY74" s="92"/>
      <c r="EZ74" s="92"/>
      <c r="FA74" s="92"/>
      <c r="FB74" s="92"/>
      <c r="FC74" s="92"/>
      <c r="FD74" s="92"/>
      <c r="FE74" s="92"/>
      <c r="FF74" s="92"/>
      <c r="FG74" s="92"/>
      <c r="FH74" s="92"/>
      <c r="FI74" s="92"/>
      <c r="FJ74" s="92"/>
      <c r="FK74" s="92"/>
      <c r="FL74" s="92"/>
      <c r="FM74" s="92"/>
      <c r="FN74" s="92"/>
      <c r="FO74" s="92"/>
      <c r="FP74" s="92"/>
      <c r="FQ74" s="92"/>
      <c r="FR74" s="92"/>
      <c r="FS74" s="92"/>
      <c r="FT74" s="92"/>
      <c r="FU74" s="92"/>
      <c r="FV74" s="92"/>
      <c r="FW74" s="92"/>
      <c r="FX74" s="92"/>
      <c r="FY74" s="92"/>
      <c r="FZ74" s="92"/>
      <c r="GA74" s="92"/>
      <c r="GB74" s="92"/>
      <c r="GC74" s="92"/>
      <c r="GD74" s="92"/>
      <c r="GE74" s="92"/>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2"/>
      <c r="HE74" s="92"/>
      <c r="HF74" s="92"/>
      <c r="HG74" s="92"/>
      <c r="HH74" s="92"/>
      <c r="HI74" s="92"/>
      <c r="HJ74" s="92"/>
      <c r="HK74" s="92"/>
      <c r="HL74" s="92"/>
      <c r="HM74" s="92"/>
      <c r="HN74" s="92"/>
      <c r="HO74" s="92"/>
      <c r="HP74" s="92"/>
      <c r="HQ74" s="92"/>
      <c r="HR74" s="92"/>
      <c r="HS74" s="92"/>
      <c r="HT74" s="92"/>
      <c r="HU74" s="92"/>
      <c r="HV74" s="92"/>
      <c r="HW74" s="92"/>
      <c r="HX74" s="92"/>
      <c r="HY74" s="92"/>
      <c r="HZ74" s="92"/>
      <c r="IA74" s="92"/>
      <c r="IB74" s="92"/>
      <c r="IC74" s="92"/>
      <c r="ID74" s="92"/>
      <c r="IE74" s="92"/>
      <c r="IF74" s="92"/>
      <c r="IG74" s="92"/>
      <c r="IH74" s="92"/>
      <c r="II74" s="92"/>
      <c r="IJ74" s="92"/>
      <c r="IK74" s="92"/>
      <c r="IL74" s="92"/>
      <c r="IM74" s="92"/>
      <c r="IN74" s="92"/>
      <c r="IO74" s="92"/>
      <c r="IP74" s="92"/>
      <c r="IQ74" s="92"/>
      <c r="IR74" s="92"/>
      <c r="IS74" s="92"/>
      <c r="IT74" s="92"/>
      <c r="IU74" s="92"/>
      <c r="IV74" s="92"/>
      <c r="IW74" s="92"/>
      <c r="IX74" s="92"/>
      <c r="IY74" s="92"/>
      <c r="IZ74" s="92"/>
      <c r="JA74" s="92"/>
      <c r="JB74" s="92"/>
      <c r="JC74" s="92"/>
      <c r="JD74" s="92"/>
      <c r="JE74" s="92"/>
      <c r="JF74" s="92"/>
      <c r="JG74" s="92"/>
      <c r="JH74" s="92"/>
      <c r="JI74" s="92"/>
      <c r="JJ74" s="92"/>
      <c r="JK74" s="92"/>
      <c r="JL74" s="92"/>
      <c r="JM74" s="92"/>
      <c r="JN74" s="92"/>
      <c r="JO74" s="92"/>
      <c r="JP74" s="92"/>
      <c r="JQ74" s="92"/>
      <c r="JR74" s="92"/>
      <c r="JS74" s="92"/>
      <c r="JT74" s="92"/>
      <c r="JU74" s="92"/>
      <c r="JV74" s="92"/>
      <c r="JW74" s="92"/>
      <c r="JX74" s="92"/>
      <c r="JY74" s="92"/>
      <c r="JZ74" s="92"/>
      <c r="KA74" s="92"/>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2"/>
      <c r="LA74" s="92"/>
      <c r="LB74" s="92"/>
      <c r="LC74" s="92"/>
      <c r="LD74" s="92"/>
      <c r="LE74" s="92"/>
      <c r="LF74" s="92"/>
      <c r="LG74" s="92"/>
      <c r="LH74" s="92"/>
      <c r="LI74" s="92"/>
      <c r="LJ74" s="92"/>
      <c r="LK74" s="92"/>
      <c r="LL74" s="92"/>
      <c r="LM74" s="92"/>
      <c r="LN74" s="92"/>
      <c r="LO74" s="92"/>
      <c r="LP74" s="92"/>
      <c r="LQ74" s="92"/>
      <c r="LR74" s="92"/>
      <c r="LS74" s="92"/>
      <c r="LT74" s="92"/>
      <c r="LU74" s="92"/>
      <c r="LV74" s="92"/>
      <c r="LW74" s="92"/>
      <c r="LX74" s="92"/>
      <c r="LY74" s="92"/>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2"/>
      <c r="MY74" s="92"/>
      <c r="MZ74" s="92"/>
      <c r="NA74" s="92"/>
      <c r="NB74" s="92"/>
      <c r="NC74" s="92"/>
      <c r="ND74" s="92"/>
      <c r="NE74" s="92"/>
      <c r="NF74" s="92"/>
      <c r="NG74" s="92"/>
      <c r="NH74" s="92"/>
      <c r="NI74" s="92"/>
      <c r="NJ74" s="92"/>
      <c r="NK74" s="92"/>
      <c r="NL74" s="92"/>
      <c r="NM74" s="92"/>
      <c r="NN74" s="92"/>
      <c r="NO74" s="92"/>
      <c r="NP74" s="92"/>
      <c r="NQ74" s="92"/>
      <c r="NR74" s="92"/>
      <c r="NS74" s="92"/>
      <c r="NT74" s="92"/>
      <c r="NU74" s="92"/>
      <c r="NV74" s="92"/>
      <c r="NW74" s="92"/>
      <c r="NX74" s="92"/>
      <c r="NY74" s="92"/>
      <c r="NZ74" s="92"/>
      <c r="OA74" s="92"/>
      <c r="OB74" s="92"/>
      <c r="OC74" s="92"/>
      <c r="OD74" s="92"/>
      <c r="OE74" s="92"/>
      <c r="OF74" s="92"/>
      <c r="OG74" s="92"/>
      <c r="OH74" s="92"/>
      <c r="OI74" s="92"/>
      <c r="OJ74" s="92"/>
      <c r="OK74" s="92"/>
      <c r="OL74" s="92"/>
      <c r="OM74" s="92"/>
      <c r="ON74" s="92"/>
      <c r="OO74" s="92"/>
      <c r="OP74" s="92"/>
      <c r="OQ74" s="92"/>
      <c r="OR74" s="92"/>
      <c r="OS74" s="92"/>
      <c r="OT74" s="92"/>
      <c r="OU74" s="92"/>
      <c r="OV74" s="92"/>
      <c r="OW74" s="92"/>
      <c r="OX74" s="92"/>
      <c r="OY74" s="92"/>
      <c r="OZ74" s="92"/>
      <c r="PA74" s="92"/>
      <c r="PB74" s="92"/>
      <c r="PC74" s="92"/>
      <c r="PD74" s="92"/>
      <c r="PE74" s="92"/>
      <c r="PF74" s="92"/>
      <c r="PG74" s="92"/>
      <c r="PH74" s="92"/>
      <c r="PI74" s="92"/>
      <c r="PJ74" s="92"/>
      <c r="PK74" s="92"/>
      <c r="PL74" s="92"/>
      <c r="PM74" s="92"/>
      <c r="PN74" s="92"/>
      <c r="PO74" s="92"/>
      <c r="PP74" s="92"/>
      <c r="PQ74" s="92"/>
      <c r="PR74" s="92"/>
      <c r="PS74" s="92"/>
      <c r="PT74" s="92"/>
      <c r="PU74" s="92"/>
      <c r="PV74" s="92"/>
      <c r="PW74" s="92"/>
      <c r="PX74" s="92"/>
      <c r="PY74" s="92"/>
      <c r="PZ74" s="92"/>
      <c r="QA74" s="92"/>
      <c r="QB74" s="92"/>
      <c r="QC74" s="92"/>
      <c r="QD74" s="92"/>
      <c r="QE74" s="92"/>
      <c r="QF74" s="92"/>
      <c r="QG74" s="92"/>
      <c r="QH74" s="92"/>
      <c r="QI74" s="92"/>
      <c r="QJ74" s="92"/>
      <c r="QK74" s="92"/>
      <c r="QL74" s="92"/>
      <c r="QM74" s="92"/>
      <c r="QN74" s="92"/>
      <c r="QO74" s="92"/>
    </row>
    <row r="75" spans="2:457">
      <c r="C75" s="258" t="s">
        <v>388</v>
      </c>
      <c r="D75" s="94">
        <f>SUM(D44,D55:D56)</f>
        <v>92.751619486664239</v>
      </c>
      <c r="E75" s="94">
        <f>SUM(E44,E55:E56)</f>
        <v>609.29035965471849</v>
      </c>
      <c r="F75" s="94">
        <f>SUM(F44,F55:F56)</f>
        <v>12.228468736920528</v>
      </c>
      <c r="G75" s="271">
        <f t="shared" si="42"/>
        <v>714.27044787830323</v>
      </c>
      <c r="H75" s="94"/>
      <c r="I75" s="94">
        <f>'AggrStep1-energy'!I102</f>
        <v>0</v>
      </c>
      <c r="J75" s="94">
        <f>'AggrStep1-energy'!J102</f>
        <v>0</v>
      </c>
      <c r="K75" s="94">
        <f>'AggrStep1-energy'!K102</f>
        <v>0</v>
      </c>
      <c r="L75" s="94">
        <f>'AggrStep1-energy'!L102</f>
        <v>0</v>
      </c>
      <c r="M75" s="94">
        <f>'AggrStep1-energy'!M102</f>
        <v>0</v>
      </c>
      <c r="N75" s="94">
        <f>'AggrStep1-energy'!N102</f>
        <v>0</v>
      </c>
      <c r="O75" s="94">
        <f>'AggrStep1-energy'!O102</f>
        <v>0</v>
      </c>
      <c r="P75" s="102">
        <f>SUM(G75,I75:O75)</f>
        <v>714.27044787830323</v>
      </c>
      <c r="Q75" s="92"/>
      <c r="R75" s="92"/>
      <c r="S75" s="92"/>
      <c r="T75" s="278" t="s">
        <v>580</v>
      </c>
      <c r="U75" s="291">
        <v>132.1</v>
      </c>
      <c r="V75" s="292">
        <f t="shared" si="46"/>
        <v>366.9444444444444</v>
      </c>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92"/>
      <c r="FC75" s="92"/>
      <c r="FD75" s="92"/>
      <c r="FE75" s="92"/>
      <c r="FF75" s="92"/>
      <c r="FG75" s="92"/>
      <c r="FH75" s="92"/>
      <c r="FI75" s="92"/>
      <c r="FJ75" s="92"/>
      <c r="FK75" s="92"/>
      <c r="FL75" s="92"/>
      <c r="FM75" s="92"/>
      <c r="FN75" s="92"/>
      <c r="FO75" s="92"/>
      <c r="FP75" s="92"/>
      <c r="FQ75" s="92"/>
      <c r="FR75" s="92"/>
      <c r="FS75" s="92"/>
      <c r="FT75" s="92"/>
      <c r="FU75" s="92"/>
      <c r="FV75" s="92"/>
      <c r="FW75" s="92"/>
      <c r="FX75" s="92"/>
      <c r="FY75" s="92"/>
      <c r="FZ75" s="92"/>
      <c r="GA75" s="92"/>
      <c r="GB75" s="92"/>
      <c r="GC75" s="92"/>
      <c r="GD75" s="92"/>
      <c r="GE75" s="92"/>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2"/>
      <c r="HE75" s="92"/>
      <c r="HF75" s="92"/>
      <c r="HG75" s="92"/>
      <c r="HH75" s="92"/>
      <c r="HI75" s="92"/>
      <c r="HJ75" s="92"/>
      <c r="HK75" s="92"/>
      <c r="HL75" s="92"/>
      <c r="HM75" s="92"/>
      <c r="HN75" s="92"/>
      <c r="HO75" s="92"/>
      <c r="HP75" s="92"/>
      <c r="HQ75" s="92"/>
      <c r="HR75" s="92"/>
      <c r="HS75" s="92"/>
      <c r="HT75" s="92"/>
      <c r="HU75" s="92"/>
      <c r="HV75" s="92"/>
      <c r="HW75" s="92"/>
      <c r="HX75" s="92"/>
      <c r="HY75" s="92"/>
      <c r="HZ75" s="92"/>
      <c r="IA75" s="92"/>
      <c r="IB75" s="92"/>
      <c r="IC75" s="92"/>
      <c r="ID75" s="92"/>
      <c r="IE75" s="92"/>
      <c r="IF75" s="92"/>
      <c r="IG75" s="92"/>
      <c r="IH75" s="92"/>
      <c r="II75" s="92"/>
      <c r="IJ75" s="92"/>
      <c r="IK75" s="92"/>
      <c r="IL75" s="92"/>
      <c r="IM75" s="92"/>
      <c r="IN75" s="92"/>
      <c r="IO75" s="92"/>
      <c r="IP75" s="92"/>
      <c r="IQ75" s="92"/>
      <c r="IR75" s="92"/>
      <c r="IS75" s="92"/>
      <c r="IT75" s="92"/>
      <c r="IU75" s="92"/>
      <c r="IV75" s="92"/>
      <c r="IW75" s="92"/>
      <c r="IX75" s="92"/>
      <c r="IY75" s="92"/>
      <c r="IZ75" s="92"/>
      <c r="JA75" s="92"/>
      <c r="JB75" s="92"/>
      <c r="JC75" s="92"/>
      <c r="JD75" s="92"/>
      <c r="JE75" s="92"/>
      <c r="JF75" s="92"/>
      <c r="JG75" s="92"/>
      <c r="JH75" s="92"/>
      <c r="JI75" s="92"/>
      <c r="JJ75" s="92"/>
      <c r="JK75" s="92"/>
      <c r="JL75" s="92"/>
      <c r="JM75" s="92"/>
      <c r="JN75" s="92"/>
      <c r="JO75" s="92"/>
      <c r="JP75" s="92"/>
      <c r="JQ75" s="92"/>
      <c r="JR75" s="92"/>
      <c r="JS75" s="92"/>
      <c r="JT75" s="92"/>
      <c r="JU75" s="92"/>
      <c r="JV75" s="92"/>
      <c r="JW75" s="92"/>
      <c r="JX75" s="92"/>
      <c r="JY75" s="92"/>
      <c r="JZ75" s="92"/>
      <c r="KA75" s="92"/>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2"/>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2"/>
      <c r="LZ75" s="92"/>
      <c r="MA75" s="92"/>
      <c r="MB75" s="92"/>
      <c r="MC75" s="92"/>
      <c r="MD75" s="92"/>
      <c r="ME75" s="92"/>
      <c r="MF75" s="92"/>
      <c r="MG75" s="92"/>
      <c r="MH75" s="92"/>
      <c r="MI75" s="92"/>
      <c r="MJ75" s="92"/>
      <c r="MK75" s="92"/>
      <c r="ML75" s="92"/>
      <c r="MM75" s="92"/>
      <c r="MN75" s="92"/>
      <c r="MO75" s="92"/>
      <c r="MP75" s="92"/>
      <c r="MQ75" s="92"/>
      <c r="MR75" s="92"/>
      <c r="MS75" s="92"/>
      <c r="MT75" s="92"/>
      <c r="MU75" s="92"/>
      <c r="MV75" s="92"/>
      <c r="MW75" s="92"/>
      <c r="MX75" s="92"/>
      <c r="MY75" s="92"/>
      <c r="MZ75" s="92"/>
      <c r="NA75" s="92"/>
      <c r="NB75" s="92"/>
      <c r="NC75" s="92"/>
      <c r="ND75" s="92"/>
      <c r="NE75" s="92"/>
      <c r="NF75" s="92"/>
      <c r="NG75" s="92"/>
      <c r="NH75" s="92"/>
      <c r="NI75" s="92"/>
      <c r="NJ75" s="92"/>
      <c r="NK75" s="92"/>
      <c r="NL75" s="92"/>
      <c r="NM75" s="92"/>
      <c r="NN75" s="92"/>
      <c r="NO75" s="92"/>
      <c r="NP75" s="92"/>
      <c r="NQ75" s="92"/>
      <c r="NR75" s="92"/>
      <c r="NS75" s="92"/>
      <c r="NT75" s="92"/>
      <c r="NU75" s="92"/>
      <c r="NV75" s="92"/>
      <c r="NW75" s="92"/>
      <c r="NX75" s="92"/>
      <c r="NY75" s="92"/>
      <c r="NZ75" s="92"/>
      <c r="OA75" s="92"/>
      <c r="OB75" s="92"/>
      <c r="OC75" s="92"/>
      <c r="OD75" s="92"/>
      <c r="OE75" s="92"/>
      <c r="OF75" s="92"/>
      <c r="OG75" s="92"/>
      <c r="OH75" s="92"/>
      <c r="OI75" s="92"/>
      <c r="OJ75" s="92"/>
      <c r="OK75" s="92"/>
      <c r="OL75" s="92"/>
      <c r="OM75" s="92"/>
      <c r="ON75" s="92"/>
      <c r="OO75" s="92"/>
      <c r="OP75" s="92"/>
      <c r="OQ75" s="92"/>
      <c r="OR75" s="92"/>
      <c r="OS75" s="92"/>
      <c r="OT75" s="92"/>
      <c r="OU75" s="92"/>
      <c r="OV75" s="92"/>
      <c r="OW75" s="92"/>
      <c r="OX75" s="92"/>
      <c r="OY75" s="92"/>
      <c r="OZ75" s="92"/>
      <c r="PA75" s="92"/>
      <c r="PB75" s="92"/>
      <c r="PC75" s="92"/>
      <c r="PD75" s="92"/>
      <c r="PE75" s="92"/>
      <c r="PF75" s="92"/>
      <c r="PG75" s="92"/>
      <c r="PH75" s="92"/>
      <c r="PI75" s="92"/>
      <c r="PJ75" s="92"/>
      <c r="PK75" s="92"/>
      <c r="PL75" s="92"/>
      <c r="PM75" s="92"/>
      <c r="PN75" s="92"/>
      <c r="PO75" s="92"/>
      <c r="PP75" s="92"/>
      <c r="PQ75" s="92"/>
      <c r="PR75" s="92"/>
      <c r="PS75" s="92"/>
      <c r="PT75" s="92"/>
      <c r="PU75" s="92"/>
      <c r="PV75" s="92"/>
      <c r="PW75" s="92"/>
      <c r="PX75" s="92"/>
      <c r="PY75" s="92"/>
      <c r="PZ75" s="92"/>
      <c r="QA75" s="92"/>
      <c r="QB75" s="92"/>
      <c r="QC75" s="92"/>
      <c r="QD75" s="92"/>
      <c r="QE75" s="92"/>
      <c r="QF75" s="92"/>
      <c r="QG75" s="92"/>
      <c r="QH75" s="92"/>
      <c r="QI75" s="92"/>
      <c r="QJ75" s="92"/>
      <c r="QK75" s="92"/>
      <c r="QL75" s="92"/>
      <c r="QM75" s="92"/>
      <c r="QN75" s="92"/>
      <c r="QO75" s="92"/>
    </row>
    <row r="76" spans="2:457">
      <c r="C76" s="258" t="s">
        <v>573</v>
      </c>
      <c r="D76" s="94">
        <f>D57</f>
        <v>828.16699999999992</v>
      </c>
      <c r="E76" s="94">
        <f>E57</f>
        <v>1303.69</v>
      </c>
      <c r="F76" s="94">
        <f>F57</f>
        <v>36.530536082770865</v>
      </c>
      <c r="G76" s="271">
        <f t="shared" si="42"/>
        <v>2168.387536082771</v>
      </c>
      <c r="H76" s="94"/>
      <c r="I76" s="94">
        <f>'AggrStep1-energy'!I103</f>
        <v>60.542000000000002</v>
      </c>
      <c r="J76" s="94">
        <f>'AggrStep1-energy'!J103</f>
        <v>0</v>
      </c>
      <c r="K76" s="94">
        <f>'AggrStep1-energy'!K103</f>
        <v>15.064</v>
      </c>
      <c r="L76" s="94">
        <f>'AggrStep1-energy'!L103</f>
        <v>0.36</v>
      </c>
      <c r="M76" s="94">
        <f>'AggrStep1-energy'!M103</f>
        <v>100.87700000000001</v>
      </c>
      <c r="N76" s="94">
        <f>'AggrStep1-energy'!N103</f>
        <v>131.316</v>
      </c>
      <c r="O76" s="94">
        <f>'AggrStep1-energy'!O103</f>
        <v>122.598</v>
      </c>
      <c r="P76" s="102">
        <f>G76+I76</f>
        <v>2228.9295360827709</v>
      </c>
      <c r="Q76" s="92"/>
      <c r="R76" s="92"/>
      <c r="S76" s="92"/>
      <c r="T76" s="279"/>
      <c r="U76" s="279"/>
      <c r="V76" s="279"/>
      <c r="W76" s="276"/>
      <c r="AE76" s="92"/>
      <c r="AF76" s="92"/>
      <c r="AG76" s="92"/>
      <c r="AH76" s="92"/>
      <c r="AI76" s="92"/>
      <c r="AJ76" s="92"/>
      <c r="AK76" s="92"/>
      <c r="AL76" s="92"/>
      <c r="AM76" s="92"/>
      <c r="AN76" s="92"/>
      <c r="AO76" s="92"/>
      <c r="AP76" s="92"/>
      <c r="AQ76" s="92"/>
      <c r="AR76" s="92"/>
      <c r="AS76" s="92"/>
      <c r="AT76" s="92"/>
      <c r="AU76" s="92"/>
      <c r="AV76" s="92"/>
      <c r="AW76" s="92"/>
      <c r="AX76" s="92"/>
      <c r="AY76" s="92"/>
      <c r="AZ76" s="92"/>
      <c r="BA76" s="92"/>
      <c r="BB76" s="92"/>
      <c r="BC76" s="92"/>
      <c r="BD76" s="92"/>
      <c r="BE76" s="92"/>
      <c r="BF76" s="92"/>
      <c r="BG76" s="92"/>
      <c r="BH76" s="92"/>
      <c r="BI76" s="92"/>
      <c r="BJ76" s="92"/>
      <c r="BK76" s="92"/>
      <c r="BL76" s="92"/>
      <c r="BM76" s="92"/>
      <c r="BN76" s="92"/>
      <c r="BO76" s="92"/>
      <c r="BP76" s="92"/>
      <c r="BQ76" s="92"/>
      <c r="BR76" s="92"/>
      <c r="BS76" s="92"/>
      <c r="BT76" s="92"/>
      <c r="BU76" s="92"/>
      <c r="BV76" s="92"/>
      <c r="BW76" s="92"/>
      <c r="BX76" s="92"/>
      <c r="BY76" s="92"/>
      <c r="BZ76" s="92"/>
      <c r="CA76" s="92"/>
      <c r="CB76" s="92"/>
      <c r="CC76" s="92"/>
      <c r="CD76" s="92"/>
      <c r="CE76" s="92"/>
      <c r="CF76" s="92"/>
      <c r="CG76" s="92"/>
      <c r="CH76" s="92"/>
      <c r="CI76" s="92"/>
      <c r="CJ76" s="92"/>
      <c r="CK76" s="92"/>
      <c r="CL76" s="92"/>
      <c r="CM76" s="92"/>
      <c r="CN76" s="92"/>
      <c r="CO76" s="92"/>
      <c r="CP76" s="92"/>
      <c r="CQ76" s="92"/>
      <c r="CR76" s="92"/>
      <c r="CS76" s="92"/>
      <c r="CT76" s="92"/>
      <c r="CU76" s="92"/>
      <c r="CV76" s="92"/>
      <c r="CW76" s="92"/>
      <c r="CX76" s="92"/>
      <c r="CY76" s="92"/>
      <c r="CZ76" s="92"/>
      <c r="DA76" s="92"/>
      <c r="DB76" s="92"/>
      <c r="DC76" s="92"/>
      <c r="DD76" s="92"/>
      <c r="DE76" s="92"/>
      <c r="DF76" s="92"/>
      <c r="DG76" s="92"/>
      <c r="DH76" s="92"/>
      <c r="DI76" s="92"/>
      <c r="DJ76" s="92"/>
      <c r="DK76" s="92"/>
      <c r="DL76" s="92"/>
      <c r="DM76" s="92"/>
      <c r="DN76" s="92"/>
      <c r="DO76" s="92"/>
      <c r="DP76" s="92"/>
      <c r="DQ76" s="92"/>
      <c r="DR76" s="92"/>
      <c r="DS76" s="92"/>
      <c r="DT76" s="92"/>
      <c r="DU76" s="92"/>
      <c r="DV76" s="92"/>
      <c r="DW76" s="92"/>
      <c r="DX76" s="92"/>
      <c r="DY76" s="92"/>
      <c r="DZ76" s="92"/>
      <c r="EA76" s="92"/>
      <c r="EB76" s="92"/>
      <c r="EC76" s="92"/>
      <c r="ED76" s="92"/>
      <c r="EE76" s="92"/>
      <c r="EF76" s="92"/>
      <c r="EG76" s="92"/>
      <c r="EH76" s="92"/>
      <c r="EI76" s="92"/>
      <c r="EJ76" s="92"/>
      <c r="EK76" s="92"/>
      <c r="EL76" s="92"/>
      <c r="EM76" s="92"/>
      <c r="EN76" s="92"/>
      <c r="EO76" s="92"/>
      <c r="EP76" s="92"/>
      <c r="EQ76" s="92"/>
      <c r="ER76" s="92"/>
      <c r="ES76" s="92"/>
      <c r="ET76" s="92"/>
      <c r="EU76" s="92"/>
      <c r="EV76" s="92"/>
      <c r="EW76" s="92"/>
      <c r="EX76" s="92"/>
      <c r="EY76" s="92"/>
      <c r="EZ76" s="92"/>
      <c r="FA76" s="92"/>
      <c r="FB76" s="92"/>
      <c r="FC76" s="92"/>
      <c r="FD76" s="92"/>
      <c r="FE76" s="92"/>
      <c r="FF76" s="92"/>
      <c r="FG76" s="92"/>
      <c r="FH76" s="92"/>
      <c r="FI76" s="92"/>
      <c r="FJ76" s="92"/>
      <c r="FK76" s="92"/>
      <c r="FL76" s="92"/>
      <c r="FM76" s="92"/>
      <c r="FN76" s="92"/>
      <c r="FO76" s="92"/>
      <c r="FP76" s="92"/>
      <c r="FQ76" s="92"/>
      <c r="FR76" s="92"/>
      <c r="FS76" s="92"/>
      <c r="FT76" s="92"/>
      <c r="FU76" s="92"/>
      <c r="FV76" s="92"/>
      <c r="FW76" s="92"/>
      <c r="FX76" s="92"/>
      <c r="FY76" s="92"/>
      <c r="FZ76" s="92"/>
      <c r="GA76" s="92"/>
      <c r="GB76" s="92"/>
      <c r="GC76" s="92"/>
      <c r="GD76" s="92"/>
      <c r="GE76" s="92"/>
      <c r="GF76" s="92"/>
      <c r="GG76" s="92"/>
      <c r="GH76" s="92"/>
      <c r="GI76" s="92"/>
      <c r="GJ76" s="92"/>
      <c r="GK76" s="92"/>
      <c r="GL76" s="92"/>
      <c r="GM76" s="92"/>
      <c r="GN76" s="92"/>
      <c r="GO76" s="92"/>
      <c r="GP76" s="92"/>
      <c r="GQ76" s="92"/>
      <c r="GR76" s="92"/>
      <c r="GS76" s="92"/>
      <c r="GT76" s="92"/>
      <c r="GU76" s="92"/>
      <c r="GV76" s="92"/>
      <c r="GW76" s="92"/>
      <c r="GX76" s="92"/>
      <c r="GY76" s="92"/>
      <c r="GZ76" s="92"/>
      <c r="HA76" s="92"/>
      <c r="HB76" s="92"/>
      <c r="HC76" s="92"/>
      <c r="HD76" s="92"/>
      <c r="HE76" s="92"/>
      <c r="HF76" s="92"/>
      <c r="HG76" s="92"/>
      <c r="HH76" s="92"/>
      <c r="HI76" s="92"/>
      <c r="HJ76" s="92"/>
      <c r="HK76" s="92"/>
      <c r="HL76" s="92"/>
      <c r="HM76" s="92"/>
      <c r="HN76" s="92"/>
      <c r="HO76" s="92"/>
      <c r="HP76" s="92"/>
      <c r="HQ76" s="92"/>
      <c r="HR76" s="92"/>
      <c r="HS76" s="92"/>
      <c r="HT76" s="92"/>
      <c r="HU76" s="92"/>
      <c r="HV76" s="92"/>
      <c r="HW76" s="92"/>
      <c r="HX76" s="92"/>
      <c r="HY76" s="92"/>
      <c r="HZ76" s="92"/>
      <c r="IA76" s="92"/>
      <c r="IB76" s="92"/>
      <c r="IC76" s="92"/>
      <c r="ID76" s="92"/>
      <c r="IE76" s="92"/>
      <c r="IF76" s="92"/>
      <c r="IG76" s="92"/>
      <c r="IH76" s="92"/>
      <c r="II76" s="92"/>
      <c r="IJ76" s="92"/>
      <c r="IK76" s="92"/>
      <c r="IL76" s="92"/>
      <c r="IM76" s="92"/>
      <c r="IN76" s="92"/>
      <c r="IO76" s="92"/>
      <c r="IP76" s="92"/>
      <c r="IQ76" s="92"/>
      <c r="IR76" s="92"/>
      <c r="IS76" s="92"/>
      <c r="IT76" s="92"/>
      <c r="IU76" s="92"/>
      <c r="IV76" s="92"/>
      <c r="IW76" s="92"/>
      <c r="IX76" s="92"/>
      <c r="IY76" s="92"/>
      <c r="IZ76" s="92"/>
      <c r="JA76" s="92"/>
      <c r="JB76" s="92"/>
      <c r="JC76" s="92"/>
      <c r="JD76" s="92"/>
      <c r="JE76" s="92"/>
      <c r="JF76" s="92"/>
      <c r="JG76" s="92"/>
      <c r="JH76" s="92"/>
      <c r="JI76" s="92"/>
      <c r="JJ76" s="92"/>
      <c r="JK76" s="92"/>
      <c r="JL76" s="92"/>
      <c r="JM76" s="92"/>
      <c r="JN76" s="92"/>
      <c r="JO76" s="92"/>
      <c r="JP76" s="92"/>
      <c r="JQ76" s="92"/>
      <c r="JR76" s="92"/>
      <c r="JS76" s="92"/>
      <c r="JT76" s="92"/>
      <c r="JU76" s="92"/>
      <c r="JV76" s="92"/>
      <c r="JW76" s="92"/>
      <c r="JX76" s="92"/>
      <c r="JY76" s="92"/>
      <c r="JZ76" s="92"/>
      <c r="KA76" s="92"/>
      <c r="KB76" s="92"/>
      <c r="KC76" s="92"/>
      <c r="KD76" s="92"/>
      <c r="KE76" s="92"/>
      <c r="KF76" s="92"/>
      <c r="KG76" s="92"/>
      <c r="KH76" s="92"/>
      <c r="KI76" s="92"/>
      <c r="KJ76" s="92"/>
      <c r="KK76" s="92"/>
      <c r="KL76" s="92"/>
      <c r="KM76" s="92"/>
      <c r="KN76" s="92"/>
      <c r="KO76" s="92"/>
      <c r="KP76" s="92"/>
      <c r="KQ76" s="92"/>
      <c r="KR76" s="92"/>
      <c r="KS76" s="92"/>
      <c r="KT76" s="92"/>
      <c r="KU76" s="92"/>
      <c r="KV76" s="92"/>
      <c r="KW76" s="92"/>
      <c r="KX76" s="92"/>
      <c r="KY76" s="92"/>
      <c r="KZ76" s="92"/>
      <c r="LA76" s="92"/>
      <c r="LB76" s="92"/>
      <c r="LC76" s="92"/>
      <c r="LD76" s="92"/>
      <c r="LE76" s="92"/>
      <c r="LF76" s="92"/>
      <c r="LG76" s="92"/>
      <c r="LH76" s="92"/>
      <c r="LI76" s="92"/>
      <c r="LJ76" s="92"/>
      <c r="LK76" s="92"/>
      <c r="LL76" s="92"/>
      <c r="LM76" s="92"/>
      <c r="LN76" s="92"/>
      <c r="LO76" s="92"/>
      <c r="LP76" s="92"/>
      <c r="LQ76" s="92"/>
      <c r="LR76" s="92"/>
      <c r="LS76" s="92"/>
      <c r="LT76" s="92"/>
      <c r="LU76" s="92"/>
      <c r="LV76" s="92"/>
      <c r="LW76" s="92"/>
      <c r="LX76" s="92"/>
      <c r="LY76" s="92"/>
      <c r="LZ76" s="92"/>
      <c r="MA76" s="92"/>
      <c r="MB76" s="92"/>
      <c r="MC76" s="92"/>
      <c r="MD76" s="92"/>
      <c r="ME76" s="92"/>
      <c r="MF76" s="92"/>
      <c r="MG76" s="92"/>
      <c r="MH76" s="92"/>
      <c r="MI76" s="92"/>
      <c r="MJ76" s="92"/>
      <c r="MK76" s="92"/>
      <c r="ML76" s="92"/>
      <c r="MM76" s="92"/>
      <c r="MN76" s="92"/>
      <c r="MO76" s="92"/>
      <c r="MP76" s="92"/>
      <c r="MQ76" s="92"/>
      <c r="MR76" s="92"/>
      <c r="MS76" s="92"/>
      <c r="MT76" s="92"/>
      <c r="MU76" s="92"/>
      <c r="MV76" s="92"/>
      <c r="MW76" s="92"/>
      <c r="MX76" s="92"/>
      <c r="MY76" s="92"/>
      <c r="MZ76" s="92"/>
      <c r="NA76" s="92"/>
      <c r="NB76" s="92"/>
      <c r="NC76" s="92"/>
      <c r="ND76" s="92"/>
      <c r="NE76" s="92"/>
      <c r="NF76" s="92"/>
      <c r="NG76" s="92"/>
      <c r="NH76" s="92"/>
      <c r="NI76" s="92"/>
      <c r="NJ76" s="92"/>
      <c r="NK76" s="92"/>
      <c r="NL76" s="92"/>
      <c r="NM76" s="92"/>
      <c r="NN76" s="92"/>
      <c r="NO76" s="92"/>
      <c r="NP76" s="92"/>
      <c r="NQ76" s="92"/>
      <c r="NR76" s="92"/>
      <c r="NS76" s="92"/>
      <c r="NT76" s="92"/>
      <c r="NU76" s="92"/>
      <c r="NV76" s="92"/>
      <c r="NW76" s="92"/>
      <c r="NX76" s="92"/>
      <c r="NY76" s="92"/>
      <c r="NZ76" s="92"/>
      <c r="OA76" s="92"/>
      <c r="OB76" s="92"/>
      <c r="OC76" s="92"/>
      <c r="OD76" s="92"/>
      <c r="OE76" s="92"/>
      <c r="OF76" s="92"/>
      <c r="OG76" s="92"/>
      <c r="OH76" s="92"/>
      <c r="OI76" s="92"/>
      <c r="OJ76" s="92"/>
      <c r="OK76" s="92"/>
      <c r="OL76" s="92"/>
      <c r="OM76" s="92"/>
      <c r="ON76" s="92"/>
      <c r="OO76" s="92"/>
      <c r="OP76" s="92"/>
      <c r="OQ76" s="92"/>
      <c r="OR76" s="92"/>
      <c r="OS76" s="92"/>
      <c r="OT76" s="92"/>
      <c r="OU76" s="92"/>
      <c r="OV76" s="92"/>
      <c r="OW76" s="92"/>
      <c r="OX76" s="92"/>
      <c r="OY76" s="92"/>
      <c r="OZ76" s="92"/>
      <c r="PA76" s="92"/>
      <c r="PB76" s="92"/>
      <c r="PC76" s="92"/>
      <c r="PD76" s="92"/>
      <c r="PE76" s="92"/>
      <c r="PF76" s="92"/>
      <c r="PG76" s="92"/>
      <c r="PH76" s="92"/>
      <c r="PI76" s="92"/>
      <c r="PJ76" s="92"/>
      <c r="PK76" s="92"/>
      <c r="PL76" s="92"/>
      <c r="PM76" s="92"/>
      <c r="PN76" s="92"/>
      <c r="PO76" s="92"/>
      <c r="PP76" s="92"/>
      <c r="PQ76" s="92"/>
      <c r="PR76" s="92"/>
      <c r="PS76" s="92"/>
      <c r="PT76" s="92"/>
      <c r="PU76" s="92"/>
      <c r="PV76" s="92"/>
      <c r="PW76" s="92"/>
      <c r="PX76" s="92"/>
      <c r="PY76" s="92"/>
      <c r="PZ76" s="92"/>
      <c r="QA76" s="92"/>
      <c r="QB76" s="92"/>
      <c r="QC76" s="92"/>
      <c r="QD76" s="92"/>
      <c r="QE76" s="92"/>
      <c r="QF76" s="92"/>
      <c r="QG76" s="92"/>
      <c r="QH76" s="92"/>
      <c r="QI76" s="92"/>
      <c r="QJ76" s="92"/>
      <c r="QK76" s="92"/>
      <c r="QL76" s="92"/>
      <c r="QM76" s="92"/>
      <c r="QN76" s="92"/>
      <c r="QO76" s="92"/>
    </row>
    <row r="77" spans="2:457">
      <c r="C77" s="258"/>
      <c r="D77" s="94"/>
      <c r="E77" s="94"/>
      <c r="F77" s="94"/>
      <c r="G77" s="94"/>
      <c r="H77" s="94"/>
      <c r="I77" s="94"/>
      <c r="J77" s="94"/>
      <c r="K77" s="94"/>
      <c r="L77" s="94"/>
      <c r="M77" s="94"/>
      <c r="N77" s="94"/>
      <c r="O77" s="95"/>
      <c r="P77" s="102"/>
      <c r="Q77" s="92"/>
      <c r="R77" s="92"/>
      <c r="S77" s="92"/>
      <c r="T77" s="280" t="s">
        <v>581</v>
      </c>
      <c r="U77" s="281" t="s">
        <v>568</v>
      </c>
      <c r="V77" s="455">
        <v>1E-8</v>
      </c>
      <c r="W77" s="318" t="s">
        <v>635</v>
      </c>
      <c r="X77" s="285"/>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92"/>
      <c r="DC77" s="92"/>
      <c r="DD77" s="92"/>
      <c r="DE77" s="92"/>
      <c r="DF77" s="92"/>
      <c r="DG77" s="92"/>
      <c r="DH77" s="92"/>
      <c r="DI77" s="92"/>
      <c r="DJ77" s="92"/>
      <c r="DK77" s="92"/>
      <c r="DL77" s="92"/>
      <c r="DM77" s="92"/>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92"/>
      <c r="FF77" s="92"/>
      <c r="FG77" s="92"/>
      <c r="FH77" s="92"/>
      <c r="FI77" s="92"/>
      <c r="FJ77" s="92"/>
      <c r="FK77" s="92"/>
      <c r="FL77" s="92"/>
      <c r="FM77" s="92"/>
      <c r="FN77" s="92"/>
      <c r="FO77" s="92"/>
      <c r="FP77" s="92"/>
      <c r="FQ77" s="92"/>
      <c r="FR77" s="92"/>
      <c r="FS77" s="92"/>
      <c r="FT77" s="92"/>
      <c r="FU77" s="92"/>
      <c r="FV77" s="92"/>
      <c r="FW77" s="92"/>
      <c r="FX77" s="92"/>
      <c r="FY77" s="92"/>
      <c r="FZ77" s="92"/>
      <c r="GA77" s="92"/>
      <c r="GB77" s="92"/>
      <c r="GC77" s="92"/>
      <c r="GD77" s="92"/>
      <c r="GE77" s="92"/>
      <c r="GF77" s="92"/>
      <c r="GG77" s="92"/>
      <c r="GH77" s="92"/>
      <c r="GI77" s="92"/>
      <c r="GJ77" s="92"/>
      <c r="GK77" s="92"/>
      <c r="GL77" s="92"/>
      <c r="GM77" s="92"/>
      <c r="GN77" s="92"/>
      <c r="GO77" s="92"/>
      <c r="GP77" s="92"/>
      <c r="GQ77" s="92"/>
      <c r="GR77" s="92"/>
      <c r="GS77" s="92"/>
      <c r="GT77" s="92"/>
      <c r="GU77" s="92"/>
      <c r="GV77" s="92"/>
      <c r="GW77" s="92"/>
      <c r="GX77" s="92"/>
      <c r="GY77" s="92"/>
      <c r="GZ77" s="92"/>
      <c r="HA77" s="92"/>
      <c r="HB77" s="92"/>
      <c r="HC77" s="92"/>
      <c r="HD77" s="92"/>
      <c r="HE77" s="92"/>
      <c r="HF77" s="92"/>
      <c r="HG77" s="92"/>
      <c r="HH77" s="92"/>
      <c r="HI77" s="92"/>
      <c r="HJ77" s="92"/>
      <c r="HK77" s="92"/>
      <c r="HL77" s="92"/>
      <c r="HM77" s="92"/>
      <c r="HN77" s="92"/>
      <c r="HO77" s="92"/>
      <c r="HP77" s="92"/>
      <c r="HQ77" s="92"/>
      <c r="HR77" s="92"/>
      <c r="HS77" s="92"/>
      <c r="HT77" s="92"/>
      <c r="HU77" s="92"/>
      <c r="HV77" s="92"/>
      <c r="HW77" s="92"/>
      <c r="HX77" s="92"/>
      <c r="HY77" s="92"/>
      <c r="HZ77" s="92"/>
      <c r="IA77" s="92"/>
      <c r="IB77" s="92"/>
      <c r="IC77" s="92"/>
      <c r="ID77" s="92"/>
      <c r="IE77" s="92"/>
      <c r="IF77" s="92"/>
      <c r="IG77" s="92"/>
      <c r="IH77" s="92"/>
      <c r="II77" s="92"/>
      <c r="IJ77" s="92"/>
      <c r="IK77" s="92"/>
      <c r="IL77" s="92"/>
      <c r="IM77" s="92"/>
      <c r="IN77" s="92"/>
      <c r="IO77" s="92"/>
      <c r="IP77" s="92"/>
      <c r="IQ77" s="92"/>
      <c r="IR77" s="92"/>
      <c r="IS77" s="92"/>
      <c r="IT77" s="92"/>
      <c r="IU77" s="92"/>
      <c r="IV77" s="92"/>
      <c r="IW77" s="92"/>
      <c r="IX77" s="92"/>
      <c r="IY77" s="92"/>
      <c r="IZ77" s="92"/>
      <c r="JA77" s="92"/>
      <c r="JB77" s="92"/>
      <c r="JC77" s="92"/>
      <c r="JD77" s="92"/>
      <c r="JE77" s="92"/>
      <c r="JF77" s="92"/>
      <c r="JG77" s="92"/>
      <c r="JH77" s="92"/>
      <c r="JI77" s="92"/>
      <c r="JJ77" s="92"/>
      <c r="JK77" s="92"/>
      <c r="JL77" s="92"/>
      <c r="JM77" s="92"/>
      <c r="JN77" s="92"/>
      <c r="JO77" s="92"/>
      <c r="JP77" s="92"/>
      <c r="JQ77" s="92"/>
      <c r="JR77" s="92"/>
      <c r="JS77" s="92"/>
      <c r="JT77" s="92"/>
      <c r="JU77" s="92"/>
      <c r="JV77" s="92"/>
      <c r="JW77" s="92"/>
      <c r="JX77" s="92"/>
      <c r="JY77" s="92"/>
      <c r="JZ77" s="92"/>
      <c r="KA77" s="92"/>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2"/>
      <c r="LA77" s="92"/>
      <c r="LB77" s="92"/>
      <c r="LC77" s="92"/>
      <c r="LD77" s="92"/>
      <c r="LE77" s="92"/>
      <c r="LF77" s="92"/>
      <c r="LG77" s="92"/>
      <c r="LH77" s="92"/>
      <c r="LI77" s="92"/>
      <c r="LJ77" s="92"/>
      <c r="LK77" s="92"/>
      <c r="LL77" s="92"/>
      <c r="LM77" s="92"/>
      <c r="LN77" s="92"/>
      <c r="LO77" s="92"/>
      <c r="LP77" s="92"/>
      <c r="LQ77" s="92"/>
      <c r="LR77" s="92"/>
      <c r="LS77" s="92"/>
      <c r="LT77" s="92"/>
      <c r="LU77" s="92"/>
      <c r="LV77" s="92"/>
      <c r="LW77" s="92"/>
      <c r="LX77" s="92"/>
      <c r="LY77" s="92"/>
      <c r="LZ77" s="92"/>
      <c r="MA77" s="92"/>
      <c r="MB77" s="92"/>
      <c r="MC77" s="92"/>
      <c r="MD77" s="92"/>
      <c r="ME77" s="92"/>
      <c r="MF77" s="92"/>
      <c r="MG77" s="92"/>
      <c r="MH77" s="92"/>
      <c r="MI77" s="92"/>
      <c r="MJ77" s="92"/>
      <c r="MK77" s="92"/>
      <c r="ML77" s="92"/>
      <c r="MM77" s="92"/>
      <c r="MN77" s="92"/>
      <c r="MO77" s="92"/>
      <c r="MP77" s="92"/>
      <c r="MQ77" s="92"/>
      <c r="MR77" s="92"/>
      <c r="MS77" s="92"/>
      <c r="MT77" s="92"/>
      <c r="MU77" s="92"/>
      <c r="MV77" s="92"/>
      <c r="MW77" s="92"/>
      <c r="MX77" s="92"/>
      <c r="MY77" s="92"/>
      <c r="MZ77" s="92"/>
      <c r="NA77" s="92"/>
      <c r="NB77" s="92"/>
      <c r="NC77" s="92"/>
      <c r="ND77" s="92"/>
      <c r="NE77" s="92"/>
      <c r="NF77" s="92"/>
      <c r="NG77" s="92"/>
      <c r="NH77" s="92"/>
      <c r="NI77" s="92"/>
      <c r="NJ77" s="92"/>
      <c r="NK77" s="92"/>
      <c r="NL77" s="92"/>
      <c r="NM77" s="92"/>
      <c r="NN77" s="92"/>
      <c r="NO77" s="92"/>
      <c r="NP77" s="92"/>
      <c r="NQ77" s="92"/>
      <c r="NR77" s="92"/>
      <c r="NS77" s="92"/>
      <c r="NT77" s="92"/>
      <c r="NU77" s="92"/>
      <c r="NV77" s="92"/>
      <c r="NW77" s="92"/>
      <c r="NX77" s="92"/>
      <c r="NY77" s="92"/>
      <c r="NZ77" s="92"/>
      <c r="OA77" s="92"/>
      <c r="OB77" s="92"/>
      <c r="OC77" s="92"/>
      <c r="OD77" s="92"/>
      <c r="OE77" s="92"/>
      <c r="OF77" s="92"/>
      <c r="OG77" s="92"/>
      <c r="OH77" s="92"/>
      <c r="OI77" s="92"/>
      <c r="OJ77" s="92"/>
      <c r="OK77" s="92"/>
      <c r="OL77" s="92"/>
      <c r="OM77" s="92"/>
      <c r="ON77" s="92"/>
      <c r="OO77" s="92"/>
      <c r="OP77" s="92"/>
      <c r="OQ77" s="92"/>
      <c r="OR77" s="92"/>
      <c r="OS77" s="92"/>
      <c r="OT77" s="92"/>
      <c r="OU77" s="92"/>
      <c r="OV77" s="92"/>
      <c r="OW77" s="92"/>
      <c r="OX77" s="92"/>
      <c r="OY77" s="92"/>
      <c r="OZ77" s="92"/>
      <c r="PA77" s="92"/>
      <c r="PB77" s="92"/>
      <c r="PC77" s="92"/>
      <c r="PD77" s="92"/>
      <c r="PE77" s="92"/>
      <c r="PF77" s="92"/>
      <c r="PG77" s="92"/>
      <c r="PH77" s="92"/>
      <c r="PI77" s="92"/>
      <c r="PJ77" s="92"/>
      <c r="PK77" s="92"/>
      <c r="PL77" s="92"/>
      <c r="PM77" s="92"/>
      <c r="PN77" s="92"/>
      <c r="PO77" s="92"/>
      <c r="PP77" s="92"/>
      <c r="PQ77" s="92"/>
      <c r="PR77" s="92"/>
      <c r="PS77" s="92"/>
      <c r="PT77" s="92"/>
      <c r="PU77" s="92"/>
      <c r="PV77" s="92"/>
      <c r="PW77" s="92"/>
      <c r="PX77" s="92"/>
      <c r="PY77" s="92"/>
      <c r="PZ77" s="92"/>
      <c r="QA77" s="92"/>
      <c r="QB77" s="92"/>
      <c r="QC77" s="92"/>
      <c r="QD77" s="92"/>
      <c r="QE77" s="92"/>
      <c r="QF77" s="92"/>
      <c r="QG77" s="92"/>
      <c r="QH77" s="92"/>
      <c r="QI77" s="92"/>
      <c r="QJ77" s="92"/>
      <c r="QK77" s="92"/>
      <c r="QL77" s="92"/>
      <c r="QM77" s="92"/>
      <c r="QN77" s="92"/>
      <c r="QO77" s="92"/>
    </row>
    <row r="78" spans="2:457" ht="15.75">
      <c r="C78" s="51" t="s">
        <v>546</v>
      </c>
      <c r="D78" s="95">
        <f>D73+D75+D76</f>
        <v>4051.5992572417294</v>
      </c>
      <c r="E78" s="95">
        <f>E73+E75+E76</f>
        <v>2553.8955186293929</v>
      </c>
      <c r="F78" s="95">
        <f>F73+F75+F76</f>
        <v>923.48520590802025</v>
      </c>
      <c r="G78" s="95">
        <f>G73+G75+G76</f>
        <v>7528.9799817791427</v>
      </c>
      <c r="H78" s="94"/>
      <c r="I78" s="95">
        <f t="shared" ref="I78:P78" si="52">I73+I75+I76</f>
        <v>379.74684000000002</v>
      </c>
      <c r="J78" s="95">
        <f t="shared" si="52"/>
        <v>0</v>
      </c>
      <c r="K78" s="95">
        <f t="shared" si="52"/>
        <v>15.064</v>
      </c>
      <c r="L78" s="95">
        <f t="shared" si="52"/>
        <v>0.36</v>
      </c>
      <c r="M78" s="95">
        <f t="shared" si="52"/>
        <v>100.87700000000001</v>
      </c>
      <c r="N78" s="95">
        <f t="shared" si="52"/>
        <v>131.316</v>
      </c>
      <c r="O78" s="95">
        <f t="shared" si="52"/>
        <v>122.598</v>
      </c>
      <c r="P78" s="95">
        <f t="shared" si="52"/>
        <v>6410.0495466186076</v>
      </c>
      <c r="Q78" s="92"/>
      <c r="R78" s="92"/>
      <c r="S78" s="92"/>
      <c r="T78" s="459" t="s">
        <v>582</v>
      </c>
      <c r="U78" s="457" t="s">
        <v>568</v>
      </c>
      <c r="V78" s="458">
        <v>3.6E-9</v>
      </c>
      <c r="W78" s="89" t="s">
        <v>636</v>
      </c>
      <c r="X78" s="387"/>
      <c r="Y78" s="303"/>
      <c r="AE78" s="92"/>
      <c r="AF78" s="92"/>
      <c r="AG78" s="92"/>
      <c r="AH78" s="92"/>
      <c r="AI78" s="92"/>
      <c r="AJ78" s="92"/>
      <c r="AK78" s="92"/>
      <c r="AL78" s="92"/>
      <c r="AM78" s="92"/>
      <c r="AN78" s="92"/>
      <c r="AO78" s="92"/>
      <c r="AP78" s="92"/>
      <c r="AQ78" s="92"/>
      <c r="AR78" s="92"/>
      <c r="AS78" s="92"/>
      <c r="AT78" s="92"/>
      <c r="AU78" s="92"/>
      <c r="AV78" s="92"/>
      <c r="AW78" s="92"/>
      <c r="AX78" s="92"/>
      <c r="AY78" s="92"/>
      <c r="AZ78" s="92"/>
      <c r="BA78" s="92"/>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92"/>
      <c r="DC78" s="92"/>
      <c r="DD78" s="92"/>
      <c r="DE78" s="92"/>
      <c r="DF78" s="92"/>
      <c r="DG78" s="92"/>
      <c r="DH78" s="92"/>
      <c r="DI78" s="92"/>
      <c r="DJ78" s="92"/>
      <c r="DK78" s="92"/>
      <c r="DL78" s="92"/>
      <c r="DM78" s="92"/>
      <c r="DN78" s="92"/>
      <c r="DO78" s="92"/>
      <c r="DP78" s="92"/>
      <c r="DQ78" s="92"/>
      <c r="DR78" s="92"/>
      <c r="DS78" s="92"/>
      <c r="DT78" s="92"/>
      <c r="DU78" s="92"/>
      <c r="DV78" s="92"/>
      <c r="DW78" s="92"/>
      <c r="DX78" s="92"/>
      <c r="DY78" s="92"/>
      <c r="DZ78" s="9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92"/>
      <c r="FF78" s="92"/>
      <c r="FG78" s="92"/>
      <c r="FH78" s="92"/>
      <c r="FI78" s="92"/>
      <c r="FJ78" s="92"/>
      <c r="FK78" s="92"/>
      <c r="FL78" s="92"/>
      <c r="FM78" s="92"/>
      <c r="FN78" s="92"/>
      <c r="FO78" s="92"/>
      <c r="FP78" s="92"/>
      <c r="FQ78" s="92"/>
      <c r="FR78" s="92"/>
      <c r="FS78" s="92"/>
      <c r="FT78" s="92"/>
      <c r="FU78" s="92"/>
      <c r="FV78" s="92"/>
      <c r="FW78" s="92"/>
      <c r="FX78" s="92"/>
      <c r="FY78" s="92"/>
      <c r="FZ78" s="92"/>
      <c r="GA78" s="92"/>
      <c r="GB78" s="92"/>
      <c r="GC78" s="92"/>
      <c r="GD78" s="92"/>
      <c r="GE78" s="92"/>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2"/>
      <c r="HE78" s="92"/>
      <c r="HF78" s="92"/>
      <c r="HG78" s="92"/>
      <c r="HH78" s="92"/>
      <c r="HI78" s="92"/>
      <c r="HJ78" s="92"/>
      <c r="HK78" s="92"/>
      <c r="HL78" s="92"/>
      <c r="HM78" s="92"/>
      <c r="HN78" s="92"/>
      <c r="HO78" s="92"/>
      <c r="HP78" s="92"/>
      <c r="HQ78" s="92"/>
      <c r="HR78" s="92"/>
      <c r="HS78" s="92"/>
      <c r="HT78" s="92"/>
      <c r="HU78" s="92"/>
      <c r="HV78" s="92"/>
      <c r="HW78" s="92"/>
      <c r="HX78" s="92"/>
      <c r="HY78" s="92"/>
      <c r="HZ78" s="92"/>
      <c r="IA78" s="92"/>
      <c r="IB78" s="92"/>
      <c r="IC78" s="92"/>
      <c r="ID78" s="92"/>
      <c r="IE78" s="92"/>
      <c r="IF78" s="92"/>
      <c r="IG78" s="92"/>
      <c r="IH78" s="92"/>
      <c r="II78" s="92"/>
      <c r="IJ78" s="92"/>
      <c r="IK78" s="92"/>
      <c r="IL78" s="92"/>
      <c r="IM78" s="92"/>
      <c r="IN78" s="92"/>
      <c r="IO78" s="92"/>
      <c r="IP78" s="92"/>
      <c r="IQ78" s="92"/>
      <c r="IR78" s="92"/>
      <c r="IS78" s="92"/>
      <c r="IT78" s="92"/>
      <c r="IU78" s="92"/>
      <c r="IV78" s="92"/>
      <c r="IW78" s="92"/>
      <c r="IX78" s="92"/>
      <c r="IY78" s="92"/>
      <c r="IZ78" s="92"/>
      <c r="JA78" s="92"/>
      <c r="JB78" s="92"/>
      <c r="JC78" s="92"/>
      <c r="JD78" s="92"/>
      <c r="JE78" s="92"/>
      <c r="JF78" s="92"/>
      <c r="JG78" s="92"/>
      <c r="JH78" s="92"/>
      <c r="JI78" s="92"/>
      <c r="JJ78" s="92"/>
      <c r="JK78" s="92"/>
      <c r="JL78" s="92"/>
      <c r="JM78" s="92"/>
      <c r="JN78" s="92"/>
      <c r="JO78" s="92"/>
      <c r="JP78" s="92"/>
      <c r="JQ78" s="92"/>
      <c r="JR78" s="92"/>
      <c r="JS78" s="92"/>
      <c r="JT78" s="92"/>
      <c r="JU78" s="92"/>
      <c r="JV78" s="92"/>
      <c r="JW78" s="92"/>
      <c r="JX78" s="92"/>
      <c r="JY78" s="92"/>
      <c r="JZ78" s="92"/>
      <c r="KA78" s="92"/>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2"/>
      <c r="LA78" s="92"/>
      <c r="LB78" s="92"/>
      <c r="LC78" s="92"/>
      <c r="LD78" s="92"/>
      <c r="LE78" s="92"/>
      <c r="LF78" s="92"/>
      <c r="LG78" s="92"/>
      <c r="LH78" s="92"/>
      <c r="LI78" s="92"/>
      <c r="LJ78" s="92"/>
      <c r="LK78" s="92"/>
      <c r="LL78" s="92"/>
      <c r="LM78" s="92"/>
      <c r="LN78" s="92"/>
      <c r="LO78" s="92"/>
      <c r="LP78" s="92"/>
      <c r="LQ78" s="92"/>
      <c r="LR78" s="92"/>
      <c r="LS78" s="92"/>
      <c r="LT78" s="92"/>
      <c r="LU78" s="92"/>
      <c r="LV78" s="92"/>
      <c r="LW78" s="92"/>
      <c r="LX78" s="92"/>
      <c r="LY78" s="92"/>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2"/>
      <c r="MY78" s="92"/>
      <c r="MZ78" s="92"/>
      <c r="NA78" s="92"/>
      <c r="NB78" s="92"/>
      <c r="NC78" s="92"/>
      <c r="ND78" s="92"/>
      <c r="NE78" s="92"/>
      <c r="NF78" s="92"/>
      <c r="NG78" s="92"/>
      <c r="NH78" s="92"/>
      <c r="NI78" s="92"/>
      <c r="NJ78" s="92"/>
      <c r="NK78" s="92"/>
      <c r="NL78" s="92"/>
      <c r="NM78" s="92"/>
      <c r="NN78" s="92"/>
      <c r="NO78" s="92"/>
      <c r="NP78" s="92"/>
      <c r="NQ78" s="92"/>
      <c r="NR78" s="92"/>
      <c r="NS78" s="92"/>
      <c r="NT78" s="92"/>
      <c r="NU78" s="92"/>
      <c r="NV78" s="92"/>
      <c r="NW78" s="92"/>
      <c r="NX78" s="92"/>
      <c r="NY78" s="92"/>
      <c r="NZ78" s="92"/>
      <c r="OA78" s="92"/>
      <c r="OB78" s="92"/>
      <c r="OC78" s="92"/>
      <c r="OD78" s="92"/>
      <c r="OE78" s="92"/>
      <c r="OF78" s="92"/>
      <c r="OG78" s="92"/>
      <c r="OH78" s="92"/>
      <c r="OI78" s="92"/>
      <c r="OJ78" s="92"/>
      <c r="OK78" s="92"/>
      <c r="OL78" s="92"/>
      <c r="OM78" s="92"/>
      <c r="ON78" s="92"/>
      <c r="OO78" s="92"/>
      <c r="OP78" s="92"/>
      <c r="OQ78" s="92"/>
      <c r="OR78" s="92"/>
      <c r="OS78" s="92"/>
      <c r="OT78" s="92"/>
      <c r="OU78" s="92"/>
      <c r="OV78" s="92"/>
      <c r="OW78" s="92"/>
      <c r="OX78" s="92"/>
      <c r="OY78" s="92"/>
      <c r="OZ78" s="92"/>
      <c r="PA78" s="92"/>
      <c r="PB78" s="92"/>
      <c r="PC78" s="92"/>
      <c r="PD78" s="92"/>
      <c r="PE78" s="92"/>
      <c r="PF78" s="92"/>
      <c r="PG78" s="92"/>
      <c r="PH78" s="92"/>
      <c r="PI78" s="92"/>
      <c r="PJ78" s="92"/>
      <c r="PK78" s="92"/>
      <c r="PL78" s="92"/>
      <c r="PM78" s="92"/>
      <c r="PN78" s="92"/>
      <c r="PO78" s="92"/>
      <c r="PP78" s="92"/>
      <c r="PQ78" s="92"/>
      <c r="PR78" s="92"/>
      <c r="PS78" s="92"/>
      <c r="PT78" s="92"/>
      <c r="PU78" s="92"/>
      <c r="PV78" s="92"/>
      <c r="PW78" s="92"/>
      <c r="PX78" s="92"/>
      <c r="PY78" s="92"/>
      <c r="PZ78" s="92"/>
      <c r="QA78" s="92"/>
      <c r="QB78" s="92"/>
      <c r="QC78" s="92"/>
      <c r="QD78" s="92"/>
      <c r="QE78" s="92"/>
      <c r="QF78" s="92"/>
      <c r="QG78" s="92"/>
      <c r="QH78" s="92"/>
      <c r="QI78" s="92"/>
      <c r="QJ78" s="92"/>
      <c r="QK78" s="92"/>
      <c r="QL78" s="92"/>
      <c r="QM78" s="92"/>
      <c r="QN78" s="92"/>
      <c r="QO78" s="92"/>
    </row>
    <row r="79" spans="2:457">
      <c r="D79" s="94"/>
      <c r="E79" s="94"/>
      <c r="F79" s="94"/>
      <c r="G79" s="94"/>
      <c r="H79" s="94"/>
      <c r="I79" s="94"/>
      <c r="J79" s="94"/>
      <c r="K79" s="94"/>
      <c r="L79" s="94"/>
      <c r="M79" s="94"/>
      <c r="N79" s="94"/>
      <c r="O79" s="95"/>
      <c r="P79" s="101"/>
      <c r="Q79" s="92"/>
      <c r="R79" s="92"/>
      <c r="S79" s="92"/>
      <c r="T79" s="456" t="s">
        <v>910</v>
      </c>
      <c r="U79" s="282" t="s">
        <v>568</v>
      </c>
      <c r="V79" s="319">
        <v>3.5999999999999999E-3</v>
      </c>
      <c r="W79" s="460" t="s">
        <v>390</v>
      </c>
      <c r="X79" s="286"/>
      <c r="AE79" s="92"/>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c r="BZ79" s="92"/>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2"/>
      <c r="CZ79" s="92"/>
      <c r="DA79" s="92"/>
      <c r="DB79" s="92"/>
      <c r="DC79" s="92"/>
      <c r="DD79" s="92"/>
      <c r="DE79" s="92"/>
      <c r="DF79" s="92"/>
      <c r="DG79" s="92"/>
      <c r="DH79" s="92"/>
      <c r="DI79" s="92"/>
      <c r="DJ79" s="92"/>
      <c r="DK79" s="92"/>
      <c r="DL79" s="92"/>
      <c r="DM79" s="92"/>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92"/>
      <c r="EL79" s="92"/>
      <c r="EM79" s="92"/>
      <c r="EN79" s="92"/>
      <c r="EO79" s="92"/>
      <c r="EP79" s="92"/>
      <c r="EQ79" s="92"/>
      <c r="ER79" s="92"/>
      <c r="ES79" s="92"/>
      <c r="ET79" s="92"/>
      <c r="EU79" s="92"/>
      <c r="EV79" s="92"/>
      <c r="EW79" s="92"/>
      <c r="EX79" s="92"/>
      <c r="EY79" s="92"/>
      <c r="EZ79" s="92"/>
      <c r="FA79" s="92"/>
      <c r="FB79" s="92"/>
      <c r="FC79" s="92"/>
      <c r="FD79" s="92"/>
      <c r="FE79" s="92"/>
      <c r="FF79" s="92"/>
      <c r="FG79" s="92"/>
      <c r="FH79" s="92"/>
      <c r="FI79" s="92"/>
      <c r="FJ79" s="92"/>
      <c r="FK79" s="92"/>
      <c r="FL79" s="92"/>
      <c r="FM79" s="92"/>
      <c r="FN79" s="92"/>
      <c r="FO79" s="92"/>
      <c r="FP79" s="92"/>
      <c r="FQ79" s="92"/>
      <c r="FR79" s="92"/>
      <c r="FS79" s="92"/>
      <c r="FT79" s="92"/>
      <c r="FU79" s="92"/>
      <c r="FV79" s="92"/>
      <c r="FW79" s="92"/>
      <c r="FX79" s="92"/>
      <c r="FY79" s="92"/>
      <c r="FZ79" s="92"/>
      <c r="GA79" s="92"/>
      <c r="GB79" s="92"/>
      <c r="GC79" s="92"/>
      <c r="GD79" s="92"/>
      <c r="GE79" s="92"/>
      <c r="GF79" s="92"/>
      <c r="GG79" s="92"/>
      <c r="GH79" s="92"/>
      <c r="GI79" s="92"/>
      <c r="GJ79" s="92"/>
      <c r="GK79" s="92"/>
      <c r="GL79" s="92"/>
      <c r="GM79" s="92"/>
      <c r="GN79" s="92"/>
      <c r="GO79" s="92"/>
      <c r="GP79" s="92"/>
      <c r="GQ79" s="92"/>
      <c r="GR79" s="92"/>
      <c r="GS79" s="92"/>
      <c r="GT79" s="92"/>
      <c r="GU79" s="92"/>
      <c r="GV79" s="92"/>
      <c r="GW79" s="92"/>
      <c r="GX79" s="92"/>
      <c r="GY79" s="92"/>
      <c r="GZ79" s="92"/>
      <c r="HA79" s="92"/>
      <c r="HB79" s="92"/>
      <c r="HC79" s="92"/>
      <c r="HD79" s="92"/>
      <c r="HE79" s="92"/>
      <c r="HF79" s="92"/>
      <c r="HG79" s="92"/>
      <c r="HH79" s="92"/>
      <c r="HI79" s="92"/>
      <c r="HJ79" s="92"/>
      <c r="HK79" s="92"/>
      <c r="HL79" s="92"/>
      <c r="HM79" s="92"/>
      <c r="HN79" s="92"/>
      <c r="HO79" s="92"/>
      <c r="HP79" s="92"/>
      <c r="HQ79" s="92"/>
      <c r="HR79" s="92"/>
      <c r="HS79" s="92"/>
      <c r="HT79" s="92"/>
      <c r="HU79" s="92"/>
      <c r="HV79" s="92"/>
      <c r="HW79" s="92"/>
      <c r="HX79" s="92"/>
      <c r="HY79" s="92"/>
      <c r="HZ79" s="92"/>
      <c r="IA79" s="92"/>
      <c r="IB79" s="92"/>
      <c r="IC79" s="92"/>
      <c r="ID79" s="92"/>
      <c r="IE79" s="92"/>
      <c r="IF79" s="92"/>
      <c r="IG79" s="92"/>
      <c r="IH79" s="92"/>
      <c r="II79" s="92"/>
      <c r="IJ79" s="92"/>
      <c r="IK79" s="92"/>
      <c r="IL79" s="92"/>
      <c r="IM79" s="92"/>
      <c r="IN79" s="92"/>
      <c r="IO79" s="92"/>
      <c r="IP79" s="92"/>
      <c r="IQ79" s="92"/>
      <c r="IR79" s="92"/>
      <c r="IS79" s="92"/>
      <c r="IT79" s="92"/>
      <c r="IU79" s="92"/>
      <c r="IV79" s="92"/>
      <c r="IW79" s="92"/>
      <c r="IX79" s="92"/>
      <c r="IY79" s="92"/>
      <c r="IZ79" s="92"/>
      <c r="JA79" s="92"/>
      <c r="JB79" s="92"/>
      <c r="JC79" s="92"/>
      <c r="JD79" s="92"/>
      <c r="JE79" s="92"/>
      <c r="JF79" s="92"/>
      <c r="JG79" s="92"/>
      <c r="JH79" s="92"/>
      <c r="JI79" s="92"/>
      <c r="JJ79" s="92"/>
      <c r="JK79" s="92"/>
      <c r="JL79" s="92"/>
      <c r="JM79" s="92"/>
      <c r="JN79" s="92"/>
      <c r="JO79" s="92"/>
      <c r="JP79" s="92"/>
      <c r="JQ79" s="92"/>
      <c r="JR79" s="92"/>
      <c r="JS79" s="92"/>
      <c r="JT79" s="92"/>
      <c r="JU79" s="92"/>
      <c r="JV79" s="92"/>
      <c r="JW79" s="92"/>
      <c r="JX79" s="92"/>
      <c r="JY79" s="92"/>
      <c r="JZ79" s="92"/>
      <c r="KA79" s="92"/>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2"/>
      <c r="LA79" s="92"/>
      <c r="LB79" s="92"/>
      <c r="LC79" s="92"/>
      <c r="LD79" s="92"/>
      <c r="LE79" s="92"/>
      <c r="LF79" s="92"/>
      <c r="LG79" s="92"/>
      <c r="LH79" s="92"/>
      <c r="LI79" s="92"/>
      <c r="LJ79" s="92"/>
      <c r="LK79" s="92"/>
      <c r="LL79" s="92"/>
      <c r="LM79" s="92"/>
      <c r="LN79" s="92"/>
      <c r="LO79" s="92"/>
      <c r="LP79" s="92"/>
      <c r="LQ79" s="92"/>
      <c r="LR79" s="92"/>
      <c r="LS79" s="92"/>
      <c r="LT79" s="92"/>
      <c r="LU79" s="92"/>
      <c r="LV79" s="92"/>
      <c r="LW79" s="92"/>
      <c r="LX79" s="92"/>
      <c r="LY79" s="92"/>
      <c r="LZ79" s="92"/>
      <c r="MA79" s="92"/>
      <c r="MB79" s="92"/>
      <c r="MC79" s="92"/>
      <c r="MD79" s="92"/>
      <c r="ME79" s="92"/>
      <c r="MF79" s="92"/>
      <c r="MG79" s="92"/>
      <c r="MH79" s="92"/>
      <c r="MI79" s="92"/>
      <c r="MJ79" s="92"/>
      <c r="MK79" s="92"/>
      <c r="ML79" s="92"/>
      <c r="MM79" s="92"/>
      <c r="MN79" s="92"/>
      <c r="MO79" s="92"/>
      <c r="MP79" s="92"/>
      <c r="MQ79" s="92"/>
      <c r="MR79" s="92"/>
      <c r="MS79" s="92"/>
      <c r="MT79" s="92"/>
      <c r="MU79" s="92"/>
      <c r="MV79" s="92"/>
      <c r="MW79" s="92"/>
      <c r="MX79" s="92"/>
      <c r="MY79" s="92"/>
      <c r="MZ79" s="92"/>
      <c r="NA79" s="92"/>
      <c r="NB79" s="92"/>
      <c r="NC79" s="92"/>
      <c r="ND79" s="92"/>
      <c r="NE79" s="92"/>
      <c r="NF79" s="92"/>
      <c r="NG79" s="92"/>
      <c r="NH79" s="92"/>
      <c r="NI79" s="92"/>
      <c r="NJ79" s="92"/>
      <c r="NK79" s="92"/>
      <c r="NL79" s="92"/>
      <c r="NM79" s="92"/>
      <c r="NN79" s="92"/>
      <c r="NO79" s="92"/>
      <c r="NP79" s="92"/>
      <c r="NQ79" s="92"/>
      <c r="NR79" s="92"/>
      <c r="NS79" s="92"/>
      <c r="NT79" s="92"/>
      <c r="NU79" s="92"/>
      <c r="NV79" s="92"/>
      <c r="NW79" s="92"/>
      <c r="NX79" s="92"/>
      <c r="NY79" s="92"/>
      <c r="NZ79" s="92"/>
      <c r="OA79" s="92"/>
      <c r="OB79" s="92"/>
      <c r="OC79" s="92"/>
      <c r="OD79" s="92"/>
      <c r="OE79" s="92"/>
      <c r="OF79" s="92"/>
      <c r="OG79" s="92"/>
      <c r="OH79" s="92"/>
      <c r="OI79" s="92"/>
      <c r="OJ79" s="92"/>
      <c r="OK79" s="92"/>
      <c r="OL79" s="92"/>
      <c r="OM79" s="92"/>
      <c r="ON79" s="92"/>
      <c r="OO79" s="92"/>
      <c r="OP79" s="92"/>
      <c r="OQ79" s="92"/>
      <c r="OR79" s="92"/>
      <c r="OS79" s="92"/>
      <c r="OT79" s="92"/>
      <c r="OU79" s="92"/>
      <c r="OV79" s="92"/>
      <c r="OW79" s="92"/>
      <c r="OX79" s="92"/>
      <c r="OY79" s="92"/>
      <c r="OZ79" s="92"/>
      <c r="PA79" s="92"/>
      <c r="PB79" s="92"/>
      <c r="PC79" s="92"/>
      <c r="PD79" s="92"/>
      <c r="PE79" s="92"/>
      <c r="PF79" s="92"/>
      <c r="PG79" s="92"/>
      <c r="PH79" s="92"/>
      <c r="PI79" s="92"/>
      <c r="PJ79" s="92"/>
      <c r="PK79" s="92"/>
      <c r="PL79" s="92"/>
      <c r="PM79" s="92"/>
      <c r="PN79" s="92"/>
      <c r="PO79" s="92"/>
      <c r="PP79" s="92"/>
      <c r="PQ79" s="92"/>
      <c r="PR79" s="92"/>
      <c r="PS79" s="92"/>
      <c r="PT79" s="92"/>
      <c r="PU79" s="92"/>
      <c r="PV79" s="92"/>
      <c r="PW79" s="92"/>
      <c r="PX79" s="92"/>
      <c r="PY79" s="92"/>
      <c r="PZ79" s="92"/>
      <c r="QA79" s="92"/>
      <c r="QB79" s="92"/>
      <c r="QC79" s="92"/>
      <c r="QD79" s="92"/>
      <c r="QE79" s="92"/>
      <c r="QF79" s="92"/>
      <c r="QG79" s="92"/>
      <c r="QH79" s="92"/>
      <c r="QI79" s="92"/>
      <c r="QJ79" s="92"/>
      <c r="QK79" s="92"/>
      <c r="QL79" s="92"/>
      <c r="QM79" s="92"/>
      <c r="QN79" s="92"/>
      <c r="QO79" s="92"/>
    </row>
    <row r="80" spans="2:457">
      <c r="B80" s="274"/>
      <c r="C80" s="296" t="s">
        <v>586</v>
      </c>
      <c r="D80" s="268"/>
      <c r="E80" s="268"/>
      <c r="F80" s="268"/>
      <c r="G80" s="268"/>
      <c r="H80" s="268"/>
      <c r="I80" s="268"/>
      <c r="J80" s="268"/>
      <c r="K80" s="268"/>
      <c r="L80" s="268"/>
      <c r="M80" s="268"/>
      <c r="N80" s="268"/>
      <c r="O80" s="269"/>
      <c r="P80" s="301"/>
      <c r="Q80" s="92"/>
      <c r="R80" s="92"/>
      <c r="S80" s="92"/>
      <c r="AE80" s="92"/>
      <c r="AF80" s="92"/>
      <c r="AG80" s="92"/>
      <c r="AH80" s="92"/>
      <c r="AI80" s="92"/>
      <c r="AJ80" s="92"/>
      <c r="AK80" s="92"/>
      <c r="AL80" s="92"/>
      <c r="AM80" s="92"/>
      <c r="AN80" s="92"/>
      <c r="AO80" s="92"/>
      <c r="AP80" s="92"/>
      <c r="AQ80" s="92"/>
      <c r="AR80" s="92"/>
      <c r="AS80" s="92"/>
      <c r="AT80" s="92"/>
      <c r="AU80" s="92"/>
      <c r="AV80" s="92"/>
      <c r="AW80" s="92"/>
      <c r="AX80" s="92"/>
      <c r="AY80" s="92"/>
      <c r="AZ80" s="92"/>
      <c r="BA80" s="92"/>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2"/>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2"/>
      <c r="CZ80" s="92"/>
      <c r="DA80" s="92"/>
      <c r="DB80" s="92"/>
      <c r="DC80" s="92"/>
      <c r="DD80" s="92"/>
      <c r="DE80" s="92"/>
      <c r="DF80" s="92"/>
      <c r="DG80" s="92"/>
      <c r="DH80" s="92"/>
      <c r="DI80" s="92"/>
      <c r="DJ80" s="92"/>
      <c r="DK80" s="92"/>
      <c r="DL80" s="92"/>
      <c r="DM80" s="92"/>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2"/>
      <c r="EN80" s="92"/>
      <c r="EO80" s="92"/>
      <c r="EP80" s="92"/>
      <c r="EQ80" s="92"/>
      <c r="ER80" s="92"/>
      <c r="ES80" s="92"/>
      <c r="ET80" s="92"/>
      <c r="EU80" s="92"/>
      <c r="EV80" s="92"/>
      <c r="EW80" s="92"/>
      <c r="EX80" s="92"/>
      <c r="EY80" s="92"/>
      <c r="EZ80" s="92"/>
      <c r="FA80" s="92"/>
      <c r="FB80" s="92"/>
      <c r="FC80" s="92"/>
      <c r="FD80" s="92"/>
      <c r="FE80" s="92"/>
      <c r="FF80" s="92"/>
      <c r="FG80" s="92"/>
      <c r="FH80" s="92"/>
      <c r="FI80" s="92"/>
      <c r="FJ80" s="92"/>
      <c r="FK80" s="92"/>
      <c r="FL80" s="92"/>
      <c r="FM80" s="92"/>
      <c r="FN80" s="92"/>
      <c r="FO80" s="92"/>
      <c r="FP80" s="92"/>
      <c r="FQ80" s="92"/>
      <c r="FR80" s="92"/>
      <c r="FS80" s="92"/>
      <c r="FT80" s="92"/>
      <c r="FU80" s="92"/>
      <c r="FV80" s="92"/>
      <c r="FW80" s="92"/>
      <c r="FX80" s="92"/>
      <c r="FY80" s="92"/>
      <c r="FZ80" s="92"/>
      <c r="GA80" s="92"/>
      <c r="GB80" s="92"/>
      <c r="GC80" s="92"/>
      <c r="GD80" s="92"/>
      <c r="GE80" s="92"/>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2"/>
      <c r="HE80" s="92"/>
      <c r="HF80" s="92"/>
      <c r="HG80" s="92"/>
      <c r="HH80" s="92"/>
      <c r="HI80" s="92"/>
      <c r="HJ80" s="92"/>
      <c r="HK80" s="92"/>
      <c r="HL80" s="92"/>
      <c r="HM80" s="92"/>
      <c r="HN80" s="92"/>
      <c r="HO80" s="92"/>
      <c r="HP80" s="92"/>
      <c r="HQ80" s="92"/>
      <c r="HR80" s="92"/>
      <c r="HS80" s="92"/>
      <c r="HT80" s="92"/>
      <c r="HU80" s="92"/>
      <c r="HV80" s="92"/>
      <c r="HW80" s="92"/>
      <c r="HX80" s="92"/>
      <c r="HY80" s="92"/>
      <c r="HZ80" s="92"/>
      <c r="IA80" s="92"/>
      <c r="IB80" s="92"/>
      <c r="IC80" s="92"/>
      <c r="ID80" s="92"/>
      <c r="IE80" s="92"/>
      <c r="IF80" s="92"/>
      <c r="IG80" s="92"/>
      <c r="IH80" s="92"/>
      <c r="II80" s="92"/>
      <c r="IJ80" s="92"/>
      <c r="IK80" s="92"/>
      <c r="IL80" s="92"/>
      <c r="IM80" s="92"/>
      <c r="IN80" s="92"/>
      <c r="IO80" s="92"/>
      <c r="IP80" s="92"/>
      <c r="IQ80" s="92"/>
      <c r="IR80" s="92"/>
      <c r="IS80" s="92"/>
      <c r="IT80" s="92"/>
      <c r="IU80" s="92"/>
      <c r="IV80" s="92"/>
      <c r="IW80" s="92"/>
      <c r="IX80" s="92"/>
      <c r="IY80" s="92"/>
      <c r="IZ80" s="92"/>
      <c r="JA80" s="92"/>
      <c r="JB80" s="92"/>
      <c r="JC80" s="92"/>
      <c r="JD80" s="92"/>
      <c r="JE80" s="92"/>
      <c r="JF80" s="92"/>
      <c r="JG80" s="92"/>
      <c r="JH80" s="92"/>
      <c r="JI80" s="92"/>
      <c r="JJ80" s="92"/>
      <c r="JK80" s="92"/>
      <c r="JL80" s="92"/>
      <c r="JM80" s="92"/>
      <c r="JN80" s="92"/>
      <c r="JO80" s="92"/>
      <c r="JP80" s="92"/>
      <c r="JQ80" s="92"/>
      <c r="JR80" s="92"/>
      <c r="JS80" s="92"/>
      <c r="JT80" s="92"/>
      <c r="JU80" s="92"/>
      <c r="JV80" s="92"/>
      <c r="JW80" s="92"/>
      <c r="JX80" s="92"/>
      <c r="JY80" s="92"/>
      <c r="JZ80" s="92"/>
      <c r="KA80" s="92"/>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2"/>
      <c r="LA80" s="92"/>
      <c r="LB80" s="92"/>
      <c r="LC80" s="92"/>
      <c r="LD80" s="92"/>
      <c r="LE80" s="92"/>
      <c r="LF80" s="92"/>
      <c r="LG80" s="92"/>
      <c r="LH80" s="92"/>
      <c r="LI80" s="92"/>
      <c r="LJ80" s="92"/>
      <c r="LK80" s="92"/>
      <c r="LL80" s="92"/>
      <c r="LM80" s="92"/>
      <c r="LN80" s="92"/>
      <c r="LO80" s="92"/>
      <c r="LP80" s="92"/>
      <c r="LQ80" s="92"/>
      <c r="LR80" s="92"/>
      <c r="LS80" s="92"/>
      <c r="LT80" s="92"/>
      <c r="LU80" s="92"/>
      <c r="LV80" s="92"/>
      <c r="LW80" s="92"/>
      <c r="LX80" s="92"/>
      <c r="LY80" s="92"/>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2"/>
      <c r="MY80" s="92"/>
      <c r="MZ80" s="92"/>
      <c r="NA80" s="92"/>
      <c r="NB80" s="92"/>
      <c r="NC80" s="92"/>
      <c r="ND80" s="92"/>
      <c r="NE80" s="92"/>
      <c r="NF80" s="92"/>
      <c r="NG80" s="92"/>
      <c r="NH80" s="92"/>
      <c r="NI80" s="92"/>
      <c r="NJ80" s="92"/>
      <c r="NK80" s="92"/>
      <c r="NL80" s="92"/>
      <c r="NM80" s="92"/>
      <c r="NN80" s="92"/>
      <c r="NO80" s="92"/>
      <c r="NP80" s="92"/>
      <c r="NQ80" s="92"/>
      <c r="NR80" s="92"/>
      <c r="NS80" s="92"/>
      <c r="NT80" s="92"/>
      <c r="NU80" s="92"/>
      <c r="NV80" s="92"/>
      <c r="NW80" s="92"/>
      <c r="NX80" s="92"/>
      <c r="NY80" s="92"/>
      <c r="NZ80" s="92"/>
      <c r="OA80" s="92"/>
      <c r="OB80" s="92"/>
      <c r="OC80" s="92"/>
      <c r="OD80" s="92"/>
      <c r="OE80" s="92"/>
      <c r="OF80" s="92"/>
      <c r="OG80" s="92"/>
      <c r="OH80" s="92"/>
      <c r="OI80" s="92"/>
      <c r="OJ80" s="92"/>
      <c r="OK80" s="92"/>
      <c r="OL80" s="92"/>
      <c r="OM80" s="92"/>
      <c r="ON80" s="92"/>
      <c r="OO80" s="92"/>
      <c r="OP80" s="92"/>
      <c r="OQ80" s="92"/>
      <c r="OR80" s="92"/>
      <c r="OS80" s="92"/>
      <c r="OT80" s="92"/>
      <c r="OU80" s="92"/>
      <c r="OV80" s="92"/>
      <c r="OW80" s="92"/>
      <c r="OX80" s="92"/>
      <c r="OY80" s="92"/>
      <c r="OZ80" s="92"/>
      <c r="PA80" s="92"/>
      <c r="PB80" s="92"/>
      <c r="PC80" s="92"/>
      <c r="PD80" s="92"/>
      <c r="PE80" s="92"/>
      <c r="PF80" s="92"/>
      <c r="PG80" s="92"/>
      <c r="PH80" s="92"/>
      <c r="PI80" s="92"/>
      <c r="PJ80" s="92"/>
      <c r="PK80" s="92"/>
      <c r="PL80" s="92"/>
      <c r="PM80" s="92"/>
      <c r="PN80" s="92"/>
      <c r="PO80" s="92"/>
      <c r="PP80" s="92"/>
      <c r="PQ80" s="92"/>
      <c r="PR80" s="92"/>
      <c r="PS80" s="92"/>
      <c r="PT80" s="92"/>
      <c r="PU80" s="92"/>
      <c r="PV80" s="92"/>
      <c r="PW80" s="92"/>
      <c r="PX80" s="92"/>
      <c r="PY80" s="92"/>
      <c r="PZ80" s="92"/>
      <c r="QA80" s="92"/>
      <c r="QB80" s="92"/>
      <c r="QC80" s="92"/>
      <c r="QD80" s="92"/>
      <c r="QE80" s="92"/>
      <c r="QF80" s="92"/>
      <c r="QG80" s="92"/>
      <c r="QH80" s="92"/>
      <c r="QI80" s="92"/>
      <c r="QJ80" s="92"/>
      <c r="QK80" s="92"/>
      <c r="QL80" s="92"/>
      <c r="QM80" s="92"/>
      <c r="QN80" s="92"/>
      <c r="QO80" s="92"/>
    </row>
    <row r="81" spans="1:457">
      <c r="C81" s="297" t="s">
        <v>226</v>
      </c>
      <c r="D81" s="293">
        <f>D67-'AggrStep1-energy'!D94</f>
        <v>0</v>
      </c>
      <c r="E81" s="293">
        <f>E67-'AggrStep1-energy'!E94</f>
        <v>7.5365014935901156E-2</v>
      </c>
      <c r="F81" s="293">
        <f>F67-'AggrStep1-energy'!F94</f>
        <v>0</v>
      </c>
      <c r="G81" s="294">
        <f>SUM(D81:F81)</f>
        <v>7.5365014935901156E-2</v>
      </c>
      <c r="H81" s="94"/>
      <c r="I81" s="94"/>
      <c r="J81" s="94"/>
      <c r="K81" s="94"/>
      <c r="L81" s="94"/>
      <c r="M81" s="94"/>
      <c r="N81" s="94"/>
      <c r="O81" s="95"/>
      <c r="P81" s="101"/>
      <c r="Q81" s="92"/>
      <c r="R81" s="92"/>
      <c r="S81" s="92"/>
      <c r="T81" s="694" t="s">
        <v>637</v>
      </c>
      <c r="U81" s="694"/>
      <c r="V81" s="694"/>
      <c r="W81" s="694"/>
      <c r="X81" s="704">
        <f>V77/V78</f>
        <v>2.7777777777777777</v>
      </c>
      <c r="AE81" s="92"/>
      <c r="AF81" s="92"/>
      <c r="AG81" s="92"/>
      <c r="AH81" s="92"/>
      <c r="AI81" s="92"/>
      <c r="AJ81" s="92"/>
      <c r="AK81" s="92"/>
      <c r="AL81" s="92"/>
      <c r="AM81" s="92"/>
      <c r="AN81" s="92"/>
      <c r="AO81" s="92"/>
      <c r="AP81" s="92"/>
      <c r="AQ81" s="92"/>
      <c r="AR81" s="92"/>
      <c r="AS81" s="92"/>
      <c r="AT81" s="92"/>
      <c r="AU81" s="92"/>
      <c r="AV81" s="92"/>
      <c r="AW81" s="92"/>
      <c r="AX81" s="92"/>
      <c r="AY81" s="92"/>
      <c r="AZ81" s="92"/>
      <c r="BA81" s="92"/>
      <c r="BB81" s="92"/>
      <c r="BC81" s="92"/>
      <c r="BD81" s="92"/>
      <c r="BE81" s="92"/>
      <c r="BF81" s="92"/>
      <c r="BG81" s="92"/>
      <c r="BH81" s="92"/>
      <c r="BI81" s="92"/>
      <c r="BJ81" s="92"/>
      <c r="BK81" s="92"/>
      <c r="BL81" s="92"/>
      <c r="BM81" s="92"/>
      <c r="BN81" s="92"/>
      <c r="BO81" s="92"/>
      <c r="BP81" s="92"/>
      <c r="BQ81" s="92"/>
      <c r="BR81" s="92"/>
      <c r="BS81" s="92"/>
      <c r="BT81" s="92"/>
      <c r="BU81" s="92"/>
      <c r="BV81" s="92"/>
      <c r="BW81" s="92"/>
      <c r="BX81" s="92"/>
      <c r="BY81" s="92"/>
      <c r="BZ81" s="92"/>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2"/>
      <c r="CZ81" s="92"/>
      <c r="DA81" s="92"/>
      <c r="DB81" s="92"/>
      <c r="DC81" s="92"/>
      <c r="DD81" s="92"/>
      <c r="DE81" s="92"/>
      <c r="DF81" s="92"/>
      <c r="DG81" s="92"/>
      <c r="DH81" s="92"/>
      <c r="DI81" s="92"/>
      <c r="DJ81" s="92"/>
      <c r="DK81" s="92"/>
      <c r="DL81" s="92"/>
      <c r="DM81" s="92"/>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92"/>
      <c r="EL81" s="92"/>
      <c r="EM81" s="92"/>
      <c r="EN81" s="92"/>
      <c r="EO81" s="92"/>
      <c r="EP81" s="92"/>
      <c r="EQ81" s="92"/>
      <c r="ER81" s="92"/>
      <c r="ES81" s="92"/>
      <c r="ET81" s="92"/>
      <c r="EU81" s="92"/>
      <c r="EV81" s="92"/>
      <c r="EW81" s="92"/>
      <c r="EX81" s="92"/>
      <c r="EY81" s="92"/>
      <c r="EZ81" s="92"/>
      <c r="FA81" s="92"/>
      <c r="FB81" s="92"/>
      <c r="FC81" s="92"/>
      <c r="FD81" s="92"/>
      <c r="FE81" s="92"/>
      <c r="FF81" s="92"/>
      <c r="FG81" s="92"/>
      <c r="FH81" s="92"/>
      <c r="FI81" s="92"/>
      <c r="FJ81" s="92"/>
      <c r="FK81" s="92"/>
      <c r="FL81" s="92"/>
      <c r="FM81" s="92"/>
      <c r="FN81" s="92"/>
      <c r="FO81" s="92"/>
      <c r="FP81" s="92"/>
      <c r="FQ81" s="92"/>
      <c r="FR81" s="92"/>
      <c r="FS81" s="92"/>
      <c r="FT81" s="92"/>
      <c r="FU81" s="92"/>
      <c r="FV81" s="92"/>
      <c r="FW81" s="92"/>
      <c r="FX81" s="92"/>
      <c r="FY81" s="92"/>
      <c r="FZ81" s="92"/>
      <c r="GA81" s="92"/>
      <c r="GB81" s="92"/>
      <c r="GC81" s="92"/>
      <c r="GD81" s="92"/>
      <c r="GE81" s="92"/>
      <c r="GF81" s="92"/>
      <c r="GG81" s="92"/>
      <c r="GH81" s="92"/>
      <c r="GI81" s="92"/>
      <c r="GJ81" s="92"/>
      <c r="GK81" s="92"/>
      <c r="GL81" s="92"/>
      <c r="GM81" s="92"/>
      <c r="GN81" s="92"/>
      <c r="GO81" s="92"/>
      <c r="GP81" s="92"/>
      <c r="GQ81" s="92"/>
      <c r="GR81" s="92"/>
      <c r="GS81" s="92"/>
      <c r="GT81" s="92"/>
      <c r="GU81" s="92"/>
      <c r="GV81" s="92"/>
      <c r="GW81" s="92"/>
      <c r="GX81" s="92"/>
      <c r="GY81" s="92"/>
      <c r="GZ81" s="92"/>
      <c r="HA81" s="92"/>
      <c r="HB81" s="92"/>
      <c r="HC81" s="92"/>
      <c r="HD81" s="92"/>
      <c r="HE81" s="92"/>
      <c r="HF81" s="92"/>
      <c r="HG81" s="92"/>
      <c r="HH81" s="92"/>
      <c r="HI81" s="92"/>
      <c r="HJ81" s="92"/>
      <c r="HK81" s="92"/>
      <c r="HL81" s="92"/>
      <c r="HM81" s="92"/>
      <c r="HN81" s="92"/>
      <c r="HO81" s="92"/>
      <c r="HP81" s="92"/>
      <c r="HQ81" s="92"/>
      <c r="HR81" s="92"/>
      <c r="HS81" s="92"/>
      <c r="HT81" s="92"/>
      <c r="HU81" s="92"/>
      <c r="HV81" s="92"/>
      <c r="HW81" s="92"/>
      <c r="HX81" s="92"/>
      <c r="HY81" s="92"/>
      <c r="HZ81" s="92"/>
      <c r="IA81" s="92"/>
      <c r="IB81" s="92"/>
      <c r="IC81" s="92"/>
      <c r="ID81" s="92"/>
      <c r="IE81" s="92"/>
      <c r="IF81" s="92"/>
      <c r="IG81" s="92"/>
      <c r="IH81" s="92"/>
      <c r="II81" s="92"/>
      <c r="IJ81" s="92"/>
      <c r="IK81" s="92"/>
      <c r="IL81" s="92"/>
      <c r="IM81" s="92"/>
      <c r="IN81" s="92"/>
      <c r="IO81" s="92"/>
      <c r="IP81" s="92"/>
      <c r="IQ81" s="92"/>
      <c r="IR81" s="92"/>
      <c r="IS81" s="92"/>
      <c r="IT81" s="92"/>
      <c r="IU81" s="92"/>
      <c r="IV81" s="92"/>
      <c r="IW81" s="92"/>
      <c r="IX81" s="92"/>
      <c r="IY81" s="92"/>
      <c r="IZ81" s="92"/>
      <c r="JA81" s="92"/>
      <c r="JB81" s="92"/>
      <c r="JC81" s="92"/>
      <c r="JD81" s="92"/>
      <c r="JE81" s="92"/>
      <c r="JF81" s="92"/>
      <c r="JG81" s="92"/>
      <c r="JH81" s="92"/>
      <c r="JI81" s="92"/>
      <c r="JJ81" s="92"/>
      <c r="JK81" s="92"/>
      <c r="JL81" s="92"/>
      <c r="JM81" s="92"/>
      <c r="JN81" s="92"/>
      <c r="JO81" s="92"/>
      <c r="JP81" s="92"/>
      <c r="JQ81" s="92"/>
      <c r="JR81" s="92"/>
      <c r="JS81" s="92"/>
      <c r="JT81" s="92"/>
      <c r="JU81" s="92"/>
      <c r="JV81" s="92"/>
      <c r="JW81" s="92"/>
      <c r="JX81" s="92"/>
      <c r="JY81" s="92"/>
      <c r="JZ81" s="92"/>
      <c r="KA81" s="92"/>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2"/>
      <c r="LA81" s="92"/>
      <c r="LB81" s="92"/>
      <c r="LC81" s="92"/>
      <c r="LD81" s="92"/>
      <c r="LE81" s="92"/>
      <c r="LF81" s="92"/>
      <c r="LG81" s="92"/>
      <c r="LH81" s="92"/>
      <c r="LI81" s="92"/>
      <c r="LJ81" s="92"/>
      <c r="LK81" s="92"/>
      <c r="LL81" s="92"/>
      <c r="LM81" s="92"/>
      <c r="LN81" s="92"/>
      <c r="LO81" s="92"/>
      <c r="LP81" s="92"/>
      <c r="LQ81" s="92"/>
      <c r="LR81" s="92"/>
      <c r="LS81" s="92"/>
      <c r="LT81" s="92"/>
      <c r="LU81" s="92"/>
      <c r="LV81" s="92"/>
      <c r="LW81" s="92"/>
      <c r="LX81" s="92"/>
      <c r="LY81" s="92"/>
      <c r="LZ81" s="92"/>
      <c r="MA81" s="92"/>
      <c r="MB81" s="92"/>
      <c r="MC81" s="92"/>
      <c r="MD81" s="92"/>
      <c r="ME81" s="92"/>
      <c r="MF81" s="92"/>
      <c r="MG81" s="92"/>
      <c r="MH81" s="92"/>
      <c r="MI81" s="92"/>
      <c r="MJ81" s="92"/>
      <c r="MK81" s="92"/>
      <c r="ML81" s="92"/>
      <c r="MM81" s="92"/>
      <c r="MN81" s="92"/>
      <c r="MO81" s="92"/>
      <c r="MP81" s="92"/>
      <c r="MQ81" s="92"/>
      <c r="MR81" s="92"/>
      <c r="MS81" s="92"/>
      <c r="MT81" s="92"/>
      <c r="MU81" s="92"/>
      <c r="MV81" s="92"/>
      <c r="MW81" s="92"/>
      <c r="MX81" s="92"/>
      <c r="MY81" s="92"/>
      <c r="MZ81" s="92"/>
      <c r="NA81" s="92"/>
      <c r="NB81" s="92"/>
      <c r="NC81" s="92"/>
      <c r="ND81" s="92"/>
      <c r="NE81" s="92"/>
      <c r="NF81" s="92"/>
      <c r="NG81" s="92"/>
      <c r="NH81" s="92"/>
      <c r="NI81" s="92"/>
      <c r="NJ81" s="92"/>
      <c r="NK81" s="92"/>
      <c r="NL81" s="92"/>
      <c r="NM81" s="92"/>
      <c r="NN81" s="92"/>
      <c r="NO81" s="92"/>
      <c r="NP81" s="92"/>
      <c r="NQ81" s="92"/>
      <c r="NR81" s="92"/>
      <c r="NS81" s="92"/>
      <c r="NT81" s="92"/>
      <c r="NU81" s="92"/>
      <c r="NV81" s="92"/>
      <c r="NW81" s="92"/>
      <c r="NX81" s="92"/>
      <c r="NY81" s="92"/>
      <c r="NZ81" s="92"/>
      <c r="OA81" s="92"/>
      <c r="OB81" s="92"/>
      <c r="OC81" s="92"/>
      <c r="OD81" s="92"/>
      <c r="OE81" s="92"/>
      <c r="OF81" s="92"/>
      <c r="OG81" s="92"/>
      <c r="OH81" s="92"/>
      <c r="OI81" s="92"/>
      <c r="OJ81" s="92"/>
      <c r="OK81" s="92"/>
      <c r="OL81" s="92"/>
      <c r="OM81" s="92"/>
      <c r="ON81" s="92"/>
      <c r="OO81" s="92"/>
      <c r="OP81" s="92"/>
      <c r="OQ81" s="92"/>
      <c r="OR81" s="92"/>
      <c r="OS81" s="92"/>
      <c r="OT81" s="92"/>
      <c r="OU81" s="92"/>
      <c r="OV81" s="92"/>
      <c r="OW81" s="92"/>
      <c r="OX81" s="92"/>
      <c r="OY81" s="92"/>
      <c r="OZ81" s="92"/>
      <c r="PA81" s="92"/>
      <c r="PB81" s="92"/>
      <c r="PC81" s="92"/>
      <c r="PD81" s="92"/>
      <c r="PE81" s="92"/>
      <c r="PF81" s="92"/>
      <c r="PG81" s="92"/>
      <c r="PH81" s="92"/>
      <c r="PI81" s="92"/>
      <c r="PJ81" s="92"/>
      <c r="PK81" s="92"/>
      <c r="PL81" s="92"/>
      <c r="PM81" s="92"/>
      <c r="PN81" s="92"/>
      <c r="PO81" s="92"/>
      <c r="PP81" s="92"/>
      <c r="PQ81" s="92"/>
      <c r="PR81" s="92"/>
      <c r="PS81" s="92"/>
      <c r="PT81" s="92"/>
      <c r="PU81" s="92"/>
      <c r="PV81" s="92"/>
      <c r="PW81" s="92"/>
      <c r="PX81" s="92"/>
      <c r="PY81" s="92"/>
      <c r="PZ81" s="92"/>
      <c r="QA81" s="92"/>
      <c r="QB81" s="92"/>
      <c r="QC81" s="92"/>
      <c r="QD81" s="92"/>
      <c r="QE81" s="92"/>
      <c r="QF81" s="92"/>
      <c r="QG81" s="92"/>
      <c r="QH81" s="92"/>
      <c r="QI81" s="92"/>
      <c r="QJ81" s="92"/>
      <c r="QK81" s="92"/>
      <c r="QL81" s="92"/>
      <c r="QM81" s="92"/>
      <c r="QN81" s="92"/>
      <c r="QO81" s="92"/>
    </row>
    <row r="82" spans="1:457">
      <c r="C82" s="297" t="s">
        <v>387</v>
      </c>
      <c r="D82" s="293">
        <f>D68-'AggrStep1-energy'!D95</f>
        <v>0</v>
      </c>
      <c r="E82" s="293">
        <f>E68-'AggrStep1-energy'!E95</f>
        <v>1.6292535026315136</v>
      </c>
      <c r="F82" s="293">
        <f>F68-'AggrStep1-energy'!F95</f>
        <v>0.38099999999997181</v>
      </c>
      <c r="G82" s="294">
        <f t="shared" ref="G82" si="53">SUM(D82:F82)</f>
        <v>2.0102535026314854</v>
      </c>
      <c r="H82" s="94"/>
      <c r="I82" s="94"/>
      <c r="J82" s="94"/>
      <c r="K82" s="94"/>
      <c r="L82" s="94"/>
      <c r="M82" s="94"/>
      <c r="N82" s="94"/>
      <c r="O82" s="95"/>
      <c r="P82" s="101"/>
      <c r="Q82" s="92"/>
      <c r="R82" s="92"/>
      <c r="S82" s="92"/>
      <c r="T82" s="694"/>
      <c r="U82" s="694"/>
      <c r="V82" s="694"/>
      <c r="W82" s="694"/>
      <c r="X82" s="704"/>
      <c r="AE82" s="92"/>
      <c r="AF82" s="92"/>
      <c r="AG82" s="92"/>
      <c r="AH82" s="92"/>
      <c r="AO82" s="92"/>
      <c r="AP82" s="92"/>
      <c r="AQ82" s="92"/>
      <c r="AR82" s="92"/>
      <c r="AS82" s="92"/>
      <c r="AT82" s="92"/>
      <c r="AU82" s="92"/>
      <c r="AV82" s="92"/>
      <c r="AW82" s="92"/>
      <c r="AX82" s="92"/>
      <c r="AY82" s="92"/>
      <c r="AZ82" s="92"/>
      <c r="BA82" s="92"/>
      <c r="BB82" s="92"/>
      <c r="BC82" s="92"/>
      <c r="BD82" s="92"/>
      <c r="BE82" s="92"/>
      <c r="BF82" s="92"/>
      <c r="BG82" s="92"/>
      <c r="BH82" s="92"/>
      <c r="BI82" s="92"/>
      <c r="BJ82" s="92"/>
      <c r="BK82" s="92"/>
      <c r="BL82" s="92"/>
      <c r="BM82" s="92"/>
      <c r="BN82" s="92"/>
      <c r="BO82" s="92"/>
      <c r="BP82" s="92"/>
      <c r="BQ82" s="92"/>
      <c r="BR82" s="92"/>
      <c r="BS82" s="92"/>
      <c r="BT82" s="92"/>
      <c r="BU82" s="92"/>
      <c r="BV82" s="92"/>
      <c r="BW82" s="92"/>
      <c r="BX82" s="92"/>
      <c r="BY82" s="92"/>
      <c r="BZ82" s="92"/>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2"/>
      <c r="CZ82" s="92"/>
      <c r="DA82" s="92"/>
      <c r="DB82" s="92"/>
      <c r="DC82" s="92"/>
      <c r="DD82" s="92"/>
      <c r="DE82" s="92"/>
      <c r="DF82" s="92"/>
      <c r="DG82" s="92"/>
      <c r="DH82" s="92"/>
      <c r="DI82" s="92"/>
      <c r="DJ82" s="92"/>
      <c r="DK82" s="92"/>
      <c r="DL82" s="92"/>
      <c r="DM82" s="92"/>
      <c r="DN82" s="92"/>
      <c r="DO82" s="92"/>
      <c r="DP82" s="92"/>
      <c r="DQ82" s="92"/>
      <c r="DR82" s="92"/>
      <c r="DS82" s="92"/>
      <c r="DT82" s="92"/>
      <c r="DU82" s="92"/>
      <c r="DV82" s="92"/>
      <c r="DW82" s="92"/>
      <c r="DX82" s="92"/>
      <c r="DY82" s="92"/>
      <c r="DZ82" s="92"/>
      <c r="EA82" s="92"/>
      <c r="EB82" s="92"/>
      <c r="EC82" s="92"/>
      <c r="ED82" s="92"/>
      <c r="EE82" s="92"/>
      <c r="EF82" s="92"/>
      <c r="EG82" s="92"/>
      <c r="EH82" s="92"/>
      <c r="EI82" s="92"/>
      <c r="EJ82" s="92"/>
      <c r="EK82" s="92"/>
      <c r="EL82" s="92"/>
      <c r="EM82" s="92"/>
      <c r="EN82" s="92"/>
      <c r="EO82" s="92"/>
      <c r="EP82" s="92"/>
      <c r="EQ82" s="92"/>
      <c r="ER82" s="92"/>
      <c r="ES82" s="92"/>
      <c r="ET82" s="92"/>
      <c r="EU82" s="92"/>
      <c r="EV82" s="92"/>
      <c r="EW82" s="92"/>
      <c r="EX82" s="92"/>
      <c r="EY82" s="92"/>
      <c r="EZ82" s="92"/>
      <c r="FA82" s="92"/>
      <c r="FB82" s="92"/>
      <c r="FC82" s="92"/>
      <c r="FD82" s="92"/>
      <c r="FE82" s="92"/>
      <c r="FF82" s="92"/>
      <c r="FG82" s="92"/>
      <c r="FH82" s="92"/>
      <c r="FI82" s="92"/>
      <c r="FJ82" s="92"/>
      <c r="FK82" s="92"/>
      <c r="FL82" s="92"/>
      <c r="FM82" s="92"/>
      <c r="FN82" s="92"/>
      <c r="FO82" s="92"/>
      <c r="FP82" s="92"/>
      <c r="FQ82" s="92"/>
      <c r="FR82" s="92"/>
      <c r="FS82" s="92"/>
      <c r="FT82" s="92"/>
      <c r="FU82" s="92"/>
      <c r="FV82" s="92"/>
      <c r="FW82" s="92"/>
      <c r="FX82" s="92"/>
      <c r="FY82" s="92"/>
      <c r="FZ82" s="92"/>
      <c r="GA82" s="92"/>
      <c r="GB82" s="92"/>
      <c r="GC82" s="92"/>
      <c r="GD82" s="92"/>
      <c r="GE82" s="92"/>
      <c r="GF82" s="92"/>
      <c r="GG82" s="92"/>
      <c r="GH82" s="92"/>
      <c r="GI82" s="92"/>
      <c r="GJ82" s="92"/>
      <c r="GK82" s="92"/>
      <c r="GL82" s="92"/>
      <c r="GM82" s="92"/>
      <c r="GN82" s="92"/>
      <c r="GO82" s="92"/>
      <c r="GP82" s="92"/>
      <c r="GQ82" s="92"/>
      <c r="GR82" s="92"/>
      <c r="GS82" s="92"/>
      <c r="GT82" s="92"/>
      <c r="GU82" s="92"/>
      <c r="GV82" s="92"/>
      <c r="GW82" s="92"/>
      <c r="GX82" s="92"/>
      <c r="GY82" s="92"/>
      <c r="GZ82" s="92"/>
      <c r="HA82" s="92"/>
      <c r="HB82" s="92"/>
      <c r="HC82" s="92"/>
      <c r="HD82" s="92"/>
      <c r="HE82" s="92"/>
      <c r="HF82" s="92"/>
      <c r="HG82" s="92"/>
      <c r="HH82" s="92"/>
      <c r="HI82" s="92"/>
      <c r="HJ82" s="92"/>
      <c r="HK82" s="92"/>
      <c r="HL82" s="92"/>
      <c r="HM82" s="92"/>
      <c r="HN82" s="92"/>
      <c r="HO82" s="92"/>
      <c r="HP82" s="92"/>
      <c r="HQ82" s="92"/>
      <c r="HR82" s="92"/>
      <c r="HS82" s="92"/>
      <c r="HT82" s="92"/>
      <c r="HU82" s="92"/>
      <c r="HV82" s="92"/>
      <c r="HW82" s="92"/>
      <c r="HX82" s="92"/>
      <c r="HY82" s="92"/>
      <c r="HZ82" s="92"/>
      <c r="IA82" s="92"/>
      <c r="IB82" s="92"/>
      <c r="IC82" s="92"/>
      <c r="ID82" s="92"/>
      <c r="IE82" s="92"/>
      <c r="IF82" s="92"/>
      <c r="IG82" s="92"/>
      <c r="IH82" s="92"/>
      <c r="II82" s="92"/>
      <c r="IJ82" s="92"/>
      <c r="IK82" s="92"/>
      <c r="IL82" s="92"/>
      <c r="IM82" s="92"/>
      <c r="IN82" s="92"/>
      <c r="IO82" s="92"/>
      <c r="IP82" s="92"/>
      <c r="IQ82" s="92"/>
      <c r="IR82" s="92"/>
      <c r="IS82" s="92"/>
      <c r="IT82" s="92"/>
      <c r="IU82" s="92"/>
      <c r="IV82" s="92"/>
      <c r="IW82" s="92"/>
      <c r="IX82" s="92"/>
      <c r="IY82" s="92"/>
      <c r="IZ82" s="92"/>
      <c r="JA82" s="92"/>
      <c r="JB82" s="92"/>
      <c r="JC82" s="92"/>
      <c r="JD82" s="92"/>
      <c r="JE82" s="92"/>
      <c r="JF82" s="92"/>
      <c r="JG82" s="92"/>
      <c r="JH82" s="92"/>
      <c r="JI82" s="92"/>
      <c r="JJ82" s="92"/>
      <c r="JK82" s="92"/>
      <c r="JL82" s="92"/>
      <c r="JM82" s="92"/>
      <c r="JN82" s="92"/>
      <c r="JO82" s="92"/>
      <c r="JP82" s="92"/>
      <c r="JQ82" s="92"/>
      <c r="JR82" s="92"/>
      <c r="JS82" s="92"/>
      <c r="JT82" s="92"/>
      <c r="JU82" s="92"/>
      <c r="JV82" s="92"/>
      <c r="JW82" s="92"/>
      <c r="JX82" s="92"/>
      <c r="JY82" s="92"/>
      <c r="JZ82" s="92"/>
      <c r="KA82" s="92"/>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2"/>
      <c r="LA82" s="92"/>
      <c r="LB82" s="92"/>
      <c r="LC82" s="92"/>
      <c r="LD82" s="92"/>
      <c r="LE82" s="92"/>
      <c r="LF82" s="92"/>
      <c r="LG82" s="92"/>
      <c r="LH82" s="92"/>
      <c r="LI82" s="92"/>
      <c r="LJ82" s="92"/>
      <c r="LK82" s="92"/>
      <c r="LL82" s="92"/>
      <c r="LM82" s="92"/>
      <c r="LN82" s="92"/>
      <c r="LO82" s="92"/>
      <c r="LP82" s="92"/>
      <c r="LQ82" s="92"/>
      <c r="LR82" s="92"/>
      <c r="LS82" s="92"/>
      <c r="LT82" s="92"/>
      <c r="LU82" s="92"/>
      <c r="LV82" s="92"/>
      <c r="LW82" s="92"/>
      <c r="LX82" s="92"/>
      <c r="LY82" s="92"/>
      <c r="LZ82" s="92"/>
      <c r="MA82" s="92"/>
      <c r="MB82" s="92"/>
      <c r="MC82" s="92"/>
      <c r="MD82" s="92"/>
      <c r="ME82" s="92"/>
      <c r="MF82" s="92"/>
      <c r="MG82" s="92"/>
      <c r="MH82" s="92"/>
      <c r="MI82" s="92"/>
      <c r="MJ82" s="92"/>
      <c r="MK82" s="92"/>
      <c r="ML82" s="92"/>
      <c r="MM82" s="92"/>
      <c r="MN82" s="92"/>
      <c r="MO82" s="92"/>
      <c r="MP82" s="92"/>
      <c r="MQ82" s="92"/>
      <c r="MR82" s="92"/>
      <c r="MS82" s="92"/>
      <c r="MT82" s="92"/>
      <c r="MU82" s="92"/>
      <c r="MV82" s="92"/>
      <c r="MW82" s="92"/>
      <c r="MX82" s="92"/>
      <c r="MY82" s="92"/>
      <c r="MZ82" s="92"/>
      <c r="NA82" s="92"/>
      <c r="NB82" s="92"/>
      <c r="NC82" s="92"/>
      <c r="ND82" s="92"/>
      <c r="NE82" s="92"/>
      <c r="NF82" s="92"/>
      <c r="NG82" s="92"/>
      <c r="NH82" s="92"/>
      <c r="NI82" s="92"/>
      <c r="NJ82" s="92"/>
      <c r="NK82" s="92"/>
      <c r="NL82" s="92"/>
      <c r="NM82" s="92"/>
      <c r="NN82" s="92"/>
      <c r="NO82" s="92"/>
      <c r="NP82" s="92"/>
      <c r="NQ82" s="92"/>
      <c r="NR82" s="92"/>
      <c r="NS82" s="92"/>
      <c r="NT82" s="92"/>
      <c r="NU82" s="92"/>
      <c r="NV82" s="92"/>
      <c r="NW82" s="92"/>
      <c r="NX82" s="92"/>
      <c r="NY82" s="92"/>
      <c r="NZ82" s="92"/>
      <c r="OA82" s="92"/>
      <c r="OB82" s="92"/>
      <c r="OC82" s="92"/>
      <c r="OD82" s="92"/>
      <c r="OE82" s="92"/>
      <c r="OF82" s="92"/>
      <c r="OG82" s="92"/>
      <c r="OH82" s="92"/>
      <c r="OI82" s="92"/>
      <c r="OJ82" s="92"/>
      <c r="OK82" s="92"/>
      <c r="OL82" s="92"/>
      <c r="OM82" s="92"/>
      <c r="ON82" s="92"/>
      <c r="OO82" s="92"/>
      <c r="OP82" s="92"/>
      <c r="OQ82" s="92"/>
      <c r="OR82" s="92"/>
      <c r="OS82" s="92"/>
      <c r="OT82" s="92"/>
      <c r="OU82" s="92"/>
      <c r="OV82" s="92"/>
      <c r="OW82" s="92"/>
      <c r="OX82" s="92"/>
      <c r="OY82" s="92"/>
      <c r="OZ82" s="92"/>
      <c r="PA82" s="92"/>
      <c r="PB82" s="92"/>
      <c r="PC82" s="92"/>
      <c r="PD82" s="92"/>
      <c r="PE82" s="92"/>
      <c r="PF82" s="92"/>
      <c r="PG82" s="92"/>
      <c r="PH82" s="92"/>
      <c r="PI82" s="92"/>
      <c r="PJ82" s="92"/>
      <c r="PK82" s="92"/>
      <c r="PL82" s="92"/>
      <c r="PM82" s="92"/>
      <c r="PN82" s="92"/>
      <c r="PO82" s="92"/>
      <c r="PP82" s="92"/>
      <c r="PQ82" s="92"/>
      <c r="PR82" s="92"/>
      <c r="PS82" s="92"/>
      <c r="PT82" s="92"/>
      <c r="PU82" s="92"/>
      <c r="PV82" s="92"/>
      <c r="PW82" s="92"/>
      <c r="PX82" s="92"/>
      <c r="PY82" s="92"/>
      <c r="PZ82" s="92"/>
      <c r="QA82" s="92"/>
      <c r="QB82" s="92"/>
      <c r="QC82" s="92"/>
      <c r="QD82" s="92"/>
      <c r="QE82" s="92"/>
      <c r="QF82" s="92"/>
      <c r="QG82" s="92"/>
      <c r="QH82" s="92"/>
      <c r="QI82" s="92"/>
      <c r="QJ82" s="92"/>
      <c r="QK82" s="92"/>
      <c r="QL82" s="92"/>
      <c r="QM82" s="92"/>
      <c r="QN82" s="92"/>
      <c r="QO82" s="92"/>
    </row>
    <row r="83" spans="1:457">
      <c r="C83" s="298" t="s">
        <v>570</v>
      </c>
      <c r="D83" s="293">
        <f>(D69+D72)-('AggrStep1-energy'!D96+'AggrStep1-energy'!D99)</f>
        <v>0.56295137205188439</v>
      </c>
      <c r="E83" s="293">
        <f>(E69+E72)-('AggrStep1-energy'!E96+'AggrStep1-energy'!E99)</f>
        <v>0.26054045710689877</v>
      </c>
      <c r="F83" s="293">
        <f>(F69+F72)-('AggrStep1-energy'!F96+'AggrStep1-energy'!F99)</f>
        <v>25.021201088328894</v>
      </c>
      <c r="G83" s="294">
        <f>SUM(D83:F83)</f>
        <v>25.844692917487677</v>
      </c>
      <c r="H83" s="94"/>
      <c r="I83" s="94"/>
      <c r="J83" s="94"/>
      <c r="K83" s="94"/>
      <c r="L83" s="94"/>
      <c r="M83" s="94"/>
      <c r="N83" s="94"/>
      <c r="O83" s="95"/>
      <c r="P83" s="101"/>
      <c r="Q83" s="92"/>
      <c r="R83" s="92"/>
      <c r="S83" s="92"/>
      <c r="T83" s="283"/>
      <c r="U83" s="283"/>
      <c r="V83" s="283"/>
      <c r="W83" s="283"/>
      <c r="X83" s="283"/>
      <c r="AE83" s="92"/>
      <c r="AF83" s="92"/>
      <c r="AG83" s="92"/>
      <c r="AH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2"/>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2"/>
      <c r="CZ83" s="92"/>
      <c r="DA83" s="92"/>
      <c r="DB83" s="92"/>
      <c r="DC83" s="92"/>
      <c r="DD83" s="92"/>
      <c r="DE83" s="92"/>
      <c r="DF83" s="92"/>
      <c r="DG83" s="92"/>
      <c r="DH83" s="92"/>
      <c r="DI83" s="92"/>
      <c r="DJ83" s="92"/>
      <c r="DK83" s="92"/>
      <c r="DL83" s="92"/>
      <c r="DM83" s="92"/>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2"/>
      <c r="EN83" s="92"/>
      <c r="EO83" s="92"/>
      <c r="EP83" s="92"/>
      <c r="EQ83" s="92"/>
      <c r="ER83" s="92"/>
      <c r="ES83" s="92"/>
      <c r="ET83" s="92"/>
      <c r="EU83" s="92"/>
      <c r="EV83" s="92"/>
      <c r="EW83" s="92"/>
      <c r="EX83" s="92"/>
      <c r="EY83" s="92"/>
      <c r="EZ83" s="92"/>
      <c r="FA83" s="92"/>
      <c r="FB83" s="92"/>
      <c r="FC83" s="92"/>
      <c r="FD83" s="92"/>
      <c r="FE83" s="92"/>
      <c r="FF83" s="92"/>
      <c r="FG83" s="92"/>
      <c r="FH83" s="92"/>
      <c r="FI83" s="92"/>
      <c r="FJ83" s="92"/>
      <c r="FK83" s="92"/>
      <c r="FL83" s="92"/>
      <c r="FM83" s="92"/>
      <c r="FN83" s="92"/>
      <c r="FO83" s="92"/>
      <c r="FP83" s="92"/>
      <c r="FQ83" s="92"/>
      <c r="FR83" s="92"/>
      <c r="FS83" s="92"/>
      <c r="FT83" s="92"/>
      <c r="FU83" s="92"/>
      <c r="FV83" s="92"/>
      <c r="FW83" s="92"/>
      <c r="FX83" s="92"/>
      <c r="FY83" s="92"/>
      <c r="FZ83" s="92"/>
      <c r="GA83" s="92"/>
      <c r="GB83" s="92"/>
      <c r="GC83" s="92"/>
      <c r="GD83" s="92"/>
      <c r="GE83" s="92"/>
      <c r="GF83" s="92"/>
      <c r="GG83" s="92"/>
      <c r="GH83" s="92"/>
      <c r="GI83" s="92"/>
      <c r="GJ83" s="92"/>
      <c r="GK83" s="92"/>
      <c r="GL83" s="92"/>
      <c r="GM83" s="92"/>
      <c r="GN83" s="92"/>
      <c r="GO83" s="92"/>
      <c r="GP83" s="92"/>
      <c r="GQ83" s="92"/>
      <c r="GR83" s="92"/>
      <c r="GS83" s="92"/>
      <c r="GT83" s="92"/>
      <c r="GU83" s="92"/>
      <c r="GV83" s="92"/>
      <c r="GW83" s="92"/>
      <c r="GX83" s="92"/>
      <c r="GY83" s="92"/>
      <c r="GZ83" s="92"/>
      <c r="HA83" s="92"/>
      <c r="HB83" s="92"/>
      <c r="HC83" s="92"/>
      <c r="HD83" s="92"/>
      <c r="HE83" s="92"/>
      <c r="HF83" s="92"/>
      <c r="HG83" s="92"/>
      <c r="HH83" s="92"/>
      <c r="HI83" s="92"/>
      <c r="HJ83" s="92"/>
      <c r="HK83" s="92"/>
      <c r="HL83" s="92"/>
      <c r="HM83" s="92"/>
      <c r="HN83" s="92"/>
      <c r="HO83" s="92"/>
      <c r="HP83" s="92"/>
      <c r="HQ83" s="92"/>
      <c r="HR83" s="92"/>
      <c r="HS83" s="92"/>
      <c r="HT83" s="92"/>
      <c r="HU83" s="92"/>
      <c r="HV83" s="92"/>
      <c r="HW83" s="92"/>
      <c r="HX83" s="92"/>
      <c r="HY83" s="92"/>
      <c r="HZ83" s="92"/>
      <c r="IA83" s="92"/>
      <c r="IB83" s="92"/>
      <c r="IC83" s="92"/>
      <c r="ID83" s="92"/>
      <c r="IE83" s="92"/>
      <c r="IF83" s="92"/>
      <c r="IG83" s="92"/>
      <c r="IH83" s="92"/>
      <c r="II83" s="92"/>
      <c r="IJ83" s="92"/>
      <c r="IK83" s="92"/>
      <c r="IL83" s="92"/>
      <c r="IM83" s="92"/>
      <c r="IN83" s="92"/>
      <c r="IO83" s="92"/>
      <c r="IP83" s="92"/>
      <c r="IQ83" s="92"/>
      <c r="IR83" s="92"/>
      <c r="IS83" s="92"/>
      <c r="IT83" s="92"/>
      <c r="IU83" s="92"/>
      <c r="IV83" s="92"/>
      <c r="IW83" s="92"/>
      <c r="IX83" s="92"/>
      <c r="IY83" s="92"/>
      <c r="IZ83" s="92"/>
      <c r="JA83" s="92"/>
      <c r="JB83" s="92"/>
      <c r="JC83" s="92"/>
      <c r="JD83" s="92"/>
      <c r="JE83" s="92"/>
      <c r="JF83" s="92"/>
      <c r="JG83" s="92"/>
      <c r="JH83" s="92"/>
      <c r="JI83" s="92"/>
      <c r="JJ83" s="92"/>
      <c r="JK83" s="92"/>
      <c r="JL83" s="92"/>
      <c r="JM83" s="92"/>
      <c r="JN83" s="92"/>
      <c r="JO83" s="92"/>
      <c r="JP83" s="92"/>
      <c r="JQ83" s="92"/>
      <c r="JR83" s="92"/>
      <c r="JS83" s="92"/>
      <c r="JT83" s="92"/>
      <c r="JU83" s="92"/>
      <c r="JV83" s="92"/>
      <c r="JW83" s="92"/>
      <c r="JX83" s="92"/>
      <c r="JY83" s="92"/>
      <c r="JZ83" s="92"/>
      <c r="KA83" s="92"/>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2"/>
      <c r="LA83" s="92"/>
      <c r="LB83" s="92"/>
      <c r="LC83" s="92"/>
      <c r="LD83" s="92"/>
      <c r="LE83" s="92"/>
      <c r="LF83" s="92"/>
      <c r="LG83" s="92"/>
      <c r="LH83" s="92"/>
      <c r="LI83" s="92"/>
      <c r="LJ83" s="92"/>
      <c r="LK83" s="92"/>
      <c r="LL83" s="92"/>
      <c r="LM83" s="92"/>
      <c r="LN83" s="92"/>
      <c r="LO83" s="92"/>
      <c r="LP83" s="92"/>
      <c r="LQ83" s="92"/>
      <c r="LR83" s="92"/>
      <c r="LS83" s="92"/>
      <c r="LT83" s="92"/>
      <c r="LU83" s="92"/>
      <c r="LV83" s="92"/>
      <c r="LW83" s="92"/>
      <c r="LX83" s="92"/>
      <c r="LY83" s="92"/>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2"/>
      <c r="MY83" s="92"/>
      <c r="MZ83" s="92"/>
      <c r="NA83" s="92"/>
      <c r="NB83" s="92"/>
      <c r="NC83" s="92"/>
      <c r="ND83" s="92"/>
      <c r="NE83" s="92"/>
      <c r="NF83" s="92"/>
      <c r="NG83" s="92"/>
      <c r="NH83" s="92"/>
      <c r="NI83" s="92"/>
      <c r="NJ83" s="92"/>
      <c r="NK83" s="92"/>
      <c r="NL83" s="92"/>
      <c r="NM83" s="92"/>
      <c r="NN83" s="92"/>
      <c r="NO83" s="92"/>
      <c r="NP83" s="92"/>
      <c r="NQ83" s="92"/>
      <c r="NR83" s="92"/>
      <c r="NS83" s="92"/>
      <c r="NT83" s="92"/>
      <c r="NU83" s="92"/>
      <c r="NV83" s="92"/>
      <c r="NW83" s="92"/>
      <c r="NX83" s="92"/>
      <c r="NY83" s="92"/>
      <c r="NZ83" s="92"/>
      <c r="OA83" s="92"/>
      <c r="OB83" s="92"/>
      <c r="OC83" s="92"/>
      <c r="OD83" s="92"/>
      <c r="OE83" s="92"/>
      <c r="OF83" s="92"/>
      <c r="OG83" s="92"/>
      <c r="OH83" s="92"/>
      <c r="OI83" s="92"/>
      <c r="OJ83" s="92"/>
      <c r="OK83" s="92"/>
      <c r="OL83" s="92"/>
      <c r="OM83" s="92"/>
      <c r="ON83" s="92"/>
      <c r="OO83" s="92"/>
      <c r="OP83" s="92"/>
      <c r="OQ83" s="92"/>
      <c r="OR83" s="92"/>
      <c r="OS83" s="92"/>
      <c r="OT83" s="92"/>
      <c r="OU83" s="92"/>
      <c r="OV83" s="92"/>
      <c r="OW83" s="92"/>
      <c r="OX83" s="92"/>
      <c r="OY83" s="92"/>
      <c r="OZ83" s="92"/>
      <c r="PA83" s="92"/>
      <c r="PB83" s="92"/>
      <c r="PC83" s="92"/>
      <c r="PD83" s="92"/>
      <c r="PE83" s="92"/>
      <c r="PF83" s="92"/>
      <c r="PG83" s="92"/>
      <c r="PH83" s="92"/>
      <c r="PI83" s="92"/>
      <c r="PJ83" s="92"/>
      <c r="PK83" s="92"/>
      <c r="PL83" s="92"/>
      <c r="PM83" s="92"/>
      <c r="PN83" s="92"/>
      <c r="PO83" s="92"/>
      <c r="PP83" s="92"/>
      <c r="PQ83" s="92"/>
      <c r="PR83" s="92"/>
      <c r="PS83" s="92"/>
      <c r="PT83" s="92"/>
      <c r="PU83" s="92"/>
      <c r="PV83" s="92"/>
      <c r="PW83" s="92"/>
      <c r="PX83" s="92"/>
      <c r="PY83" s="92"/>
      <c r="PZ83" s="92"/>
      <c r="QA83" s="92"/>
      <c r="QB83" s="92"/>
      <c r="QC83" s="92"/>
      <c r="QD83" s="92"/>
      <c r="QE83" s="92"/>
      <c r="QF83" s="92"/>
      <c r="QG83" s="92"/>
      <c r="QH83" s="92"/>
      <c r="QI83" s="92"/>
      <c r="QJ83" s="92"/>
      <c r="QK83" s="92"/>
      <c r="QL83" s="92"/>
      <c r="QM83" s="92"/>
      <c r="QN83" s="92"/>
      <c r="QO83" s="92"/>
    </row>
    <row r="84" spans="1:457" ht="18.75" customHeight="1">
      <c r="C84" s="299" t="s">
        <v>214</v>
      </c>
      <c r="D84" s="293">
        <f>D70-'AggrStep1-energy'!D97</f>
        <v>0</v>
      </c>
      <c r="E84" s="293">
        <f>E70-'AggrStep1-energy'!E97</f>
        <v>0</v>
      </c>
      <c r="F84" s="293">
        <f>F70-'AggrStep1-energy'!F97</f>
        <v>2.8190000000000026</v>
      </c>
      <c r="G84" s="294">
        <f>SUM(D84:F84)</f>
        <v>2.8190000000000026</v>
      </c>
      <c r="H84" s="94"/>
      <c r="I84" s="94"/>
      <c r="J84" s="94"/>
      <c r="K84" s="94"/>
      <c r="L84" s="94"/>
      <c r="M84" s="94"/>
      <c r="N84" s="94"/>
      <c r="O84" s="95"/>
      <c r="P84" s="101"/>
      <c r="Q84" s="92"/>
      <c r="R84" s="92"/>
      <c r="S84" s="92"/>
      <c r="T84" s="703" t="s">
        <v>525</v>
      </c>
      <c r="U84" s="703"/>
      <c r="V84" s="703"/>
      <c r="W84" s="703"/>
      <c r="X84" s="703"/>
      <c r="Y84" s="703"/>
      <c r="Z84" s="703"/>
      <c r="AA84" s="703"/>
      <c r="AB84" s="703"/>
      <c r="AC84" s="703"/>
      <c r="AD84" s="92"/>
      <c r="AE84" s="92"/>
      <c r="AG84" s="92"/>
      <c r="AH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c r="BZ84" s="92"/>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2"/>
      <c r="CZ84" s="92"/>
      <c r="DA84" s="92"/>
      <c r="DB84" s="92"/>
      <c r="DC84" s="92"/>
      <c r="DD84" s="92"/>
      <c r="DE84" s="92"/>
      <c r="DF84" s="92"/>
      <c r="DG84" s="92"/>
      <c r="DH84" s="92"/>
      <c r="DI84" s="92"/>
      <c r="DJ84" s="92"/>
      <c r="DK84" s="92"/>
      <c r="DL84" s="92"/>
      <c r="DM84" s="92"/>
      <c r="DN84" s="92"/>
      <c r="DO84" s="92"/>
      <c r="DP84" s="92"/>
      <c r="DQ84" s="92"/>
      <c r="DR84" s="92"/>
      <c r="DS84" s="92"/>
      <c r="DT84" s="92"/>
      <c r="DU84" s="92"/>
      <c r="DV84" s="92"/>
      <c r="DW84" s="92"/>
      <c r="DX84" s="92"/>
      <c r="DY84" s="92"/>
      <c r="DZ84" s="92"/>
      <c r="EA84" s="92"/>
      <c r="EB84" s="92"/>
      <c r="EC84" s="92"/>
      <c r="ED84" s="92"/>
      <c r="EE84" s="92"/>
      <c r="EF84" s="92"/>
      <c r="EG84" s="92"/>
      <c r="EH84" s="92"/>
      <c r="EI84" s="92"/>
      <c r="EJ84" s="92"/>
      <c r="EK84" s="92"/>
      <c r="EL84" s="92"/>
      <c r="EM84" s="92"/>
      <c r="EN84" s="92"/>
      <c r="EO84" s="92"/>
      <c r="EP84" s="92"/>
      <c r="EQ84" s="92"/>
      <c r="ER84" s="92"/>
      <c r="ES84" s="92"/>
      <c r="ET84" s="92"/>
      <c r="EU84" s="92"/>
      <c r="EV84" s="92"/>
      <c r="EW84" s="92"/>
      <c r="EX84" s="92"/>
      <c r="EY84" s="92"/>
      <c r="EZ84" s="92"/>
      <c r="FA84" s="92"/>
      <c r="FB84" s="92"/>
      <c r="FC84" s="92"/>
      <c r="FD84" s="92"/>
      <c r="FE84" s="92"/>
      <c r="FF84" s="92"/>
      <c r="FG84" s="92"/>
      <c r="FH84" s="92"/>
      <c r="FI84" s="92"/>
      <c r="FJ84" s="92"/>
      <c r="FK84" s="92"/>
      <c r="FL84" s="92"/>
      <c r="FM84" s="92"/>
      <c r="FN84" s="92"/>
      <c r="FO84" s="92"/>
      <c r="FP84" s="92"/>
      <c r="FQ84" s="92"/>
      <c r="FR84" s="92"/>
      <c r="FS84" s="92"/>
      <c r="FT84" s="92"/>
      <c r="FU84" s="92"/>
      <c r="FV84" s="92"/>
      <c r="FW84" s="92"/>
      <c r="FX84" s="92"/>
      <c r="FY84" s="92"/>
      <c r="FZ84" s="92"/>
      <c r="GA84" s="92"/>
      <c r="GB84" s="92"/>
      <c r="GC84" s="92"/>
      <c r="GD84" s="92"/>
      <c r="GE84" s="92"/>
      <c r="GF84" s="92"/>
      <c r="GG84" s="92"/>
      <c r="GH84" s="92"/>
      <c r="GI84" s="92"/>
      <c r="GJ84" s="92"/>
      <c r="GK84" s="92"/>
      <c r="GL84" s="92"/>
      <c r="GM84" s="92"/>
      <c r="GN84" s="92"/>
      <c r="GO84" s="92"/>
      <c r="GP84" s="92"/>
      <c r="GQ84" s="92"/>
      <c r="GR84" s="92"/>
      <c r="GS84" s="92"/>
      <c r="GT84" s="92"/>
      <c r="GU84" s="92"/>
      <c r="GV84" s="92"/>
      <c r="GW84" s="92"/>
      <c r="GX84" s="92"/>
      <c r="GY84" s="92"/>
      <c r="GZ84" s="92"/>
      <c r="HA84" s="92"/>
      <c r="HB84" s="92"/>
      <c r="HC84" s="92"/>
      <c r="HD84" s="92"/>
      <c r="HE84" s="92"/>
      <c r="HF84" s="92"/>
      <c r="HG84" s="92"/>
      <c r="HH84" s="92"/>
      <c r="HI84" s="92"/>
      <c r="HJ84" s="92"/>
      <c r="HK84" s="92"/>
      <c r="HL84" s="92"/>
      <c r="HM84" s="92"/>
      <c r="HN84" s="92"/>
      <c r="HO84" s="92"/>
      <c r="HP84" s="92"/>
      <c r="HQ84" s="92"/>
      <c r="HR84" s="92"/>
      <c r="HS84" s="92"/>
      <c r="HT84" s="92"/>
      <c r="HU84" s="92"/>
      <c r="HV84" s="92"/>
      <c r="HW84" s="92"/>
      <c r="HX84" s="92"/>
      <c r="HY84" s="92"/>
      <c r="HZ84" s="92"/>
      <c r="IA84" s="92"/>
      <c r="IB84" s="92"/>
      <c r="IC84" s="92"/>
      <c r="ID84" s="92"/>
      <c r="IE84" s="92"/>
      <c r="IF84" s="92"/>
      <c r="IG84" s="92"/>
      <c r="IH84" s="92"/>
      <c r="II84" s="92"/>
      <c r="IJ84" s="92"/>
      <c r="IK84" s="92"/>
      <c r="IL84" s="92"/>
      <c r="IM84" s="92"/>
      <c r="IN84" s="92"/>
      <c r="IO84" s="92"/>
      <c r="IP84" s="92"/>
      <c r="IQ84" s="92"/>
      <c r="IR84" s="92"/>
      <c r="IS84" s="92"/>
      <c r="IT84" s="92"/>
      <c r="IU84" s="92"/>
      <c r="IV84" s="92"/>
      <c r="IW84" s="92"/>
      <c r="IX84" s="92"/>
      <c r="IY84" s="92"/>
      <c r="IZ84" s="92"/>
      <c r="JA84" s="92"/>
      <c r="JB84" s="92"/>
      <c r="JC84" s="92"/>
      <c r="JD84" s="92"/>
      <c r="JE84" s="92"/>
      <c r="JF84" s="92"/>
      <c r="JG84" s="92"/>
      <c r="JH84" s="92"/>
      <c r="JI84" s="92"/>
      <c r="JJ84" s="92"/>
      <c r="JK84" s="92"/>
      <c r="JL84" s="92"/>
      <c r="JM84" s="92"/>
      <c r="JN84" s="92"/>
      <c r="JO84" s="92"/>
      <c r="JP84" s="92"/>
      <c r="JQ84" s="92"/>
      <c r="JR84" s="92"/>
      <c r="JS84" s="92"/>
      <c r="JT84" s="92"/>
      <c r="JU84" s="92"/>
      <c r="JV84" s="92"/>
      <c r="JW84" s="92"/>
      <c r="JX84" s="92"/>
      <c r="JY84" s="92"/>
      <c r="JZ84" s="92"/>
      <c r="KA84" s="92"/>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2"/>
      <c r="LA84" s="92"/>
      <c r="LB84" s="92"/>
      <c r="LC84" s="92"/>
      <c r="LD84" s="92"/>
      <c r="LE84" s="92"/>
      <c r="LF84" s="92"/>
      <c r="LG84" s="92"/>
      <c r="LH84" s="92"/>
      <c r="LI84" s="92"/>
      <c r="LJ84" s="92"/>
      <c r="LK84" s="92"/>
      <c r="LL84" s="92"/>
      <c r="LM84" s="92"/>
      <c r="LN84" s="92"/>
      <c r="LO84" s="92"/>
      <c r="LP84" s="92"/>
      <c r="LQ84" s="92"/>
      <c r="LR84" s="92"/>
      <c r="LS84" s="92"/>
      <c r="LT84" s="92"/>
      <c r="LU84" s="92"/>
      <c r="LV84" s="92"/>
      <c r="LW84" s="92"/>
      <c r="LX84" s="92"/>
      <c r="LY84" s="92"/>
      <c r="LZ84" s="92"/>
      <c r="MA84" s="92"/>
      <c r="MB84" s="92"/>
      <c r="MC84" s="92"/>
      <c r="MD84" s="92"/>
      <c r="ME84" s="92"/>
      <c r="MF84" s="92"/>
      <c r="MG84" s="92"/>
      <c r="MH84" s="92"/>
      <c r="MI84" s="92"/>
      <c r="MJ84" s="92"/>
      <c r="MK84" s="92"/>
      <c r="ML84" s="92"/>
      <c r="MM84" s="92"/>
      <c r="MN84" s="92"/>
      <c r="MO84" s="92"/>
      <c r="MP84" s="92"/>
      <c r="MQ84" s="92"/>
      <c r="MR84" s="92"/>
      <c r="MS84" s="92"/>
      <c r="MT84" s="92"/>
      <c r="MU84" s="92"/>
      <c r="MV84" s="92"/>
      <c r="MW84" s="92"/>
      <c r="MX84" s="92"/>
      <c r="MY84" s="92"/>
      <c r="MZ84" s="92"/>
      <c r="NA84" s="92"/>
      <c r="NB84" s="92"/>
      <c r="NC84" s="92"/>
      <c r="ND84" s="92"/>
      <c r="NE84" s="92"/>
      <c r="NF84" s="92"/>
      <c r="NG84" s="92"/>
      <c r="NH84" s="92"/>
      <c r="NI84" s="92"/>
      <c r="NJ84" s="92"/>
      <c r="NK84" s="92"/>
      <c r="NL84" s="92"/>
      <c r="NM84" s="92"/>
      <c r="NN84" s="92"/>
      <c r="NO84" s="92"/>
      <c r="NP84" s="92"/>
      <c r="NQ84" s="92"/>
      <c r="NR84" s="92"/>
      <c r="NS84" s="92"/>
      <c r="NT84" s="92"/>
      <c r="NU84" s="92"/>
      <c r="NV84" s="92"/>
      <c r="NW84" s="92"/>
      <c r="NX84" s="92"/>
      <c r="NY84" s="92"/>
      <c r="NZ84" s="92"/>
      <c r="OA84" s="92"/>
      <c r="OB84" s="92"/>
      <c r="OC84" s="92"/>
      <c r="OD84" s="92"/>
      <c r="OE84" s="92"/>
      <c r="OF84" s="92"/>
      <c r="OG84" s="92"/>
      <c r="OH84" s="92"/>
      <c r="OI84" s="92"/>
      <c r="OJ84" s="92"/>
      <c r="OK84" s="92"/>
      <c r="OL84" s="92"/>
      <c r="OM84" s="92"/>
      <c r="ON84" s="92"/>
      <c r="OO84" s="92"/>
      <c r="OP84" s="92"/>
      <c r="OQ84" s="92"/>
      <c r="OR84" s="92"/>
      <c r="OS84" s="92"/>
      <c r="OT84" s="92"/>
      <c r="OU84" s="92"/>
      <c r="OV84" s="92"/>
      <c r="OW84" s="92"/>
      <c r="OX84" s="92"/>
      <c r="OY84" s="92"/>
      <c r="OZ84" s="92"/>
      <c r="PA84" s="92"/>
      <c r="PB84" s="92"/>
      <c r="PC84" s="92"/>
      <c r="PD84" s="92"/>
      <c r="PE84" s="92"/>
      <c r="PF84" s="92"/>
      <c r="PG84" s="92"/>
      <c r="PH84" s="92"/>
      <c r="PI84" s="92"/>
      <c r="PJ84" s="92"/>
      <c r="PK84" s="92"/>
      <c r="PL84" s="92"/>
      <c r="PM84" s="92"/>
      <c r="PN84" s="92"/>
      <c r="PO84" s="92"/>
      <c r="PP84" s="92"/>
      <c r="PQ84" s="92"/>
      <c r="PR84" s="92"/>
      <c r="PS84" s="92"/>
      <c r="PT84" s="92"/>
      <c r="PU84" s="92"/>
      <c r="PV84" s="92"/>
      <c r="PW84" s="92"/>
      <c r="PX84" s="92"/>
      <c r="PY84" s="92"/>
      <c r="PZ84" s="92"/>
      <c r="QA84" s="92"/>
      <c r="QB84" s="92"/>
      <c r="QC84" s="92"/>
      <c r="QD84" s="92"/>
      <c r="QE84" s="92"/>
      <c r="QF84" s="92"/>
      <c r="QG84" s="92"/>
      <c r="QH84" s="92"/>
      <c r="QI84" s="92"/>
      <c r="QJ84" s="92"/>
      <c r="QK84" s="92"/>
      <c r="QL84" s="92"/>
      <c r="QM84" s="92"/>
      <c r="QN84" s="92"/>
      <c r="QO84" s="92"/>
    </row>
    <row r="85" spans="1:457" ht="15.75">
      <c r="C85" s="299" t="s">
        <v>215</v>
      </c>
      <c r="D85" s="293">
        <f>D71-'AggrStep1-energy'!D98</f>
        <v>13.57178738301335</v>
      </c>
      <c r="E85" s="293">
        <f>E71-'AggrStep1-energy'!E98</f>
        <v>0</v>
      </c>
      <c r="F85" s="293">
        <f>F71-'AggrStep1-energy'!F98</f>
        <v>0</v>
      </c>
      <c r="G85" s="294">
        <f t="shared" ref="G85:G86" si="54">SUM(D85:F85)</f>
        <v>13.57178738301335</v>
      </c>
      <c r="H85" s="94"/>
      <c r="I85" s="94"/>
      <c r="J85" s="94"/>
      <c r="K85" s="94"/>
      <c r="L85" s="94"/>
      <c r="M85" s="94"/>
      <c r="N85" s="94"/>
      <c r="O85" s="95"/>
      <c r="P85" s="101"/>
      <c r="Q85" s="92"/>
      <c r="R85" s="92"/>
      <c r="X85" s="92"/>
      <c r="Y85" s="92"/>
      <c r="Z85" s="92"/>
      <c r="AA85" s="92"/>
      <c r="AB85" s="92"/>
      <c r="AC85" s="92"/>
      <c r="AD85" s="92"/>
      <c r="AE85" s="92"/>
      <c r="AG85" s="92"/>
      <c r="AH85" s="92"/>
      <c r="AO85" s="92"/>
      <c r="AP85" s="92"/>
      <c r="AQ85" s="92"/>
      <c r="AR85" s="92"/>
      <c r="AS85" s="92"/>
      <c r="AT85" s="92"/>
      <c r="AU85" s="92"/>
      <c r="AV85" s="92"/>
      <c r="AW85" s="92"/>
      <c r="AX85" s="92"/>
      <c r="AY85" s="92"/>
      <c r="AZ85" s="92"/>
      <c r="BA85" s="92"/>
      <c r="BB85" s="92"/>
      <c r="BC85" s="92"/>
      <c r="BD85" s="92"/>
      <c r="BE85" s="92"/>
      <c r="BF85" s="92"/>
      <c r="BG85" s="92"/>
      <c r="BH85" s="92"/>
      <c r="BI85" s="92"/>
      <c r="BJ85" s="92"/>
      <c r="BK85" s="92"/>
      <c r="BL85" s="92"/>
      <c r="BM85" s="92"/>
      <c r="BN85" s="92"/>
      <c r="BO85" s="92"/>
      <c r="BP85" s="92"/>
      <c r="BQ85" s="92"/>
      <c r="BR85" s="92"/>
      <c r="BS85" s="92"/>
      <c r="BT85" s="92"/>
      <c r="BU85" s="92"/>
      <c r="BV85" s="92"/>
      <c r="BW85" s="92"/>
      <c r="BX85" s="92"/>
      <c r="BY85" s="92"/>
      <c r="BZ85" s="92"/>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2"/>
      <c r="CZ85" s="92"/>
      <c r="DA85" s="92"/>
      <c r="DB85" s="92"/>
      <c r="DC85" s="92"/>
      <c r="DD85" s="92"/>
      <c r="DE85" s="92"/>
      <c r="DF85" s="92"/>
      <c r="DG85" s="92"/>
      <c r="DH85" s="92"/>
      <c r="DI85" s="92"/>
      <c r="DJ85" s="92"/>
      <c r="DK85" s="92"/>
      <c r="DL85" s="92"/>
      <c r="DM85" s="92"/>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92"/>
      <c r="EL85" s="92"/>
      <c r="EM85" s="92"/>
      <c r="EN85" s="92"/>
      <c r="EO85" s="92"/>
      <c r="EP85" s="92"/>
      <c r="EQ85" s="92"/>
      <c r="ER85" s="92"/>
      <c r="ES85" s="92"/>
      <c r="ET85" s="92"/>
      <c r="EU85" s="92"/>
      <c r="EV85" s="92"/>
      <c r="EW85" s="92"/>
      <c r="EX85" s="92"/>
      <c r="EY85" s="92"/>
      <c r="EZ85" s="92"/>
      <c r="FA85" s="92"/>
      <c r="FB85" s="92"/>
      <c r="FC85" s="92"/>
      <c r="FD85" s="92"/>
      <c r="FE85" s="92"/>
      <c r="FF85" s="92"/>
      <c r="FG85" s="92"/>
      <c r="FH85" s="92"/>
      <c r="FI85" s="92"/>
      <c r="FJ85" s="92"/>
      <c r="FK85" s="92"/>
      <c r="FL85" s="92"/>
      <c r="FM85" s="92"/>
      <c r="FN85" s="92"/>
      <c r="FO85" s="92"/>
      <c r="FP85" s="92"/>
      <c r="FQ85" s="92"/>
      <c r="FR85" s="92"/>
      <c r="FS85" s="92"/>
      <c r="FT85" s="92"/>
      <c r="FU85" s="92"/>
      <c r="FV85" s="92"/>
      <c r="FW85" s="92"/>
      <c r="FX85" s="92"/>
      <c r="FY85" s="92"/>
      <c r="FZ85" s="92"/>
      <c r="GA85" s="92"/>
      <c r="GB85" s="92"/>
      <c r="GC85" s="92"/>
      <c r="GD85" s="92"/>
      <c r="GE85" s="92"/>
      <c r="GF85" s="92"/>
      <c r="GG85" s="92"/>
      <c r="GH85" s="92"/>
      <c r="GI85" s="92"/>
      <c r="GJ85" s="92"/>
      <c r="GK85" s="92"/>
      <c r="GL85" s="92"/>
      <c r="GM85" s="92"/>
      <c r="GN85" s="92"/>
      <c r="GO85" s="92"/>
      <c r="GP85" s="92"/>
      <c r="GQ85" s="92"/>
      <c r="GR85" s="92"/>
      <c r="GS85" s="92"/>
      <c r="GT85" s="92"/>
      <c r="GU85" s="92"/>
      <c r="GV85" s="92"/>
      <c r="GW85" s="92"/>
      <c r="GX85" s="92"/>
      <c r="GY85" s="92"/>
      <c r="GZ85" s="92"/>
      <c r="HA85" s="92"/>
      <c r="HB85" s="92"/>
      <c r="HC85" s="92"/>
      <c r="HD85" s="92"/>
      <c r="HE85" s="92"/>
      <c r="HF85" s="92"/>
      <c r="HG85" s="92"/>
      <c r="HH85" s="92"/>
      <c r="HI85" s="92"/>
      <c r="HJ85" s="92"/>
      <c r="HK85" s="92"/>
      <c r="HL85" s="92"/>
      <c r="HM85" s="92"/>
      <c r="HN85" s="92"/>
      <c r="HO85" s="92"/>
      <c r="HP85" s="92"/>
      <c r="HQ85" s="92"/>
      <c r="HR85" s="92"/>
      <c r="HS85" s="92"/>
      <c r="HT85" s="92"/>
      <c r="HU85" s="92"/>
      <c r="HV85" s="92"/>
      <c r="HW85" s="92"/>
      <c r="HX85" s="92"/>
      <c r="HY85" s="92"/>
      <c r="HZ85" s="92"/>
      <c r="IA85" s="92"/>
      <c r="IB85" s="92"/>
      <c r="IC85" s="92"/>
      <c r="ID85" s="92"/>
      <c r="IE85" s="92"/>
      <c r="IF85" s="92"/>
      <c r="IG85" s="92"/>
      <c r="IH85" s="92"/>
      <c r="II85" s="92"/>
      <c r="IJ85" s="92"/>
      <c r="IK85" s="92"/>
      <c r="IL85" s="92"/>
      <c r="IM85" s="92"/>
      <c r="IN85" s="92"/>
      <c r="IO85" s="92"/>
      <c r="IP85" s="92"/>
      <c r="IQ85" s="92"/>
      <c r="IR85" s="92"/>
      <c r="IS85" s="92"/>
      <c r="IT85" s="92"/>
      <c r="IU85" s="92"/>
      <c r="IV85" s="92"/>
      <c r="IW85" s="92"/>
      <c r="IX85" s="92"/>
      <c r="IY85" s="92"/>
      <c r="IZ85" s="92"/>
      <c r="JA85" s="92"/>
      <c r="JB85" s="92"/>
      <c r="JC85" s="92"/>
      <c r="JD85" s="92"/>
      <c r="JE85" s="92"/>
      <c r="JF85" s="92"/>
      <c r="JG85" s="92"/>
      <c r="JH85" s="92"/>
      <c r="JI85" s="92"/>
      <c r="JJ85" s="92"/>
      <c r="JK85" s="92"/>
      <c r="JL85" s="92"/>
      <c r="JM85" s="92"/>
      <c r="JN85" s="92"/>
      <c r="JO85" s="92"/>
      <c r="JP85" s="92"/>
      <c r="JQ85" s="92"/>
      <c r="JR85" s="92"/>
      <c r="JS85" s="92"/>
      <c r="JT85" s="92"/>
      <c r="JU85" s="92"/>
      <c r="JV85" s="92"/>
      <c r="JW85" s="92"/>
      <c r="JX85" s="92"/>
      <c r="JY85" s="92"/>
      <c r="JZ85" s="92"/>
      <c r="KA85" s="92"/>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2"/>
      <c r="LA85" s="92"/>
      <c r="LB85" s="92"/>
      <c r="LC85" s="92"/>
      <c r="LD85" s="92"/>
      <c r="LE85" s="92"/>
      <c r="LF85" s="92"/>
      <c r="LG85" s="92"/>
      <c r="LH85" s="92"/>
      <c r="LI85" s="92"/>
      <c r="LJ85" s="92"/>
      <c r="LK85" s="92"/>
      <c r="LL85" s="92"/>
      <c r="LM85" s="92"/>
      <c r="LN85" s="92"/>
      <c r="LO85" s="92"/>
      <c r="LP85" s="92"/>
      <c r="LQ85" s="92"/>
      <c r="LR85" s="92"/>
      <c r="LS85" s="92"/>
      <c r="LT85" s="92"/>
      <c r="LU85" s="92"/>
      <c r="LV85" s="92"/>
      <c r="LW85" s="92"/>
      <c r="LX85" s="92"/>
      <c r="LY85" s="92"/>
      <c r="LZ85" s="92"/>
      <c r="MA85" s="92"/>
      <c r="MB85" s="92"/>
      <c r="MC85" s="92"/>
      <c r="MD85" s="92"/>
      <c r="ME85" s="92"/>
      <c r="MF85" s="92"/>
      <c r="MG85" s="92"/>
      <c r="MH85" s="92"/>
      <c r="MI85" s="92"/>
      <c r="MJ85" s="92"/>
      <c r="MK85" s="92"/>
      <c r="ML85" s="92"/>
      <c r="MM85" s="92"/>
      <c r="MN85" s="92"/>
      <c r="MO85" s="92"/>
      <c r="MP85" s="92"/>
      <c r="MQ85" s="92"/>
      <c r="MR85" s="92"/>
      <c r="MS85" s="92"/>
      <c r="MT85" s="92"/>
      <c r="MU85" s="92"/>
      <c r="MV85" s="92"/>
      <c r="MW85" s="92"/>
      <c r="MX85" s="92"/>
      <c r="MY85" s="92"/>
      <c r="MZ85" s="92"/>
      <c r="NA85" s="92"/>
      <c r="NB85" s="92"/>
      <c r="NC85" s="92"/>
      <c r="ND85" s="92"/>
      <c r="NE85" s="92"/>
      <c r="NF85" s="92"/>
      <c r="NG85" s="92"/>
      <c r="NH85" s="92"/>
      <c r="NI85" s="92"/>
      <c r="NJ85" s="92"/>
      <c r="NK85" s="92"/>
      <c r="NL85" s="92"/>
      <c r="NM85" s="92"/>
      <c r="NN85" s="92"/>
      <c r="NO85" s="92"/>
      <c r="NP85" s="92"/>
      <c r="NQ85" s="92"/>
      <c r="NR85" s="92"/>
      <c r="NS85" s="92"/>
      <c r="NT85" s="92"/>
      <c r="NU85" s="92"/>
      <c r="NV85" s="92"/>
      <c r="NW85" s="92"/>
      <c r="NX85" s="92"/>
      <c r="NY85" s="92"/>
      <c r="NZ85" s="92"/>
      <c r="OA85" s="92"/>
      <c r="OB85" s="92"/>
      <c r="OC85" s="92"/>
      <c r="OD85" s="92"/>
      <c r="OE85" s="92"/>
      <c r="OF85" s="92"/>
      <c r="OG85" s="92"/>
      <c r="OH85" s="92"/>
      <c r="OI85" s="92"/>
      <c r="OJ85" s="92"/>
      <c r="OK85" s="92"/>
      <c r="OL85" s="92"/>
      <c r="OM85" s="92"/>
      <c r="ON85" s="92"/>
      <c r="OO85" s="92"/>
      <c r="OP85" s="92"/>
      <c r="OQ85" s="92"/>
      <c r="OR85" s="92"/>
      <c r="OS85" s="92"/>
      <c r="OT85" s="92"/>
      <c r="OU85" s="92"/>
      <c r="OV85" s="92"/>
      <c r="OW85" s="92"/>
      <c r="OX85" s="92"/>
      <c r="OY85" s="92"/>
      <c r="OZ85" s="92"/>
      <c r="PA85" s="92"/>
      <c r="PB85" s="92"/>
      <c r="PC85" s="92"/>
      <c r="PD85" s="92"/>
      <c r="PE85" s="92"/>
      <c r="PF85" s="92"/>
      <c r="PG85" s="92"/>
      <c r="PH85" s="92"/>
      <c r="PI85" s="92"/>
      <c r="PJ85" s="92"/>
      <c r="PK85" s="92"/>
      <c r="PL85" s="92"/>
      <c r="PM85" s="92"/>
      <c r="PN85" s="92"/>
      <c r="PO85" s="92"/>
      <c r="PP85" s="92"/>
      <c r="PQ85" s="92"/>
      <c r="PR85" s="92"/>
      <c r="PS85" s="92"/>
      <c r="PT85" s="92"/>
      <c r="PU85" s="92"/>
      <c r="PV85" s="92"/>
      <c r="PW85" s="92"/>
      <c r="PX85" s="92"/>
      <c r="PY85" s="92"/>
      <c r="PZ85" s="92"/>
      <c r="QA85" s="92"/>
      <c r="QB85" s="92"/>
      <c r="QC85" s="92"/>
      <c r="QD85" s="92"/>
      <c r="QE85" s="92"/>
      <c r="QF85" s="92"/>
      <c r="QG85" s="92"/>
      <c r="QH85" s="92"/>
      <c r="QI85" s="92"/>
      <c r="QJ85" s="92"/>
      <c r="QK85" s="92"/>
      <c r="QL85" s="92"/>
      <c r="QM85" s="92"/>
      <c r="QN85" s="92"/>
      <c r="QO85" s="92"/>
    </row>
    <row r="86" spans="1:457" ht="30">
      <c r="C86" s="300" t="s">
        <v>583</v>
      </c>
      <c r="D86" s="295">
        <f>SUM(D81:D85)</f>
        <v>14.134738755065234</v>
      </c>
      <c r="E86" s="295">
        <f>SUM(E81:E85)</f>
        <v>1.9651589746743134</v>
      </c>
      <c r="F86" s="295">
        <f>SUM(F81:F85)</f>
        <v>28.221201088328868</v>
      </c>
      <c r="G86" s="294">
        <f t="shared" si="54"/>
        <v>44.321098818068414</v>
      </c>
      <c r="H86" s="94"/>
      <c r="I86" s="94"/>
      <c r="J86" s="94"/>
      <c r="K86" s="94"/>
      <c r="L86" s="94"/>
      <c r="M86" s="94"/>
      <c r="N86" s="94"/>
      <c r="O86" s="95"/>
      <c r="P86" s="101"/>
      <c r="Q86" s="92"/>
      <c r="R86" s="92"/>
      <c r="S86" s="216" t="s">
        <v>391</v>
      </c>
      <c r="T86" s="216" t="s">
        <v>389</v>
      </c>
      <c r="U86" s="212" t="s">
        <v>383</v>
      </c>
      <c r="V86" s="212" t="s">
        <v>384</v>
      </c>
      <c r="W86" s="213" t="s">
        <v>943</v>
      </c>
      <c r="X86" s="128"/>
      <c r="Z86" s="216" t="s">
        <v>389</v>
      </c>
      <c r="AA86" s="212" t="s">
        <v>383</v>
      </c>
      <c r="AB86" s="212" t="s">
        <v>384</v>
      </c>
      <c r="AC86" s="213" t="s">
        <v>943</v>
      </c>
      <c r="AD86" s="128"/>
      <c r="AE86" s="92"/>
      <c r="AG86" s="92"/>
      <c r="AH86" s="92"/>
      <c r="AO86" s="92"/>
      <c r="AP86" s="92"/>
      <c r="AQ86" s="92"/>
      <c r="AR86" s="92"/>
      <c r="AS86" s="92"/>
      <c r="AT86" s="92"/>
      <c r="AU86" s="92"/>
      <c r="AV86" s="92"/>
      <c r="AW86" s="92"/>
      <c r="AX86" s="92"/>
      <c r="AY86" s="92"/>
      <c r="AZ86" s="92"/>
      <c r="BA86" s="92"/>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2"/>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2"/>
      <c r="CZ86" s="92"/>
      <c r="DA86" s="92"/>
      <c r="DB86" s="92"/>
      <c r="DC86" s="92"/>
      <c r="DD86" s="92"/>
      <c r="DE86" s="92"/>
      <c r="DF86" s="92"/>
      <c r="DG86" s="92"/>
      <c r="DH86" s="92"/>
      <c r="DI86" s="92"/>
      <c r="DJ86" s="92"/>
      <c r="DK86" s="92"/>
      <c r="DL86" s="92"/>
      <c r="DM86" s="92"/>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2"/>
      <c r="EN86" s="92"/>
      <c r="EO86" s="92"/>
      <c r="EP86" s="92"/>
      <c r="EQ86" s="92"/>
      <c r="ER86" s="92"/>
      <c r="ES86" s="92"/>
      <c r="ET86" s="92"/>
      <c r="EU86" s="92"/>
      <c r="EV86" s="92"/>
      <c r="EW86" s="92"/>
      <c r="EX86" s="92"/>
      <c r="EY86" s="92"/>
      <c r="EZ86" s="92"/>
      <c r="FA86" s="92"/>
      <c r="FB86" s="92"/>
      <c r="FC86" s="92"/>
      <c r="FD86" s="92"/>
      <c r="FE86" s="92"/>
      <c r="FF86" s="92"/>
      <c r="FG86" s="92"/>
      <c r="FH86" s="92"/>
      <c r="FI86" s="92"/>
      <c r="FJ86" s="92"/>
      <c r="FK86" s="92"/>
      <c r="FL86" s="92"/>
      <c r="FM86" s="92"/>
      <c r="FN86" s="92"/>
      <c r="FO86" s="92"/>
      <c r="FP86" s="92"/>
      <c r="FQ86" s="92"/>
      <c r="FR86" s="92"/>
      <c r="FS86" s="92"/>
      <c r="FT86" s="92"/>
      <c r="FU86" s="92"/>
      <c r="FV86" s="92"/>
      <c r="FW86" s="92"/>
      <c r="FX86" s="92"/>
      <c r="FY86" s="92"/>
      <c r="FZ86" s="92"/>
      <c r="GA86" s="92"/>
      <c r="GB86" s="92"/>
      <c r="GC86" s="92"/>
      <c r="GD86" s="92"/>
      <c r="GE86" s="92"/>
      <c r="GF86" s="92"/>
      <c r="GG86" s="92"/>
      <c r="GH86" s="92"/>
      <c r="GI86" s="92"/>
      <c r="GJ86" s="92"/>
      <c r="GK86" s="92"/>
      <c r="GL86" s="92"/>
      <c r="GM86" s="92"/>
      <c r="GN86" s="92"/>
      <c r="GO86" s="92"/>
      <c r="GP86" s="92"/>
      <c r="GQ86" s="92"/>
      <c r="GR86" s="92"/>
      <c r="GS86" s="92"/>
      <c r="GT86" s="92"/>
      <c r="GU86" s="92"/>
      <c r="GV86" s="92"/>
      <c r="GW86" s="92"/>
      <c r="GX86" s="92"/>
      <c r="GY86" s="92"/>
      <c r="GZ86" s="92"/>
      <c r="HA86" s="92"/>
      <c r="HB86" s="92"/>
      <c r="HC86" s="92"/>
      <c r="HD86" s="92"/>
      <c r="HE86" s="92"/>
      <c r="HF86" s="92"/>
      <c r="HG86" s="92"/>
      <c r="HH86" s="92"/>
      <c r="HI86" s="92"/>
      <c r="HJ86" s="92"/>
      <c r="HK86" s="92"/>
      <c r="HL86" s="92"/>
      <c r="HM86" s="92"/>
      <c r="HN86" s="92"/>
      <c r="HO86" s="92"/>
      <c r="HP86" s="92"/>
      <c r="HQ86" s="92"/>
      <c r="HR86" s="92"/>
      <c r="HS86" s="92"/>
      <c r="HT86" s="92"/>
      <c r="HU86" s="92"/>
      <c r="HV86" s="92"/>
      <c r="HW86" s="92"/>
      <c r="HX86" s="92"/>
      <c r="HY86" s="92"/>
      <c r="HZ86" s="92"/>
      <c r="IA86" s="92"/>
      <c r="IB86" s="92"/>
      <c r="IC86" s="92"/>
      <c r="ID86" s="92"/>
      <c r="IE86" s="92"/>
      <c r="IF86" s="92"/>
      <c r="IG86" s="92"/>
      <c r="IH86" s="92"/>
      <c r="II86" s="92"/>
      <c r="IJ86" s="92"/>
      <c r="IK86" s="92"/>
      <c r="IL86" s="92"/>
      <c r="IM86" s="92"/>
      <c r="IN86" s="92"/>
      <c r="IO86" s="92"/>
      <c r="IP86" s="92"/>
      <c r="IQ86" s="92"/>
      <c r="IR86" s="92"/>
      <c r="IS86" s="92"/>
      <c r="IT86" s="92"/>
      <c r="IU86" s="92"/>
      <c r="IV86" s="92"/>
      <c r="IW86" s="92"/>
      <c r="IX86" s="92"/>
      <c r="IY86" s="92"/>
      <c r="IZ86" s="92"/>
      <c r="JA86" s="92"/>
      <c r="JB86" s="92"/>
      <c r="JC86" s="92"/>
      <c r="JD86" s="92"/>
      <c r="JE86" s="92"/>
      <c r="JF86" s="92"/>
      <c r="JG86" s="92"/>
      <c r="JH86" s="92"/>
      <c r="JI86" s="92"/>
      <c r="JJ86" s="92"/>
      <c r="JK86" s="92"/>
      <c r="JL86" s="92"/>
      <c r="JM86" s="92"/>
      <c r="JN86" s="92"/>
      <c r="JO86" s="92"/>
      <c r="JP86" s="92"/>
      <c r="JQ86" s="92"/>
      <c r="JR86" s="92"/>
      <c r="JS86" s="92"/>
      <c r="JT86" s="92"/>
      <c r="JU86" s="92"/>
      <c r="JV86" s="92"/>
      <c r="JW86" s="92"/>
      <c r="JX86" s="92"/>
      <c r="JY86" s="92"/>
      <c r="JZ86" s="92"/>
      <c r="KA86" s="92"/>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2"/>
      <c r="LA86" s="92"/>
      <c r="LB86" s="92"/>
      <c r="LC86" s="92"/>
      <c r="LD86" s="92"/>
      <c r="LE86" s="92"/>
      <c r="LF86" s="92"/>
      <c r="LG86" s="92"/>
      <c r="LH86" s="92"/>
      <c r="LI86" s="92"/>
      <c r="LJ86" s="92"/>
      <c r="LK86" s="92"/>
      <c r="LL86" s="92"/>
      <c r="LM86" s="92"/>
      <c r="LN86" s="92"/>
      <c r="LO86" s="92"/>
      <c r="LP86" s="92"/>
      <c r="LQ86" s="92"/>
      <c r="LR86" s="92"/>
      <c r="LS86" s="92"/>
      <c r="LT86" s="92"/>
      <c r="LU86" s="92"/>
      <c r="LV86" s="92"/>
      <c r="LW86" s="92"/>
      <c r="LX86" s="92"/>
      <c r="LY86" s="92"/>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2"/>
      <c r="MY86" s="92"/>
      <c r="MZ86" s="92"/>
      <c r="NA86" s="92"/>
      <c r="NB86" s="92"/>
      <c r="NC86" s="92"/>
      <c r="ND86" s="92"/>
      <c r="NE86" s="92"/>
      <c r="NF86" s="92"/>
      <c r="NG86" s="92"/>
      <c r="NH86" s="92"/>
      <c r="NI86" s="92"/>
      <c r="NJ86" s="92"/>
      <c r="NK86" s="92"/>
      <c r="NL86" s="92"/>
      <c r="NM86" s="92"/>
      <c r="NN86" s="92"/>
      <c r="NO86" s="92"/>
      <c r="NP86" s="92"/>
      <c r="NQ86" s="92"/>
      <c r="NR86" s="92"/>
      <c r="NS86" s="92"/>
      <c r="NT86" s="92"/>
      <c r="NU86" s="92"/>
      <c r="NV86" s="92"/>
      <c r="NW86" s="92"/>
      <c r="NX86" s="92"/>
      <c r="NY86" s="92"/>
      <c r="NZ86" s="92"/>
      <c r="OA86" s="92"/>
      <c r="OB86" s="92"/>
      <c r="OC86" s="92"/>
      <c r="OD86" s="92"/>
      <c r="OE86" s="92"/>
      <c r="OF86" s="92"/>
      <c r="OG86" s="92"/>
      <c r="OH86" s="92"/>
      <c r="OI86" s="92"/>
      <c r="OJ86" s="92"/>
      <c r="OK86" s="92"/>
      <c r="OL86" s="92"/>
      <c r="OM86" s="92"/>
      <c r="ON86" s="92"/>
      <c r="OO86" s="92"/>
      <c r="OP86" s="92"/>
      <c r="OQ86" s="92"/>
      <c r="OR86" s="92"/>
      <c r="OS86" s="92"/>
      <c r="OT86" s="92"/>
      <c r="OU86" s="92"/>
      <c r="OV86" s="92"/>
      <c r="OW86" s="92"/>
      <c r="OX86" s="92"/>
      <c r="OY86" s="92"/>
      <c r="OZ86" s="92"/>
      <c r="PA86" s="92"/>
      <c r="PB86" s="92"/>
      <c r="PC86" s="92"/>
      <c r="PD86" s="92"/>
      <c r="PE86" s="92"/>
      <c r="PF86" s="92"/>
      <c r="PG86" s="92"/>
      <c r="PH86" s="92"/>
      <c r="PI86" s="92"/>
      <c r="PJ86" s="92"/>
      <c r="PK86" s="92"/>
      <c r="PL86" s="92"/>
      <c r="PM86" s="92"/>
      <c r="PN86" s="92"/>
      <c r="PO86" s="92"/>
      <c r="PP86" s="92"/>
      <c r="PQ86" s="92"/>
      <c r="PR86" s="92"/>
      <c r="PS86" s="92"/>
      <c r="PT86" s="92"/>
      <c r="PU86" s="92"/>
      <c r="PV86" s="92"/>
      <c r="PW86" s="92"/>
      <c r="PX86" s="92"/>
      <c r="PY86" s="92"/>
      <c r="PZ86" s="92"/>
      <c r="QA86" s="92"/>
      <c r="QB86" s="92"/>
      <c r="QC86" s="92"/>
      <c r="QD86" s="92"/>
      <c r="QE86" s="92"/>
      <c r="QF86" s="92"/>
      <c r="QG86" s="92"/>
      <c r="QH86" s="92"/>
      <c r="QI86" s="92"/>
      <c r="QJ86" s="92"/>
      <c r="QK86" s="92"/>
      <c r="QL86" s="92"/>
      <c r="QM86" s="92"/>
      <c r="QN86" s="92"/>
      <c r="QO86" s="92"/>
    </row>
    <row r="87" spans="1:457">
      <c r="C87" s="300"/>
      <c r="D87" s="293"/>
      <c r="E87" s="293"/>
      <c r="F87" s="293"/>
      <c r="G87" s="293"/>
      <c r="H87" s="94"/>
      <c r="I87" s="94"/>
      <c r="J87" s="94"/>
      <c r="K87" s="94"/>
      <c r="L87" s="94"/>
      <c r="M87" s="94"/>
      <c r="N87" s="94"/>
      <c r="O87" s="95"/>
      <c r="P87" s="101"/>
      <c r="Q87" s="92"/>
      <c r="R87" s="92"/>
      <c r="S87" s="92"/>
      <c r="T87" s="627" t="s">
        <v>540</v>
      </c>
      <c r="U87" s="636">
        <f>AA87</f>
        <v>138.65227005558231</v>
      </c>
      <c r="V87" s="589">
        <f>V89</f>
        <v>128.67052026873878</v>
      </c>
      <c r="W87" s="636">
        <f t="shared" ref="W87" si="55">AC87</f>
        <v>81.260964675380791</v>
      </c>
      <c r="X87" s="636"/>
      <c r="Z87" s="627" t="s">
        <v>540</v>
      </c>
      <c r="AA87" s="636">
        <f>IF(D3&lt;=0,0,SUM(AA4:AA5)/D3)</f>
        <v>138.65227005558231</v>
      </c>
      <c r="AB87" s="636">
        <f>IF(E3&lt;=0,0,SUM(AB4:AB5)/E3)</f>
        <v>0</v>
      </c>
      <c r="AC87" s="636">
        <f>IF(F3&lt;=0,0,SUM(AC4:AC5)/F3)</f>
        <v>81.260964675380791</v>
      </c>
      <c r="AD87" s="636"/>
      <c r="AE87" s="92"/>
      <c r="AG87" s="92"/>
      <c r="AH87" s="92"/>
      <c r="AO87" s="92"/>
      <c r="AP87" s="92"/>
      <c r="AQ87" s="92"/>
      <c r="AR87" s="92"/>
      <c r="AS87" s="92"/>
      <c r="AT87" s="92"/>
      <c r="AU87" s="92"/>
      <c r="AV87" s="92"/>
      <c r="AW87" s="92"/>
      <c r="AX87" s="92"/>
      <c r="AY87" s="92"/>
      <c r="AZ87" s="92"/>
      <c r="BA87" s="92"/>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c r="BZ87" s="92"/>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2"/>
      <c r="CZ87" s="92"/>
      <c r="DA87" s="92"/>
      <c r="DB87" s="92"/>
      <c r="DC87" s="92"/>
      <c r="DD87" s="92"/>
      <c r="DE87" s="92"/>
      <c r="DF87" s="92"/>
      <c r="DG87" s="92"/>
      <c r="DH87" s="92"/>
      <c r="DI87" s="92"/>
      <c r="DJ87" s="92"/>
      <c r="DK87" s="92"/>
      <c r="DL87" s="92"/>
      <c r="DM87" s="92"/>
      <c r="DN87" s="92"/>
      <c r="DO87" s="92"/>
      <c r="DP87" s="92"/>
      <c r="DQ87" s="92"/>
      <c r="DR87" s="92"/>
      <c r="DS87" s="92"/>
      <c r="DT87" s="92"/>
      <c r="DU87" s="92"/>
      <c r="DV87" s="92"/>
      <c r="DW87" s="92"/>
      <c r="DX87" s="92"/>
      <c r="DY87" s="92"/>
      <c r="DZ87" s="92"/>
      <c r="EA87" s="92"/>
      <c r="EB87" s="92"/>
      <c r="EC87" s="92"/>
      <c r="ED87" s="92"/>
      <c r="EE87" s="92"/>
      <c r="EF87" s="92"/>
      <c r="EG87" s="92"/>
      <c r="EH87" s="92"/>
      <c r="EI87" s="92"/>
      <c r="EJ87" s="92"/>
      <c r="EK87" s="92"/>
      <c r="EL87" s="92"/>
      <c r="EM87" s="92"/>
      <c r="EN87" s="92"/>
      <c r="EO87" s="92"/>
      <c r="EP87" s="92"/>
      <c r="EQ87" s="92"/>
      <c r="ER87" s="92"/>
      <c r="ES87" s="92"/>
      <c r="ET87" s="92"/>
      <c r="EU87" s="92"/>
      <c r="EV87" s="92"/>
      <c r="EW87" s="92"/>
      <c r="EX87" s="92"/>
      <c r="EY87" s="92"/>
      <c r="EZ87" s="92"/>
      <c r="FA87" s="92"/>
      <c r="FB87" s="92"/>
      <c r="FC87" s="92"/>
      <c r="FD87" s="92"/>
      <c r="FE87" s="92"/>
      <c r="FF87" s="92"/>
      <c r="FG87" s="92"/>
      <c r="FH87" s="92"/>
      <c r="FI87" s="92"/>
      <c r="FJ87" s="92"/>
      <c r="FK87" s="92"/>
      <c r="FL87" s="92"/>
      <c r="FM87" s="92"/>
      <c r="FN87" s="92"/>
      <c r="FO87" s="92"/>
      <c r="FP87" s="92"/>
      <c r="FQ87" s="92"/>
      <c r="FR87" s="92"/>
      <c r="FS87" s="92"/>
      <c r="FT87" s="92"/>
      <c r="FU87" s="92"/>
      <c r="FV87" s="92"/>
      <c r="FW87" s="92"/>
      <c r="FX87" s="92"/>
      <c r="FY87" s="92"/>
      <c r="FZ87" s="92"/>
      <c r="GA87" s="92"/>
      <c r="GB87" s="92"/>
      <c r="GC87" s="92"/>
      <c r="GD87" s="92"/>
      <c r="GE87" s="92"/>
      <c r="GF87" s="92"/>
      <c r="GG87" s="92"/>
      <c r="GH87" s="92"/>
      <c r="GI87" s="92"/>
      <c r="GJ87" s="92"/>
      <c r="GK87" s="92"/>
      <c r="GL87" s="92"/>
      <c r="GM87" s="92"/>
      <c r="GN87" s="92"/>
      <c r="GO87" s="92"/>
      <c r="GP87" s="92"/>
      <c r="GQ87" s="92"/>
      <c r="GR87" s="92"/>
      <c r="GS87" s="92"/>
      <c r="GT87" s="92"/>
      <c r="GU87" s="92"/>
      <c r="GV87" s="92"/>
      <c r="GW87" s="92"/>
      <c r="GX87" s="92"/>
      <c r="GY87" s="92"/>
      <c r="GZ87" s="92"/>
      <c r="HA87" s="92"/>
      <c r="HB87" s="92"/>
      <c r="HC87" s="92"/>
      <c r="HD87" s="92"/>
      <c r="HE87" s="92"/>
      <c r="HF87" s="92"/>
      <c r="HG87" s="92"/>
      <c r="HH87" s="92"/>
      <c r="HI87" s="92"/>
      <c r="HJ87" s="92"/>
      <c r="HK87" s="92"/>
      <c r="HL87" s="92"/>
      <c r="HM87" s="92"/>
      <c r="HN87" s="92"/>
      <c r="HO87" s="92"/>
      <c r="HP87" s="92"/>
      <c r="HQ87" s="92"/>
      <c r="HR87" s="92"/>
      <c r="HS87" s="92"/>
      <c r="HT87" s="92"/>
      <c r="HU87" s="92"/>
      <c r="HV87" s="92"/>
      <c r="HW87" s="92"/>
      <c r="HX87" s="92"/>
      <c r="HY87" s="92"/>
      <c r="HZ87" s="92"/>
      <c r="IA87" s="92"/>
      <c r="IB87" s="92"/>
      <c r="IC87" s="92"/>
      <c r="ID87" s="92"/>
      <c r="IE87" s="92"/>
      <c r="IF87" s="92"/>
      <c r="IG87" s="92"/>
      <c r="IH87" s="92"/>
      <c r="II87" s="92"/>
      <c r="IJ87" s="92"/>
      <c r="IK87" s="92"/>
      <c r="IL87" s="92"/>
      <c r="IM87" s="92"/>
      <c r="IN87" s="92"/>
      <c r="IO87" s="92"/>
      <c r="IP87" s="92"/>
      <c r="IQ87" s="92"/>
      <c r="IR87" s="92"/>
      <c r="IS87" s="92"/>
      <c r="IT87" s="92"/>
      <c r="IU87" s="92"/>
      <c r="IV87" s="92"/>
      <c r="IW87" s="92"/>
      <c r="IX87" s="92"/>
      <c r="IY87" s="92"/>
      <c r="IZ87" s="92"/>
      <c r="JA87" s="92"/>
      <c r="JB87" s="92"/>
      <c r="JC87" s="92"/>
      <c r="JD87" s="92"/>
      <c r="JE87" s="92"/>
      <c r="JF87" s="92"/>
      <c r="JG87" s="92"/>
      <c r="JH87" s="92"/>
      <c r="JI87" s="92"/>
      <c r="JJ87" s="92"/>
      <c r="JK87" s="92"/>
      <c r="JL87" s="92"/>
      <c r="JM87" s="92"/>
      <c r="JN87" s="92"/>
      <c r="JO87" s="92"/>
      <c r="JP87" s="92"/>
      <c r="JQ87" s="92"/>
      <c r="JR87" s="92"/>
      <c r="JS87" s="92"/>
      <c r="JT87" s="92"/>
      <c r="JU87" s="92"/>
      <c r="JV87" s="92"/>
      <c r="JW87" s="92"/>
      <c r="JX87" s="92"/>
      <c r="JY87" s="92"/>
      <c r="JZ87" s="92"/>
      <c r="KA87" s="92"/>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2"/>
      <c r="LA87" s="92"/>
      <c r="LB87" s="92"/>
      <c r="LC87" s="92"/>
      <c r="LD87" s="92"/>
      <c r="LE87" s="92"/>
      <c r="LF87" s="92"/>
      <c r="LG87" s="92"/>
      <c r="LH87" s="92"/>
      <c r="LI87" s="92"/>
      <c r="LJ87" s="92"/>
      <c r="LK87" s="92"/>
      <c r="LL87" s="92"/>
      <c r="LM87" s="92"/>
      <c r="LN87" s="92"/>
      <c r="LO87" s="92"/>
      <c r="LP87" s="92"/>
      <c r="LQ87" s="92"/>
      <c r="LR87" s="92"/>
      <c r="LS87" s="92"/>
      <c r="LT87" s="92"/>
      <c r="LU87" s="92"/>
      <c r="LV87" s="92"/>
      <c r="LW87" s="92"/>
      <c r="LX87" s="92"/>
      <c r="LY87" s="92"/>
      <c r="LZ87" s="92"/>
      <c r="MA87" s="92"/>
      <c r="MB87" s="92"/>
      <c r="MC87" s="92"/>
      <c r="MD87" s="92"/>
      <c r="ME87" s="92"/>
      <c r="MF87" s="92"/>
      <c r="MG87" s="92"/>
      <c r="MH87" s="92"/>
      <c r="MI87" s="92"/>
      <c r="MJ87" s="92"/>
      <c r="MK87" s="92"/>
      <c r="ML87" s="92"/>
      <c r="MM87" s="92"/>
      <c r="MN87" s="92"/>
      <c r="MO87" s="92"/>
      <c r="MP87" s="92"/>
      <c r="MQ87" s="92"/>
      <c r="MR87" s="92"/>
      <c r="MS87" s="92"/>
      <c r="MT87" s="92"/>
      <c r="MU87" s="92"/>
      <c r="MV87" s="92"/>
      <c r="MW87" s="92"/>
      <c r="MX87" s="92"/>
      <c r="MY87" s="92"/>
      <c r="MZ87" s="92"/>
      <c r="NA87" s="92"/>
      <c r="NB87" s="92"/>
      <c r="NC87" s="92"/>
      <c r="ND87" s="92"/>
      <c r="NE87" s="92"/>
      <c r="NF87" s="92"/>
      <c r="NG87" s="92"/>
      <c r="NH87" s="92"/>
      <c r="NI87" s="92"/>
      <c r="NJ87" s="92"/>
      <c r="NK87" s="92"/>
      <c r="NL87" s="92"/>
      <c r="NM87" s="92"/>
      <c r="NN87" s="92"/>
      <c r="NO87" s="92"/>
      <c r="NP87" s="92"/>
      <c r="NQ87" s="92"/>
      <c r="NR87" s="92"/>
      <c r="NS87" s="92"/>
      <c r="NT87" s="92"/>
      <c r="NU87" s="92"/>
      <c r="NV87" s="92"/>
      <c r="NW87" s="92"/>
      <c r="NX87" s="92"/>
      <c r="NY87" s="92"/>
      <c r="NZ87" s="92"/>
      <c r="OA87" s="92"/>
      <c r="OB87" s="92"/>
      <c r="OC87" s="92"/>
      <c r="OD87" s="92"/>
      <c r="OE87" s="92"/>
      <c r="OF87" s="92"/>
      <c r="OG87" s="92"/>
      <c r="OH87" s="92"/>
      <c r="OI87" s="92"/>
      <c r="OJ87" s="92"/>
      <c r="OK87" s="92"/>
      <c r="OL87" s="92"/>
      <c r="OM87" s="92"/>
      <c r="ON87" s="92"/>
      <c r="OO87" s="92"/>
      <c r="OP87" s="92"/>
      <c r="OQ87" s="92"/>
      <c r="OR87" s="92"/>
      <c r="OS87" s="92"/>
      <c r="OT87" s="92"/>
      <c r="OU87" s="92"/>
      <c r="OV87" s="92"/>
      <c r="OW87" s="92"/>
      <c r="OX87" s="92"/>
      <c r="OY87" s="92"/>
      <c r="OZ87" s="92"/>
      <c r="PA87" s="92"/>
      <c r="PB87" s="92"/>
      <c r="PC87" s="92"/>
      <c r="PD87" s="92"/>
      <c r="PE87" s="92"/>
      <c r="PF87" s="92"/>
      <c r="PG87" s="92"/>
      <c r="PH87" s="92"/>
      <c r="PI87" s="92"/>
      <c r="PJ87" s="92"/>
      <c r="PK87" s="92"/>
      <c r="PL87" s="92"/>
      <c r="PM87" s="92"/>
      <c r="PN87" s="92"/>
      <c r="PO87" s="92"/>
      <c r="PP87" s="92"/>
      <c r="PQ87" s="92"/>
      <c r="PR87" s="92"/>
      <c r="PS87" s="92"/>
      <c r="PT87" s="92"/>
      <c r="PU87" s="92"/>
      <c r="PV87" s="92"/>
      <c r="PW87" s="92"/>
      <c r="PX87" s="92"/>
      <c r="PY87" s="92"/>
      <c r="PZ87" s="92"/>
      <c r="QA87" s="92"/>
      <c r="QB87" s="92"/>
      <c r="QC87" s="92"/>
      <c r="QD87" s="92"/>
      <c r="QE87" s="92"/>
      <c r="QF87" s="92"/>
      <c r="QG87" s="92"/>
      <c r="QH87" s="92"/>
      <c r="QI87" s="92"/>
      <c r="QJ87" s="92"/>
      <c r="QK87" s="92"/>
      <c r="QL87" s="92"/>
      <c r="QM87" s="92"/>
      <c r="QN87" s="92"/>
      <c r="QO87" s="92"/>
    </row>
    <row r="88" spans="1:457">
      <c r="C88" s="297" t="s">
        <v>388</v>
      </c>
      <c r="D88" s="293">
        <f>D75-'AggrStep1-energy'!D102</f>
        <v>89.224887486664244</v>
      </c>
      <c r="E88" s="293">
        <f>E75-'AggrStep1-energy'!E102</f>
        <v>-249.14100673292091</v>
      </c>
      <c r="F88" s="293">
        <f>F75-'AggrStep1-energy'!F102</f>
        <v>12.228468736920528</v>
      </c>
      <c r="G88" s="294">
        <f t="shared" ref="G88:G89" si="56">SUM(D88:F88)</f>
        <v>-147.68765050933615</v>
      </c>
      <c r="H88" s="94"/>
      <c r="I88" s="94"/>
      <c r="J88" s="94"/>
      <c r="K88" s="94"/>
      <c r="L88" s="94"/>
      <c r="M88" s="94"/>
      <c r="N88" s="94"/>
      <c r="O88" s="95"/>
      <c r="P88" s="101"/>
      <c r="Q88" s="92"/>
      <c r="R88" s="92"/>
      <c r="S88" s="92"/>
      <c r="T88" s="101" t="s">
        <v>199</v>
      </c>
      <c r="U88" s="636">
        <f t="shared" ref="U88:U98" si="57">AA88</f>
        <v>1120.3304163355863</v>
      </c>
      <c r="V88" s="636">
        <f t="shared" ref="V88:V94" si="58">AB88</f>
        <v>1029.487554949578</v>
      </c>
      <c r="W88" s="636">
        <f t="shared" ref="W88:W97" si="59">AC88</f>
        <v>2413.1404958677685</v>
      </c>
      <c r="X88" s="636"/>
      <c r="Z88" s="101" t="s">
        <v>199</v>
      </c>
      <c r="AA88" s="636">
        <f t="shared" ref="AA88:AC92" si="60">IF(D4&lt;=0,0,AA6/D4)</f>
        <v>1120.3304163355863</v>
      </c>
      <c r="AB88" s="636">
        <f t="shared" si="60"/>
        <v>1029.487554949578</v>
      </c>
      <c r="AC88" s="636">
        <f t="shared" si="60"/>
        <v>2413.1404958677685</v>
      </c>
      <c r="AD88" s="636"/>
      <c r="AE88" s="92"/>
      <c r="AG88" s="92"/>
      <c r="AO88" s="92"/>
      <c r="AP88" s="92"/>
      <c r="AQ88" s="92"/>
      <c r="AR88" s="92"/>
      <c r="AS88" s="92"/>
      <c r="AT88" s="92"/>
      <c r="AU88" s="92"/>
      <c r="AV88" s="92"/>
      <c r="AW88" s="92"/>
      <c r="AX88" s="92"/>
      <c r="AY88" s="92"/>
      <c r="AZ88" s="92"/>
      <c r="BA88" s="92"/>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2"/>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2"/>
      <c r="CZ88" s="92"/>
      <c r="DA88" s="92"/>
      <c r="DB88" s="92"/>
      <c r="DC88" s="92"/>
      <c r="DD88" s="92"/>
      <c r="DE88" s="92"/>
      <c r="DF88" s="92"/>
      <c r="DG88" s="92"/>
      <c r="DH88" s="92"/>
      <c r="DI88" s="92"/>
      <c r="DJ88" s="92"/>
      <c r="DK88" s="92"/>
      <c r="DL88" s="92"/>
      <c r="DM88" s="92"/>
      <c r="DN88" s="92"/>
      <c r="DO88" s="92"/>
      <c r="DP88" s="92"/>
      <c r="DQ88" s="92"/>
      <c r="DR88" s="92"/>
      <c r="DS88" s="92"/>
      <c r="DT88" s="92"/>
      <c r="DU88" s="92"/>
      <c r="DV88" s="92"/>
      <c r="DW88" s="92"/>
      <c r="DX88" s="92"/>
      <c r="DY88" s="92"/>
      <c r="DZ88" s="92"/>
      <c r="EA88" s="92"/>
      <c r="EB88" s="92"/>
      <c r="EC88" s="92"/>
      <c r="ED88" s="92"/>
      <c r="EE88" s="92"/>
      <c r="EF88" s="92"/>
      <c r="EG88" s="92"/>
      <c r="EH88" s="92"/>
      <c r="EI88" s="92"/>
      <c r="EJ88" s="92"/>
      <c r="EK88" s="92"/>
      <c r="EL88" s="92"/>
      <c r="EM88" s="92"/>
      <c r="EN88" s="92"/>
      <c r="EO88" s="92"/>
      <c r="EP88" s="92"/>
      <c r="EQ88" s="92"/>
      <c r="ER88" s="92"/>
      <c r="ES88" s="92"/>
      <c r="ET88" s="92"/>
      <c r="EU88" s="92"/>
      <c r="EV88" s="92"/>
      <c r="EW88" s="92"/>
      <c r="EX88" s="92"/>
      <c r="EY88" s="92"/>
      <c r="EZ88" s="92"/>
      <c r="FA88" s="92"/>
      <c r="FB88" s="92"/>
      <c r="FC88" s="92"/>
      <c r="FD88" s="92"/>
      <c r="FE88" s="92"/>
      <c r="FF88" s="92"/>
      <c r="FG88" s="92"/>
      <c r="FH88" s="92"/>
      <c r="FI88" s="92"/>
      <c r="FJ88" s="92"/>
      <c r="FK88" s="92"/>
      <c r="FL88" s="92"/>
      <c r="FM88" s="92"/>
      <c r="FN88" s="92"/>
      <c r="FO88" s="92"/>
      <c r="FP88" s="92"/>
      <c r="FQ88" s="92"/>
      <c r="FR88" s="92"/>
      <c r="FS88" s="92"/>
      <c r="FT88" s="92"/>
      <c r="FU88" s="92"/>
      <c r="FV88" s="92"/>
      <c r="FW88" s="92"/>
      <c r="FX88" s="92"/>
      <c r="FY88" s="92"/>
      <c r="FZ88" s="92"/>
      <c r="GA88" s="92"/>
      <c r="GB88" s="92"/>
      <c r="GC88" s="92"/>
      <c r="GD88" s="92"/>
      <c r="GE88" s="92"/>
      <c r="GF88" s="92"/>
      <c r="GG88" s="92"/>
      <c r="GH88" s="92"/>
      <c r="GI88" s="92"/>
      <c r="GJ88" s="92"/>
      <c r="GK88" s="92"/>
      <c r="GL88" s="92"/>
      <c r="GM88" s="92"/>
      <c r="GN88" s="92"/>
      <c r="GO88" s="92"/>
      <c r="GP88" s="92"/>
      <c r="GQ88" s="92"/>
      <c r="GR88" s="92"/>
      <c r="GS88" s="92"/>
      <c r="GT88" s="92"/>
      <c r="GU88" s="92"/>
      <c r="GV88" s="92"/>
      <c r="GW88" s="92"/>
      <c r="GX88" s="92"/>
      <c r="GY88" s="92"/>
      <c r="GZ88" s="92"/>
      <c r="HA88" s="92"/>
      <c r="HB88" s="92"/>
      <c r="HC88" s="92"/>
      <c r="HD88" s="92"/>
      <c r="HE88" s="92"/>
      <c r="HF88" s="92"/>
      <c r="HG88" s="92"/>
      <c r="HH88" s="92"/>
      <c r="HI88" s="92"/>
      <c r="HJ88" s="92"/>
      <c r="HK88" s="92"/>
      <c r="HL88" s="92"/>
      <c r="HM88" s="92"/>
      <c r="HN88" s="92"/>
      <c r="HO88" s="92"/>
      <c r="HP88" s="92"/>
      <c r="HQ88" s="92"/>
      <c r="HR88" s="92"/>
      <c r="HS88" s="92"/>
      <c r="HT88" s="92"/>
      <c r="HU88" s="92"/>
      <c r="HV88" s="92"/>
      <c r="HW88" s="92"/>
      <c r="HX88" s="92"/>
      <c r="HY88" s="92"/>
      <c r="HZ88" s="92"/>
      <c r="IA88" s="92"/>
      <c r="IB88" s="92"/>
      <c r="IC88" s="92"/>
      <c r="ID88" s="92"/>
      <c r="IE88" s="92"/>
      <c r="IF88" s="92"/>
      <c r="IG88" s="92"/>
      <c r="IH88" s="92"/>
      <c r="II88" s="92"/>
      <c r="IJ88" s="92"/>
      <c r="IK88" s="92"/>
      <c r="IL88" s="92"/>
      <c r="IM88" s="92"/>
      <c r="IN88" s="92"/>
      <c r="IO88" s="92"/>
      <c r="IP88" s="92"/>
      <c r="IQ88" s="92"/>
      <c r="IR88" s="92"/>
      <c r="IS88" s="92"/>
      <c r="IT88" s="92"/>
      <c r="IU88" s="92"/>
      <c r="IV88" s="92"/>
      <c r="IW88" s="92"/>
      <c r="IX88" s="92"/>
      <c r="IY88" s="92"/>
      <c r="IZ88" s="92"/>
      <c r="JA88" s="92"/>
      <c r="JB88" s="92"/>
      <c r="JC88" s="92"/>
      <c r="JD88" s="92"/>
      <c r="JE88" s="92"/>
      <c r="JF88" s="92"/>
      <c r="JG88" s="92"/>
      <c r="JH88" s="92"/>
      <c r="JI88" s="92"/>
      <c r="JJ88" s="92"/>
      <c r="JK88" s="92"/>
      <c r="JL88" s="92"/>
      <c r="JM88" s="92"/>
      <c r="JN88" s="92"/>
      <c r="JO88" s="92"/>
      <c r="JP88" s="92"/>
      <c r="JQ88" s="92"/>
      <c r="JR88" s="92"/>
      <c r="JS88" s="92"/>
      <c r="JT88" s="92"/>
      <c r="JU88" s="92"/>
      <c r="JV88" s="92"/>
      <c r="JW88" s="92"/>
      <c r="JX88" s="92"/>
      <c r="JY88" s="92"/>
      <c r="JZ88" s="92"/>
      <c r="KA88" s="92"/>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2"/>
      <c r="LA88" s="92"/>
      <c r="LB88" s="92"/>
      <c r="LC88" s="92"/>
      <c r="LD88" s="92"/>
      <c r="LE88" s="92"/>
      <c r="LF88" s="92"/>
      <c r="LG88" s="92"/>
      <c r="LH88" s="92"/>
      <c r="LI88" s="92"/>
      <c r="LJ88" s="92"/>
      <c r="LK88" s="92"/>
      <c r="LL88" s="92"/>
      <c r="LM88" s="92"/>
      <c r="LN88" s="92"/>
      <c r="LO88" s="92"/>
      <c r="LP88" s="92"/>
      <c r="LQ88" s="92"/>
      <c r="LR88" s="92"/>
      <c r="LS88" s="92"/>
      <c r="LT88" s="92"/>
      <c r="LU88" s="92"/>
      <c r="LV88" s="92"/>
      <c r="LW88" s="92"/>
      <c r="LX88" s="92"/>
      <c r="LY88" s="92"/>
      <c r="LZ88" s="92"/>
      <c r="MA88" s="92"/>
      <c r="MB88" s="92"/>
      <c r="MC88" s="92"/>
      <c r="MD88" s="92"/>
      <c r="ME88" s="92"/>
      <c r="MF88" s="92"/>
      <c r="MG88" s="92"/>
      <c r="MH88" s="92"/>
      <c r="MI88" s="92"/>
      <c r="MJ88" s="92"/>
      <c r="MK88" s="92"/>
      <c r="ML88" s="92"/>
      <c r="MM88" s="92"/>
      <c r="MN88" s="92"/>
      <c r="MO88" s="92"/>
      <c r="MP88" s="92"/>
      <c r="MQ88" s="92"/>
      <c r="MR88" s="92"/>
      <c r="MS88" s="92"/>
      <c r="MT88" s="92"/>
      <c r="MU88" s="92"/>
      <c r="MV88" s="92"/>
      <c r="MW88" s="92"/>
      <c r="MX88" s="92"/>
      <c r="MY88" s="92"/>
      <c r="MZ88" s="92"/>
      <c r="NA88" s="92"/>
      <c r="NB88" s="92"/>
      <c r="NC88" s="92"/>
      <c r="ND88" s="92"/>
      <c r="NE88" s="92"/>
      <c r="NF88" s="92"/>
      <c r="NG88" s="92"/>
      <c r="NH88" s="92"/>
      <c r="NI88" s="92"/>
      <c r="NJ88" s="92"/>
      <c r="NK88" s="92"/>
      <c r="NL88" s="92"/>
      <c r="NM88" s="92"/>
      <c r="NN88" s="92"/>
      <c r="NO88" s="92"/>
      <c r="NP88" s="92"/>
      <c r="NQ88" s="92"/>
      <c r="NR88" s="92"/>
      <c r="NS88" s="92"/>
      <c r="NT88" s="92"/>
      <c r="NU88" s="92"/>
      <c r="NV88" s="92"/>
      <c r="NW88" s="92"/>
      <c r="NX88" s="92"/>
      <c r="NY88" s="92"/>
      <c r="NZ88" s="92"/>
      <c r="OA88" s="92"/>
      <c r="OB88" s="92"/>
      <c r="OC88" s="92"/>
      <c r="OD88" s="92"/>
      <c r="OE88" s="92"/>
      <c r="OF88" s="92"/>
      <c r="OG88" s="92"/>
      <c r="OH88" s="92"/>
      <c r="OI88" s="92"/>
      <c r="OJ88" s="92"/>
      <c r="OK88" s="92"/>
      <c r="OL88" s="92"/>
      <c r="OM88" s="92"/>
      <c r="ON88" s="92"/>
      <c r="OO88" s="92"/>
      <c r="OP88" s="92"/>
      <c r="OQ88" s="92"/>
      <c r="OR88" s="92"/>
      <c r="OS88" s="92"/>
      <c r="OT88" s="92"/>
      <c r="OU88" s="92"/>
      <c r="OV88" s="92"/>
      <c r="OW88" s="92"/>
      <c r="OX88" s="92"/>
      <c r="OY88" s="92"/>
      <c r="OZ88" s="92"/>
      <c r="PA88" s="92"/>
      <c r="PB88" s="92"/>
      <c r="PC88" s="92"/>
      <c r="PD88" s="92"/>
      <c r="PE88" s="92"/>
      <c r="PF88" s="92"/>
      <c r="PG88" s="92"/>
      <c r="PH88" s="92"/>
      <c r="PI88" s="92"/>
      <c r="PJ88" s="92"/>
      <c r="PK88" s="92"/>
      <c r="PL88" s="92"/>
      <c r="PM88" s="92"/>
      <c r="PN88" s="92"/>
      <c r="PO88" s="92"/>
      <c r="PP88" s="92"/>
      <c r="PQ88" s="92"/>
      <c r="PR88" s="92"/>
      <c r="PS88" s="92"/>
      <c r="PT88" s="92"/>
      <c r="PU88" s="92"/>
      <c r="PV88" s="92"/>
      <c r="PW88" s="92"/>
      <c r="PX88" s="92"/>
      <c r="PY88" s="92"/>
      <c r="PZ88" s="92"/>
      <c r="QA88" s="92"/>
      <c r="QB88" s="92"/>
      <c r="QC88" s="92"/>
      <c r="QD88" s="92"/>
      <c r="QE88" s="92"/>
      <c r="QF88" s="92"/>
      <c r="QG88" s="92"/>
      <c r="QH88" s="92"/>
      <c r="QI88" s="92"/>
      <c r="QJ88" s="92"/>
      <c r="QK88" s="92"/>
      <c r="QL88" s="92"/>
      <c r="QM88" s="92"/>
      <c r="QN88" s="92"/>
      <c r="QO88" s="92"/>
    </row>
    <row r="89" spans="1:457">
      <c r="C89" s="297" t="s">
        <v>573</v>
      </c>
      <c r="D89" s="293">
        <f>D76-'AggrStep1-energy'!D103</f>
        <v>0</v>
      </c>
      <c r="E89" s="293">
        <f>E76-'AggrStep1-energy'!E103</f>
        <v>0</v>
      </c>
      <c r="F89" s="293">
        <f>F76-PRODESEN!K52*Step2!V79</f>
        <v>0</v>
      </c>
      <c r="G89" s="294">
        <f t="shared" si="56"/>
        <v>0</v>
      </c>
      <c r="H89" s="94"/>
      <c r="I89" s="94"/>
      <c r="J89" s="94"/>
      <c r="K89" s="94"/>
      <c r="L89" s="94"/>
      <c r="M89" s="94"/>
      <c r="N89" s="94"/>
      <c r="O89" s="95"/>
      <c r="P89" s="101"/>
      <c r="Q89" s="92"/>
      <c r="R89" s="92"/>
      <c r="S89" s="92"/>
      <c r="T89" s="101" t="s">
        <v>200</v>
      </c>
      <c r="U89" s="636">
        <f>AA89</f>
        <v>369.03713274862844</v>
      </c>
      <c r="V89" s="636">
        <f t="shared" si="58"/>
        <v>128.67052026873878</v>
      </c>
      <c r="W89" s="636">
        <f t="shared" si="59"/>
        <v>561.37004662004654</v>
      </c>
      <c r="X89" s="636"/>
      <c r="Z89" s="101" t="s">
        <v>200</v>
      </c>
      <c r="AA89" s="636">
        <f t="shared" si="60"/>
        <v>369.03713274862844</v>
      </c>
      <c r="AB89" s="636">
        <f t="shared" si="60"/>
        <v>128.67052026873878</v>
      </c>
      <c r="AC89" s="636">
        <f t="shared" si="60"/>
        <v>561.37004662004654</v>
      </c>
      <c r="AD89" s="636"/>
      <c r="AE89" s="92"/>
      <c r="AG89" s="92"/>
      <c r="AO89" s="92"/>
      <c r="AP89" s="92"/>
      <c r="AQ89" s="92"/>
      <c r="AR89" s="92"/>
      <c r="AS89" s="92"/>
      <c r="AT89" s="92"/>
      <c r="AU89" s="92"/>
      <c r="AV89" s="92"/>
      <c r="AW89" s="92"/>
      <c r="AX89" s="92"/>
      <c r="AY89" s="92"/>
      <c r="AZ89" s="92"/>
      <c r="BA89" s="92"/>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2"/>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2"/>
      <c r="CZ89" s="92"/>
      <c r="DA89" s="92"/>
      <c r="DB89" s="92"/>
      <c r="DC89" s="92"/>
      <c r="DD89" s="92"/>
      <c r="DE89" s="92"/>
      <c r="DF89" s="92"/>
      <c r="DG89" s="92"/>
      <c r="DH89" s="92"/>
      <c r="DI89" s="92"/>
      <c r="DJ89" s="92"/>
      <c r="DK89" s="92"/>
      <c r="DL89" s="92"/>
      <c r="DM89" s="92"/>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2"/>
      <c r="EN89" s="92"/>
      <c r="EO89" s="92"/>
      <c r="EP89" s="92"/>
      <c r="EQ89" s="92"/>
      <c r="ER89" s="92"/>
      <c r="ES89" s="92"/>
      <c r="ET89" s="92"/>
      <c r="EU89" s="92"/>
      <c r="EV89" s="92"/>
      <c r="EW89" s="92"/>
      <c r="EX89" s="92"/>
      <c r="EY89" s="92"/>
      <c r="EZ89" s="92"/>
      <c r="FA89" s="92"/>
      <c r="FB89" s="92"/>
      <c r="FC89" s="92"/>
      <c r="FD89" s="92"/>
      <c r="FE89" s="92"/>
      <c r="FF89" s="92"/>
      <c r="FG89" s="92"/>
      <c r="FH89" s="92"/>
      <c r="FI89" s="92"/>
      <c r="FJ89" s="92"/>
      <c r="FK89" s="92"/>
      <c r="FL89" s="92"/>
      <c r="FM89" s="92"/>
      <c r="FN89" s="92"/>
      <c r="FO89" s="92"/>
      <c r="FP89" s="92"/>
      <c r="FQ89" s="92"/>
      <c r="FR89" s="92"/>
      <c r="FS89" s="92"/>
      <c r="FT89" s="92"/>
      <c r="FU89" s="92"/>
      <c r="FV89" s="92"/>
      <c r="FW89" s="92"/>
      <c r="FX89" s="92"/>
      <c r="FY89" s="92"/>
      <c r="FZ89" s="92"/>
      <c r="GA89" s="92"/>
      <c r="GB89" s="92"/>
      <c r="GC89" s="92"/>
      <c r="GD89" s="92"/>
      <c r="GE89" s="92"/>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2"/>
      <c r="HE89" s="92"/>
      <c r="HF89" s="92"/>
      <c r="HG89" s="92"/>
      <c r="HH89" s="92"/>
      <c r="HI89" s="92"/>
      <c r="HJ89" s="92"/>
      <c r="HK89" s="92"/>
      <c r="HL89" s="92"/>
      <c r="HM89" s="92"/>
      <c r="HN89" s="92"/>
      <c r="HO89" s="92"/>
      <c r="HP89" s="92"/>
      <c r="HQ89" s="92"/>
      <c r="HR89" s="92"/>
      <c r="HS89" s="92"/>
      <c r="HT89" s="92"/>
      <c r="HU89" s="92"/>
      <c r="HV89" s="92"/>
      <c r="HW89" s="92"/>
      <c r="HX89" s="92"/>
      <c r="HY89" s="92"/>
      <c r="HZ89" s="92"/>
      <c r="IA89" s="92"/>
      <c r="IB89" s="92"/>
      <c r="IC89" s="92"/>
      <c r="ID89" s="92"/>
      <c r="IE89" s="92"/>
      <c r="IF89" s="92"/>
      <c r="IG89" s="92"/>
      <c r="IH89" s="92"/>
      <c r="II89" s="92"/>
      <c r="IJ89" s="92"/>
      <c r="IK89" s="92"/>
      <c r="IL89" s="92"/>
      <c r="IM89" s="92"/>
      <c r="IN89" s="92"/>
      <c r="IO89" s="92"/>
      <c r="IP89" s="92"/>
      <c r="IQ89" s="92"/>
      <c r="IR89" s="92"/>
      <c r="IS89" s="92"/>
      <c r="IT89" s="92"/>
      <c r="IU89" s="92"/>
      <c r="IV89" s="92"/>
      <c r="IW89" s="92"/>
      <c r="IX89" s="92"/>
      <c r="IY89" s="92"/>
      <c r="IZ89" s="92"/>
      <c r="JA89" s="92"/>
      <c r="JB89" s="92"/>
      <c r="JC89" s="92"/>
      <c r="JD89" s="92"/>
      <c r="JE89" s="92"/>
      <c r="JF89" s="92"/>
      <c r="JG89" s="92"/>
      <c r="JH89" s="92"/>
      <c r="JI89" s="92"/>
      <c r="JJ89" s="92"/>
      <c r="JK89" s="92"/>
      <c r="JL89" s="92"/>
      <c r="JM89" s="92"/>
      <c r="JN89" s="92"/>
      <c r="JO89" s="92"/>
      <c r="JP89" s="92"/>
      <c r="JQ89" s="92"/>
      <c r="JR89" s="92"/>
      <c r="JS89" s="92"/>
      <c r="JT89" s="92"/>
      <c r="JU89" s="92"/>
      <c r="JV89" s="92"/>
      <c r="JW89" s="92"/>
      <c r="JX89" s="92"/>
      <c r="JY89" s="92"/>
      <c r="JZ89" s="92"/>
      <c r="KA89" s="92"/>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2"/>
      <c r="LA89" s="92"/>
      <c r="LB89" s="92"/>
      <c r="LC89" s="92"/>
      <c r="LD89" s="92"/>
      <c r="LE89" s="92"/>
      <c r="LF89" s="92"/>
      <c r="LG89" s="92"/>
      <c r="LH89" s="92"/>
      <c r="LI89" s="92"/>
      <c r="LJ89" s="92"/>
      <c r="LK89" s="92"/>
      <c r="LL89" s="92"/>
      <c r="LM89" s="92"/>
      <c r="LN89" s="92"/>
      <c r="LO89" s="92"/>
      <c r="LP89" s="92"/>
      <c r="LQ89" s="92"/>
      <c r="LR89" s="92"/>
      <c r="LS89" s="92"/>
      <c r="LT89" s="92"/>
      <c r="LU89" s="92"/>
      <c r="LV89" s="92"/>
      <c r="LW89" s="92"/>
      <c r="LX89" s="92"/>
      <c r="LY89" s="92"/>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2"/>
      <c r="MY89" s="92"/>
      <c r="MZ89" s="92"/>
      <c r="NA89" s="92"/>
      <c r="NB89" s="92"/>
      <c r="NC89" s="92"/>
      <c r="ND89" s="92"/>
      <c r="NE89" s="92"/>
      <c r="NF89" s="92"/>
      <c r="NG89" s="92"/>
      <c r="NH89" s="92"/>
      <c r="NI89" s="92"/>
      <c r="NJ89" s="92"/>
      <c r="NK89" s="92"/>
      <c r="NL89" s="92"/>
      <c r="NM89" s="92"/>
      <c r="NN89" s="92"/>
      <c r="NO89" s="92"/>
      <c r="NP89" s="92"/>
      <c r="NQ89" s="92"/>
      <c r="NR89" s="92"/>
      <c r="NS89" s="92"/>
      <c r="NT89" s="92"/>
      <c r="NU89" s="92"/>
      <c r="NV89" s="92"/>
      <c r="NW89" s="92"/>
      <c r="NX89" s="92"/>
      <c r="NY89" s="92"/>
      <c r="NZ89" s="92"/>
      <c r="OA89" s="92"/>
      <c r="OB89" s="92"/>
      <c r="OC89" s="92"/>
      <c r="OD89" s="92"/>
      <c r="OE89" s="92"/>
      <c r="OF89" s="92"/>
      <c r="OG89" s="92"/>
      <c r="OH89" s="92"/>
      <c r="OI89" s="92"/>
      <c r="OJ89" s="92"/>
      <c r="OK89" s="92"/>
      <c r="OL89" s="92"/>
      <c r="OM89" s="92"/>
      <c r="ON89" s="92"/>
      <c r="OO89" s="92"/>
      <c r="OP89" s="92"/>
      <c r="OQ89" s="92"/>
      <c r="OR89" s="92"/>
      <c r="OS89" s="92"/>
      <c r="OT89" s="92"/>
      <c r="OU89" s="92"/>
      <c r="OV89" s="92"/>
      <c r="OW89" s="92"/>
      <c r="OX89" s="92"/>
      <c r="OY89" s="92"/>
      <c r="OZ89" s="92"/>
      <c r="PA89" s="92"/>
      <c r="PB89" s="92"/>
      <c r="PC89" s="92"/>
      <c r="PD89" s="92"/>
      <c r="PE89" s="92"/>
      <c r="PF89" s="92"/>
      <c r="PG89" s="92"/>
      <c r="PH89" s="92"/>
      <c r="PI89" s="92"/>
      <c r="PJ89" s="92"/>
      <c r="PK89" s="92"/>
      <c r="PL89" s="92"/>
      <c r="PM89" s="92"/>
      <c r="PN89" s="92"/>
      <c r="PO89" s="92"/>
      <c r="PP89" s="92"/>
      <c r="PQ89" s="92"/>
      <c r="PR89" s="92"/>
      <c r="PS89" s="92"/>
      <c r="PT89" s="92"/>
      <c r="PU89" s="92"/>
      <c r="PV89" s="92"/>
      <c r="PW89" s="92"/>
      <c r="PX89" s="92"/>
      <c r="PY89" s="92"/>
      <c r="PZ89" s="92"/>
      <c r="QA89" s="92"/>
      <c r="QB89" s="92"/>
      <c r="QC89" s="92"/>
      <c r="QD89" s="92"/>
      <c r="QE89" s="92"/>
      <c r="QF89" s="92"/>
      <c r="QG89" s="92"/>
      <c r="QH89" s="92"/>
      <c r="QI89" s="92"/>
      <c r="QJ89" s="92"/>
      <c r="QK89" s="92"/>
      <c r="QL89" s="92"/>
      <c r="QM89" s="92"/>
      <c r="QN89" s="92"/>
      <c r="QO89" s="92"/>
    </row>
    <row r="90" spans="1:457">
      <c r="C90" s="297"/>
      <c r="D90" s="293"/>
      <c r="E90" s="293"/>
      <c r="F90" s="293"/>
      <c r="G90" s="293"/>
      <c r="H90" s="94"/>
      <c r="I90" s="94"/>
      <c r="J90" s="94"/>
      <c r="K90" s="94"/>
      <c r="L90" s="94"/>
      <c r="M90" s="94"/>
      <c r="N90" s="94"/>
      <c r="O90" s="95"/>
      <c r="P90" s="101"/>
      <c r="Q90" s="92"/>
      <c r="R90" s="92"/>
      <c r="T90" s="101" t="s">
        <v>201</v>
      </c>
      <c r="U90" s="636">
        <f t="shared" si="57"/>
        <v>3775.429237118045</v>
      </c>
      <c r="V90" s="636">
        <f t="shared" si="58"/>
        <v>244.09519355315877</v>
      </c>
      <c r="W90" s="636">
        <f t="shared" si="59"/>
        <v>317.58883476610379</v>
      </c>
      <c r="X90" s="636"/>
      <c r="Z90" s="101" t="s">
        <v>201</v>
      </c>
      <c r="AA90" s="636">
        <f t="shared" si="60"/>
        <v>3775.429237118045</v>
      </c>
      <c r="AB90" s="636">
        <f t="shared" si="60"/>
        <v>244.09519355315877</v>
      </c>
      <c r="AC90" s="636">
        <f t="shared" si="60"/>
        <v>317.58883476610379</v>
      </c>
      <c r="AD90" s="636"/>
      <c r="AE90" s="92"/>
      <c r="AG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c r="BZ90" s="92"/>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2"/>
      <c r="CZ90" s="92"/>
      <c r="DA90" s="92"/>
      <c r="DB90" s="92"/>
      <c r="DC90" s="92"/>
      <c r="DD90" s="92"/>
      <c r="DE90" s="92"/>
      <c r="DF90" s="92"/>
      <c r="DG90" s="92"/>
      <c r="DH90" s="92"/>
      <c r="DI90" s="92"/>
      <c r="DJ90" s="92"/>
      <c r="DK90" s="92"/>
      <c r="DL90" s="92"/>
      <c r="DM90" s="92"/>
      <c r="DN90" s="92"/>
      <c r="DO90" s="92"/>
      <c r="DP90" s="92"/>
      <c r="DQ90" s="92"/>
      <c r="DR90" s="92"/>
      <c r="DS90" s="92"/>
      <c r="DT90" s="92"/>
      <c r="DU90" s="92"/>
      <c r="DV90" s="92"/>
      <c r="DW90" s="92"/>
      <c r="DX90" s="92"/>
      <c r="DY90" s="92"/>
      <c r="DZ90" s="92"/>
      <c r="EA90" s="92"/>
      <c r="EB90" s="92"/>
      <c r="EC90" s="92"/>
      <c r="ED90" s="92"/>
      <c r="EE90" s="92"/>
      <c r="EF90" s="92"/>
      <c r="EG90" s="92"/>
      <c r="EH90" s="92"/>
      <c r="EI90" s="92"/>
      <c r="EJ90" s="92"/>
      <c r="EK90" s="92"/>
      <c r="EL90" s="92"/>
      <c r="EM90" s="92"/>
      <c r="EN90" s="92"/>
      <c r="EO90" s="92"/>
      <c r="EP90" s="92"/>
      <c r="EQ90" s="92"/>
      <c r="ER90" s="92"/>
      <c r="ES90" s="92"/>
      <c r="ET90" s="92"/>
      <c r="EU90" s="92"/>
      <c r="EV90" s="92"/>
      <c r="EW90" s="92"/>
      <c r="EX90" s="92"/>
      <c r="EY90" s="92"/>
      <c r="EZ90" s="92"/>
      <c r="FA90" s="92"/>
      <c r="FB90" s="92"/>
      <c r="FC90" s="92"/>
      <c r="FD90" s="92"/>
      <c r="FE90" s="92"/>
      <c r="FF90" s="92"/>
      <c r="FG90" s="92"/>
      <c r="FH90" s="92"/>
      <c r="FI90" s="92"/>
      <c r="FJ90" s="92"/>
      <c r="FK90" s="92"/>
      <c r="FL90" s="92"/>
      <c r="FM90" s="92"/>
      <c r="FN90" s="92"/>
      <c r="FO90" s="92"/>
      <c r="FP90" s="92"/>
      <c r="FQ90" s="92"/>
      <c r="FR90" s="92"/>
      <c r="FS90" s="92"/>
      <c r="FT90" s="92"/>
      <c r="FU90" s="92"/>
      <c r="FV90" s="92"/>
      <c r="FW90" s="92"/>
      <c r="FX90" s="92"/>
      <c r="FY90" s="92"/>
      <c r="FZ90" s="92"/>
      <c r="GA90" s="92"/>
      <c r="GB90" s="92"/>
      <c r="GC90" s="92"/>
      <c r="GD90" s="92"/>
      <c r="GE90" s="92"/>
      <c r="GF90" s="92"/>
      <c r="GG90" s="92"/>
      <c r="GH90" s="92"/>
      <c r="GI90" s="92"/>
      <c r="GJ90" s="92"/>
      <c r="GK90" s="92"/>
      <c r="GL90" s="92"/>
      <c r="GM90" s="92"/>
      <c r="GN90" s="92"/>
      <c r="GO90" s="92"/>
      <c r="GP90" s="92"/>
      <c r="GQ90" s="92"/>
      <c r="GR90" s="92"/>
      <c r="GS90" s="92"/>
      <c r="GT90" s="92"/>
      <c r="GU90" s="92"/>
      <c r="GV90" s="92"/>
      <c r="GW90" s="92"/>
      <c r="GX90" s="92"/>
      <c r="GY90" s="92"/>
      <c r="GZ90" s="92"/>
      <c r="HA90" s="92"/>
      <c r="HB90" s="92"/>
      <c r="HC90" s="92"/>
      <c r="HD90" s="92"/>
      <c r="HE90" s="92"/>
      <c r="HF90" s="92"/>
      <c r="HG90" s="92"/>
      <c r="HH90" s="92"/>
      <c r="HI90" s="92"/>
      <c r="HJ90" s="92"/>
      <c r="HK90" s="92"/>
      <c r="HL90" s="92"/>
      <c r="HM90" s="92"/>
      <c r="HN90" s="92"/>
      <c r="HO90" s="92"/>
      <c r="HP90" s="92"/>
      <c r="HQ90" s="92"/>
      <c r="HR90" s="92"/>
      <c r="HS90" s="92"/>
      <c r="HT90" s="92"/>
      <c r="HU90" s="92"/>
      <c r="HV90" s="92"/>
      <c r="HW90" s="92"/>
      <c r="HX90" s="92"/>
      <c r="HY90" s="92"/>
      <c r="HZ90" s="92"/>
      <c r="IA90" s="92"/>
      <c r="IB90" s="92"/>
      <c r="IC90" s="92"/>
      <c r="ID90" s="92"/>
      <c r="IE90" s="92"/>
      <c r="IF90" s="92"/>
      <c r="IG90" s="92"/>
      <c r="IH90" s="92"/>
      <c r="II90" s="92"/>
      <c r="IJ90" s="92"/>
      <c r="IK90" s="92"/>
      <c r="IL90" s="92"/>
      <c r="IM90" s="92"/>
      <c r="IN90" s="92"/>
      <c r="IO90" s="92"/>
      <c r="IP90" s="92"/>
      <c r="IQ90" s="92"/>
      <c r="IR90" s="92"/>
      <c r="IS90" s="92"/>
      <c r="IT90" s="92"/>
      <c r="IU90" s="92"/>
      <c r="IV90" s="92"/>
      <c r="IW90" s="92"/>
      <c r="IX90" s="92"/>
      <c r="IY90" s="92"/>
      <c r="IZ90" s="92"/>
      <c r="JA90" s="92"/>
      <c r="JB90" s="92"/>
      <c r="JC90" s="92"/>
      <c r="JD90" s="92"/>
      <c r="JE90" s="92"/>
      <c r="JF90" s="92"/>
      <c r="JG90" s="92"/>
      <c r="JH90" s="92"/>
      <c r="JI90" s="92"/>
      <c r="JJ90" s="92"/>
      <c r="JK90" s="92"/>
      <c r="JL90" s="92"/>
      <c r="JM90" s="92"/>
      <c r="JN90" s="92"/>
      <c r="JO90" s="92"/>
      <c r="JP90" s="92"/>
      <c r="JQ90" s="92"/>
      <c r="JR90" s="92"/>
      <c r="JS90" s="92"/>
      <c r="JT90" s="92"/>
      <c r="JU90" s="92"/>
      <c r="JV90" s="92"/>
      <c r="JW90" s="92"/>
      <c r="JX90" s="92"/>
      <c r="JY90" s="92"/>
      <c r="JZ90" s="92"/>
      <c r="KA90" s="92"/>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2"/>
      <c r="LA90" s="92"/>
      <c r="LB90" s="92"/>
      <c r="LC90" s="92"/>
      <c r="LD90" s="92"/>
      <c r="LE90" s="92"/>
      <c r="LF90" s="92"/>
      <c r="LG90" s="92"/>
      <c r="LH90" s="92"/>
      <c r="LI90" s="92"/>
      <c r="LJ90" s="92"/>
      <c r="LK90" s="92"/>
      <c r="LL90" s="92"/>
      <c r="LM90" s="92"/>
      <c r="LN90" s="92"/>
      <c r="LO90" s="92"/>
      <c r="LP90" s="92"/>
      <c r="LQ90" s="92"/>
      <c r="LR90" s="92"/>
      <c r="LS90" s="92"/>
      <c r="LT90" s="92"/>
      <c r="LU90" s="92"/>
      <c r="LV90" s="92"/>
      <c r="LW90" s="92"/>
      <c r="LX90" s="92"/>
      <c r="LY90" s="92"/>
      <c r="LZ90" s="92"/>
      <c r="MA90" s="92"/>
      <c r="MB90" s="92"/>
      <c r="MC90" s="92"/>
      <c r="MD90" s="92"/>
      <c r="ME90" s="92"/>
      <c r="MF90" s="92"/>
      <c r="MG90" s="92"/>
      <c r="MH90" s="92"/>
      <c r="MI90" s="92"/>
      <c r="MJ90" s="92"/>
      <c r="MK90" s="92"/>
      <c r="ML90" s="92"/>
      <c r="MM90" s="92"/>
      <c r="MN90" s="92"/>
      <c r="MO90" s="92"/>
      <c r="MP90" s="92"/>
      <c r="MQ90" s="92"/>
      <c r="MR90" s="92"/>
      <c r="MS90" s="92"/>
      <c r="MT90" s="92"/>
      <c r="MU90" s="92"/>
      <c r="MV90" s="92"/>
      <c r="MW90" s="92"/>
      <c r="MX90" s="92"/>
      <c r="MY90" s="92"/>
      <c r="MZ90" s="92"/>
      <c r="NA90" s="92"/>
      <c r="NB90" s="92"/>
      <c r="NC90" s="92"/>
      <c r="ND90" s="92"/>
      <c r="NE90" s="92"/>
      <c r="NF90" s="92"/>
      <c r="NG90" s="92"/>
      <c r="NH90" s="92"/>
      <c r="NI90" s="92"/>
      <c r="NJ90" s="92"/>
      <c r="NK90" s="92"/>
      <c r="NL90" s="92"/>
      <c r="NM90" s="92"/>
      <c r="NN90" s="92"/>
      <c r="NO90" s="92"/>
      <c r="NP90" s="92"/>
      <c r="NQ90" s="92"/>
      <c r="NR90" s="92"/>
      <c r="NS90" s="92"/>
      <c r="NT90" s="92"/>
      <c r="NU90" s="92"/>
      <c r="NV90" s="92"/>
      <c r="NW90" s="92"/>
      <c r="NX90" s="92"/>
      <c r="NY90" s="92"/>
      <c r="NZ90" s="92"/>
      <c r="OA90" s="92"/>
      <c r="OB90" s="92"/>
      <c r="OC90" s="92"/>
      <c r="OD90" s="92"/>
      <c r="OE90" s="92"/>
      <c r="OF90" s="92"/>
      <c r="OG90" s="92"/>
      <c r="OH90" s="92"/>
      <c r="OI90" s="92"/>
      <c r="OJ90" s="92"/>
      <c r="OK90" s="92"/>
      <c r="OL90" s="92"/>
      <c r="OM90" s="92"/>
      <c r="ON90" s="92"/>
      <c r="OO90" s="92"/>
      <c r="OP90" s="92"/>
      <c r="OQ90" s="92"/>
      <c r="OR90" s="92"/>
      <c r="OS90" s="92"/>
      <c r="OT90" s="92"/>
      <c r="OU90" s="92"/>
      <c r="OV90" s="92"/>
      <c r="OW90" s="92"/>
      <c r="OX90" s="92"/>
      <c r="OY90" s="92"/>
      <c r="OZ90" s="92"/>
      <c r="PA90" s="92"/>
      <c r="PB90" s="92"/>
      <c r="PC90" s="92"/>
      <c r="PD90" s="92"/>
      <c r="PE90" s="92"/>
      <c r="PF90" s="92"/>
      <c r="PG90" s="92"/>
      <c r="PH90" s="92"/>
      <c r="PI90" s="92"/>
      <c r="PJ90" s="92"/>
      <c r="PK90" s="92"/>
      <c r="PL90" s="92"/>
      <c r="PM90" s="92"/>
      <c r="PN90" s="92"/>
      <c r="PO90" s="92"/>
      <c r="PP90" s="92"/>
      <c r="PQ90" s="92"/>
      <c r="PR90" s="92"/>
      <c r="PS90" s="92"/>
      <c r="PT90" s="92"/>
      <c r="PU90" s="92"/>
      <c r="PV90" s="92"/>
      <c r="PW90" s="92"/>
      <c r="PX90" s="92"/>
      <c r="PY90" s="92"/>
      <c r="PZ90" s="92"/>
      <c r="QA90" s="92"/>
      <c r="QB90" s="92"/>
      <c r="QC90" s="92"/>
      <c r="QD90" s="92"/>
      <c r="QE90" s="92"/>
      <c r="QF90" s="92"/>
      <c r="QG90" s="92"/>
      <c r="QH90" s="92"/>
      <c r="QI90" s="92"/>
      <c r="QJ90" s="92"/>
      <c r="QK90" s="92"/>
      <c r="QL90" s="92"/>
      <c r="QM90" s="92"/>
      <c r="QN90" s="92"/>
      <c r="QO90" s="92"/>
    </row>
    <row r="91" spans="1:457">
      <c r="C91" s="300" t="s">
        <v>546</v>
      </c>
      <c r="D91" s="295">
        <f>D86+D88+D89</f>
        <v>103.35962624172947</v>
      </c>
      <c r="E91" s="295">
        <f t="shared" ref="E91:F91" si="61">E86+E88+E89</f>
        <v>-247.17584775824659</v>
      </c>
      <c r="F91" s="295">
        <f t="shared" si="61"/>
        <v>40.449669825249394</v>
      </c>
      <c r="G91" s="294">
        <f>SUM(D91:F91)</f>
        <v>-103.36655169126772</v>
      </c>
      <c r="H91" s="94"/>
      <c r="I91" s="94"/>
      <c r="J91" s="94"/>
      <c r="K91" s="94"/>
      <c r="L91" s="94"/>
      <c r="M91" s="94"/>
      <c r="N91" s="94"/>
      <c r="O91" s="95"/>
      <c r="P91" s="101"/>
      <c r="Q91" s="92"/>
      <c r="R91" s="92"/>
      <c r="S91" s="57"/>
      <c r="T91" s="101" t="s">
        <v>202</v>
      </c>
      <c r="U91" s="636">
        <f t="shared" si="57"/>
        <v>33.849088517827589</v>
      </c>
      <c r="V91" s="636">
        <f t="shared" si="58"/>
        <v>19.882727696847542</v>
      </c>
      <c r="W91" s="636">
        <f t="shared" si="59"/>
        <v>317.86319984501699</v>
      </c>
      <c r="X91" s="636"/>
      <c r="Z91" s="101" t="s">
        <v>202</v>
      </c>
      <c r="AA91" s="636">
        <f t="shared" si="60"/>
        <v>33.849088517827589</v>
      </c>
      <c r="AB91" s="636">
        <f t="shared" si="60"/>
        <v>19.882727696847542</v>
      </c>
      <c r="AC91" s="636">
        <f t="shared" si="60"/>
        <v>317.86319984501699</v>
      </c>
      <c r="AD91" s="636"/>
      <c r="AE91" s="92"/>
      <c r="AG91" s="92"/>
      <c r="AO91" s="92"/>
      <c r="AP91" s="92"/>
      <c r="AQ91" s="92"/>
      <c r="AR91" s="92"/>
      <c r="AS91" s="92"/>
      <c r="AT91" s="92"/>
      <c r="AU91" s="92"/>
      <c r="AV91" s="92"/>
      <c r="AW91" s="92"/>
      <c r="AX91" s="92"/>
      <c r="AY91" s="92"/>
      <c r="AZ91" s="92"/>
      <c r="BA91" s="92"/>
      <c r="BB91" s="92"/>
      <c r="BC91" s="92"/>
      <c r="BD91" s="92"/>
      <c r="BE91" s="92"/>
      <c r="BF91" s="92"/>
      <c r="BG91" s="92"/>
      <c r="BH91" s="92"/>
      <c r="BI91" s="92"/>
      <c r="BJ91" s="92"/>
      <c r="BK91" s="92"/>
      <c r="BL91" s="92"/>
      <c r="BM91" s="92"/>
      <c r="BN91" s="92"/>
      <c r="BO91" s="92"/>
      <c r="BP91" s="92"/>
      <c r="BQ91" s="92"/>
      <c r="BR91" s="92"/>
      <c r="BS91" s="92"/>
      <c r="BT91" s="92"/>
      <c r="BU91" s="92"/>
      <c r="BV91" s="92"/>
      <c r="BW91" s="92"/>
      <c r="BX91" s="92"/>
      <c r="BY91" s="92"/>
      <c r="BZ91" s="92"/>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2"/>
      <c r="CZ91" s="92"/>
      <c r="DA91" s="92"/>
      <c r="DB91" s="92"/>
      <c r="DC91" s="92"/>
      <c r="DD91" s="92"/>
      <c r="DE91" s="92"/>
      <c r="DF91" s="92"/>
      <c r="DG91" s="92"/>
      <c r="DH91" s="92"/>
      <c r="DI91" s="92"/>
      <c r="DJ91" s="92"/>
      <c r="DK91" s="92"/>
      <c r="DL91" s="92"/>
      <c r="DM91" s="92"/>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92"/>
      <c r="EL91" s="92"/>
      <c r="EM91" s="92"/>
      <c r="EN91" s="92"/>
      <c r="EO91" s="92"/>
      <c r="EP91" s="92"/>
      <c r="EQ91" s="92"/>
      <c r="ER91" s="92"/>
      <c r="ES91" s="92"/>
      <c r="ET91" s="92"/>
      <c r="EU91" s="92"/>
      <c r="EV91" s="92"/>
      <c r="EW91" s="92"/>
      <c r="EX91" s="92"/>
      <c r="EY91" s="92"/>
      <c r="EZ91" s="92"/>
      <c r="FA91" s="92"/>
      <c r="FB91" s="92"/>
      <c r="FC91" s="92"/>
      <c r="FD91" s="92"/>
      <c r="FE91" s="92"/>
      <c r="FF91" s="92"/>
      <c r="FG91" s="92"/>
      <c r="FH91" s="92"/>
      <c r="FI91" s="92"/>
      <c r="FJ91" s="92"/>
      <c r="FK91" s="92"/>
      <c r="FL91" s="92"/>
      <c r="FM91" s="92"/>
      <c r="FN91" s="92"/>
      <c r="FO91" s="92"/>
      <c r="FP91" s="92"/>
      <c r="FQ91" s="92"/>
      <c r="FR91" s="92"/>
      <c r="FS91" s="92"/>
      <c r="FT91" s="92"/>
      <c r="FU91" s="92"/>
      <c r="FV91" s="92"/>
      <c r="FW91" s="92"/>
      <c r="FX91" s="92"/>
      <c r="FY91" s="92"/>
      <c r="FZ91" s="92"/>
      <c r="GA91" s="92"/>
      <c r="GB91" s="92"/>
      <c r="GC91" s="92"/>
      <c r="GD91" s="92"/>
      <c r="GE91" s="92"/>
      <c r="GF91" s="92"/>
      <c r="GG91" s="92"/>
      <c r="GH91" s="92"/>
      <c r="GI91" s="92"/>
      <c r="GJ91" s="92"/>
      <c r="GK91" s="92"/>
      <c r="GL91" s="92"/>
      <c r="GM91" s="92"/>
      <c r="GN91" s="92"/>
      <c r="GO91" s="92"/>
      <c r="GP91" s="92"/>
      <c r="GQ91" s="92"/>
      <c r="GR91" s="92"/>
      <c r="GS91" s="92"/>
      <c r="GT91" s="92"/>
      <c r="GU91" s="92"/>
      <c r="GV91" s="92"/>
      <c r="GW91" s="92"/>
      <c r="GX91" s="92"/>
      <c r="GY91" s="92"/>
      <c r="GZ91" s="92"/>
      <c r="HA91" s="92"/>
      <c r="HB91" s="92"/>
      <c r="HC91" s="92"/>
      <c r="HD91" s="92"/>
      <c r="HE91" s="92"/>
      <c r="HF91" s="92"/>
      <c r="HG91" s="92"/>
      <c r="HH91" s="92"/>
      <c r="HI91" s="92"/>
      <c r="HJ91" s="92"/>
      <c r="HK91" s="92"/>
      <c r="HL91" s="92"/>
      <c r="HM91" s="92"/>
      <c r="HN91" s="92"/>
      <c r="HO91" s="92"/>
      <c r="HP91" s="92"/>
      <c r="HQ91" s="92"/>
      <c r="HR91" s="92"/>
      <c r="HS91" s="92"/>
      <c r="HT91" s="92"/>
      <c r="HU91" s="92"/>
      <c r="HV91" s="92"/>
      <c r="HW91" s="92"/>
      <c r="HX91" s="92"/>
      <c r="HY91" s="92"/>
      <c r="HZ91" s="92"/>
      <c r="IA91" s="92"/>
      <c r="IB91" s="92"/>
      <c r="IC91" s="92"/>
      <c r="ID91" s="92"/>
      <c r="IE91" s="92"/>
      <c r="IF91" s="92"/>
      <c r="IG91" s="92"/>
      <c r="IH91" s="92"/>
      <c r="II91" s="92"/>
      <c r="IJ91" s="92"/>
      <c r="IK91" s="92"/>
      <c r="IL91" s="92"/>
      <c r="IM91" s="92"/>
      <c r="IN91" s="92"/>
      <c r="IO91" s="92"/>
      <c r="IP91" s="92"/>
      <c r="IQ91" s="92"/>
      <c r="IR91" s="92"/>
      <c r="IS91" s="92"/>
      <c r="IT91" s="92"/>
      <c r="IU91" s="92"/>
      <c r="IV91" s="92"/>
      <c r="IW91" s="92"/>
      <c r="IX91" s="92"/>
      <c r="IY91" s="92"/>
      <c r="IZ91" s="92"/>
      <c r="JA91" s="92"/>
      <c r="JB91" s="92"/>
      <c r="JC91" s="92"/>
      <c r="JD91" s="92"/>
      <c r="JE91" s="92"/>
      <c r="JF91" s="92"/>
      <c r="JG91" s="92"/>
      <c r="JH91" s="92"/>
      <c r="JI91" s="92"/>
      <c r="JJ91" s="92"/>
      <c r="JK91" s="92"/>
      <c r="JL91" s="92"/>
      <c r="JM91" s="92"/>
      <c r="JN91" s="92"/>
      <c r="JO91" s="92"/>
      <c r="JP91" s="92"/>
      <c r="JQ91" s="92"/>
      <c r="JR91" s="92"/>
      <c r="JS91" s="92"/>
      <c r="JT91" s="92"/>
      <c r="JU91" s="92"/>
      <c r="JV91" s="92"/>
      <c r="JW91" s="92"/>
      <c r="JX91" s="92"/>
      <c r="JY91" s="92"/>
      <c r="JZ91" s="92"/>
      <c r="KA91" s="92"/>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2"/>
      <c r="LA91" s="92"/>
      <c r="LB91" s="92"/>
      <c r="LC91" s="92"/>
      <c r="LD91" s="92"/>
      <c r="LE91" s="92"/>
      <c r="LF91" s="92"/>
      <c r="LG91" s="92"/>
      <c r="LH91" s="92"/>
      <c r="LI91" s="92"/>
      <c r="LJ91" s="92"/>
      <c r="LK91" s="92"/>
      <c r="LL91" s="92"/>
      <c r="LM91" s="92"/>
      <c r="LN91" s="92"/>
      <c r="LO91" s="92"/>
      <c r="LP91" s="92"/>
      <c r="LQ91" s="92"/>
      <c r="LR91" s="92"/>
      <c r="LS91" s="92"/>
      <c r="LT91" s="92"/>
      <c r="LU91" s="92"/>
      <c r="LV91" s="92"/>
      <c r="LW91" s="92"/>
      <c r="LX91" s="92"/>
      <c r="LY91" s="92"/>
      <c r="LZ91" s="92"/>
      <c r="MA91" s="92"/>
      <c r="MB91" s="92"/>
      <c r="MC91" s="92"/>
      <c r="MD91" s="92"/>
      <c r="ME91" s="92"/>
      <c r="MF91" s="92"/>
      <c r="MG91" s="92"/>
      <c r="MH91" s="92"/>
      <c r="MI91" s="92"/>
      <c r="MJ91" s="92"/>
      <c r="MK91" s="92"/>
      <c r="ML91" s="92"/>
      <c r="MM91" s="92"/>
      <c r="MN91" s="92"/>
      <c r="MO91" s="92"/>
      <c r="MP91" s="92"/>
      <c r="MQ91" s="92"/>
      <c r="MR91" s="92"/>
      <c r="MS91" s="92"/>
      <c r="MT91" s="92"/>
      <c r="MU91" s="92"/>
      <c r="MV91" s="92"/>
      <c r="MW91" s="92"/>
      <c r="MX91" s="92"/>
      <c r="MY91" s="92"/>
      <c r="MZ91" s="92"/>
      <c r="NA91" s="92"/>
      <c r="NB91" s="92"/>
      <c r="NC91" s="92"/>
      <c r="ND91" s="92"/>
      <c r="NE91" s="92"/>
      <c r="NF91" s="92"/>
      <c r="NG91" s="92"/>
      <c r="NH91" s="92"/>
      <c r="NI91" s="92"/>
      <c r="NJ91" s="92"/>
      <c r="NK91" s="92"/>
      <c r="NL91" s="92"/>
      <c r="NM91" s="92"/>
      <c r="NN91" s="92"/>
      <c r="NO91" s="92"/>
      <c r="NP91" s="92"/>
      <c r="NQ91" s="92"/>
      <c r="NR91" s="92"/>
      <c r="NS91" s="92"/>
      <c r="NT91" s="92"/>
      <c r="NU91" s="92"/>
      <c r="NV91" s="92"/>
      <c r="NW91" s="92"/>
      <c r="NX91" s="92"/>
      <c r="NY91" s="92"/>
      <c r="NZ91" s="92"/>
      <c r="OA91" s="92"/>
      <c r="OB91" s="92"/>
      <c r="OC91" s="92"/>
      <c r="OD91" s="92"/>
      <c r="OE91" s="92"/>
      <c r="OF91" s="92"/>
      <c r="OG91" s="92"/>
      <c r="OH91" s="92"/>
      <c r="OI91" s="92"/>
      <c r="OJ91" s="92"/>
      <c r="OK91" s="92"/>
      <c r="OL91" s="92"/>
      <c r="OM91" s="92"/>
      <c r="ON91" s="92"/>
      <c r="OO91" s="92"/>
      <c r="OP91" s="92"/>
      <c r="OQ91" s="92"/>
      <c r="OR91" s="92"/>
      <c r="OS91" s="92"/>
      <c r="OT91" s="92"/>
      <c r="OU91" s="92"/>
      <c r="OV91" s="92"/>
      <c r="OW91" s="92"/>
      <c r="OX91" s="92"/>
      <c r="OY91" s="92"/>
      <c r="OZ91" s="92"/>
      <c r="PA91" s="92"/>
      <c r="PB91" s="92"/>
      <c r="PC91" s="92"/>
      <c r="PD91" s="92"/>
      <c r="PE91" s="92"/>
      <c r="PF91" s="92"/>
      <c r="PG91" s="92"/>
      <c r="PH91" s="92"/>
      <c r="PI91" s="92"/>
      <c r="PJ91" s="92"/>
      <c r="PK91" s="92"/>
      <c r="PL91" s="92"/>
      <c r="PM91" s="92"/>
      <c r="PN91" s="92"/>
      <c r="PO91" s="92"/>
      <c r="PP91" s="92"/>
      <c r="PQ91" s="92"/>
      <c r="PR91" s="92"/>
      <c r="PS91" s="92"/>
      <c r="PT91" s="92"/>
      <c r="PU91" s="92"/>
      <c r="PV91" s="92"/>
      <c r="PW91" s="92"/>
      <c r="PX91" s="92"/>
      <c r="PY91" s="92"/>
      <c r="PZ91" s="92"/>
      <c r="QA91" s="92"/>
      <c r="QB91" s="92"/>
      <c r="QC91" s="92"/>
      <c r="QD91" s="92"/>
      <c r="QE91" s="92"/>
      <c r="QF91" s="92"/>
      <c r="QG91" s="92"/>
      <c r="QH91" s="92"/>
      <c r="QI91" s="92"/>
      <c r="QJ91" s="92"/>
      <c r="QK91" s="92"/>
      <c r="QL91" s="92"/>
      <c r="QM91" s="92"/>
      <c r="QN91" s="92"/>
      <c r="QO91" s="92"/>
    </row>
    <row r="92" spans="1:457">
      <c r="A92" s="83"/>
      <c r="B92" s="51"/>
      <c r="C92" s="102"/>
      <c r="D92" s="103"/>
      <c r="E92" s="95"/>
      <c r="F92" s="95"/>
      <c r="G92" s="95"/>
      <c r="H92" s="95"/>
      <c r="I92" s="95"/>
      <c r="J92" s="95"/>
      <c r="K92" s="95"/>
      <c r="L92" s="95"/>
      <c r="M92" s="95"/>
      <c r="N92" s="95"/>
      <c r="O92" s="95"/>
      <c r="P92" s="101"/>
      <c r="Q92" s="92"/>
      <c r="R92" s="92"/>
      <c r="T92" s="101" t="s">
        <v>203</v>
      </c>
      <c r="U92" s="636">
        <f t="shared" si="57"/>
        <v>99.327593980089645</v>
      </c>
      <c r="V92" s="636">
        <f t="shared" si="58"/>
        <v>25.912605202679515</v>
      </c>
      <c r="W92" s="636">
        <f t="shared" si="59"/>
        <v>297.63872671670833</v>
      </c>
      <c r="X92" s="636"/>
      <c r="Z92" s="101" t="s">
        <v>203</v>
      </c>
      <c r="AA92" s="636">
        <f t="shared" si="60"/>
        <v>99.327593980089645</v>
      </c>
      <c r="AB92" s="636">
        <f t="shared" si="60"/>
        <v>25.912605202679515</v>
      </c>
      <c r="AC92" s="636">
        <f t="shared" si="60"/>
        <v>297.63872671670833</v>
      </c>
      <c r="AD92" s="636"/>
      <c r="AE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c r="BZ92" s="92"/>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2"/>
      <c r="CZ92" s="92"/>
      <c r="DA92" s="92"/>
      <c r="DB92" s="92"/>
      <c r="DC92" s="92"/>
      <c r="DD92" s="92"/>
      <c r="DE92" s="92"/>
      <c r="DF92" s="92"/>
      <c r="DG92" s="92"/>
      <c r="DH92" s="92"/>
      <c r="DI92" s="92"/>
      <c r="DJ92" s="92"/>
      <c r="DK92" s="92"/>
      <c r="DL92" s="92"/>
      <c r="DM92" s="92"/>
      <c r="DN92" s="92"/>
      <c r="DO92" s="92"/>
      <c r="DP92" s="92"/>
      <c r="DQ92" s="92"/>
      <c r="DR92" s="92"/>
      <c r="DS92" s="92"/>
      <c r="DT92" s="92"/>
      <c r="DU92" s="92"/>
      <c r="DV92" s="92"/>
      <c r="DW92" s="92"/>
      <c r="DX92" s="92"/>
      <c r="DY92" s="92"/>
      <c r="DZ92" s="92"/>
      <c r="EA92" s="92"/>
      <c r="EB92" s="92"/>
      <c r="EC92" s="92"/>
      <c r="ED92" s="92"/>
      <c r="EE92" s="92"/>
      <c r="EF92" s="92"/>
      <c r="EG92" s="92"/>
      <c r="EH92" s="92"/>
      <c r="EI92" s="92"/>
      <c r="EJ92" s="92"/>
      <c r="EK92" s="92"/>
      <c r="EL92" s="92"/>
      <c r="EM92" s="92"/>
      <c r="EN92" s="92"/>
      <c r="EO92" s="92"/>
      <c r="EP92" s="92"/>
      <c r="EQ92" s="92"/>
      <c r="ER92" s="92"/>
      <c r="ES92" s="92"/>
      <c r="ET92" s="92"/>
      <c r="EU92" s="92"/>
      <c r="EV92" s="92"/>
      <c r="EW92" s="92"/>
      <c r="EX92" s="92"/>
      <c r="EY92" s="92"/>
      <c r="EZ92" s="92"/>
      <c r="FA92" s="92"/>
      <c r="FB92" s="92"/>
      <c r="FC92" s="92"/>
      <c r="FD92" s="92"/>
      <c r="FE92" s="92"/>
      <c r="FF92" s="92"/>
      <c r="FG92" s="92"/>
      <c r="FH92" s="92"/>
      <c r="FI92" s="92"/>
      <c r="FJ92" s="92"/>
      <c r="FK92" s="92"/>
      <c r="FL92" s="92"/>
      <c r="FM92" s="92"/>
      <c r="FN92" s="92"/>
      <c r="FO92" s="92"/>
      <c r="FP92" s="92"/>
      <c r="FQ92" s="92"/>
      <c r="FR92" s="92"/>
      <c r="FS92" s="92"/>
      <c r="FT92" s="92"/>
      <c r="FU92" s="92"/>
      <c r="FV92" s="92"/>
      <c r="FW92" s="92"/>
      <c r="FX92" s="92"/>
      <c r="FY92" s="92"/>
      <c r="FZ92" s="92"/>
      <c r="GA92" s="92"/>
      <c r="GB92" s="92"/>
      <c r="GC92" s="92"/>
      <c r="GD92" s="92"/>
      <c r="GE92" s="92"/>
      <c r="GF92" s="92"/>
      <c r="GG92" s="92"/>
      <c r="GH92" s="92"/>
      <c r="GI92" s="92"/>
      <c r="GJ92" s="92"/>
      <c r="GK92" s="92"/>
      <c r="GL92" s="92"/>
      <c r="GM92" s="92"/>
      <c r="GN92" s="92"/>
      <c r="GO92" s="92"/>
      <c r="GP92" s="92"/>
      <c r="GQ92" s="92"/>
      <c r="GR92" s="92"/>
      <c r="GS92" s="92"/>
      <c r="GT92" s="92"/>
      <c r="GU92" s="92"/>
      <c r="GV92" s="92"/>
      <c r="GW92" s="92"/>
      <c r="GX92" s="92"/>
      <c r="GY92" s="92"/>
      <c r="GZ92" s="92"/>
      <c r="HA92" s="92"/>
      <c r="HB92" s="92"/>
      <c r="HC92" s="92"/>
      <c r="HD92" s="92"/>
      <c r="HE92" s="92"/>
      <c r="HF92" s="92"/>
      <c r="HG92" s="92"/>
      <c r="HH92" s="92"/>
      <c r="HI92" s="92"/>
      <c r="HJ92" s="92"/>
      <c r="HK92" s="92"/>
      <c r="HL92" s="92"/>
      <c r="HM92" s="92"/>
      <c r="HN92" s="92"/>
      <c r="HO92" s="92"/>
      <c r="HP92" s="92"/>
      <c r="HQ92" s="92"/>
      <c r="HR92" s="92"/>
      <c r="HS92" s="92"/>
      <c r="HT92" s="92"/>
      <c r="HU92" s="92"/>
      <c r="HV92" s="92"/>
      <c r="HW92" s="92"/>
      <c r="HX92" s="92"/>
      <c r="HY92" s="92"/>
      <c r="HZ92" s="92"/>
      <c r="IA92" s="92"/>
      <c r="IB92" s="92"/>
      <c r="IC92" s="92"/>
      <c r="ID92" s="92"/>
      <c r="IE92" s="92"/>
      <c r="IF92" s="92"/>
      <c r="IG92" s="92"/>
      <c r="IH92" s="92"/>
      <c r="II92" s="92"/>
      <c r="IJ92" s="92"/>
      <c r="IK92" s="92"/>
      <c r="IL92" s="92"/>
      <c r="IM92" s="92"/>
      <c r="IN92" s="92"/>
      <c r="IO92" s="92"/>
      <c r="IP92" s="92"/>
      <c r="IQ92" s="92"/>
      <c r="IR92" s="92"/>
      <c r="IS92" s="92"/>
      <c r="IT92" s="92"/>
      <c r="IU92" s="92"/>
      <c r="IV92" s="92"/>
      <c r="IW92" s="92"/>
      <c r="IX92" s="92"/>
      <c r="IY92" s="92"/>
      <c r="IZ92" s="92"/>
      <c r="JA92" s="92"/>
      <c r="JB92" s="92"/>
      <c r="JC92" s="92"/>
      <c r="JD92" s="92"/>
      <c r="JE92" s="92"/>
      <c r="JF92" s="92"/>
      <c r="JG92" s="92"/>
      <c r="JH92" s="92"/>
      <c r="JI92" s="92"/>
      <c r="JJ92" s="92"/>
      <c r="JK92" s="92"/>
      <c r="JL92" s="92"/>
      <c r="JM92" s="92"/>
      <c r="JN92" s="92"/>
      <c r="JO92" s="92"/>
      <c r="JP92" s="92"/>
      <c r="JQ92" s="92"/>
      <c r="JR92" s="92"/>
      <c r="JS92" s="92"/>
      <c r="JT92" s="92"/>
      <c r="JU92" s="92"/>
      <c r="JV92" s="92"/>
      <c r="JW92" s="92"/>
      <c r="JX92" s="92"/>
      <c r="JY92" s="92"/>
      <c r="JZ92" s="92"/>
      <c r="KA92" s="92"/>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2"/>
      <c r="LA92" s="92"/>
      <c r="LB92" s="92"/>
      <c r="LC92" s="92"/>
      <c r="LD92" s="92"/>
      <c r="LE92" s="92"/>
      <c r="LF92" s="92"/>
      <c r="LG92" s="92"/>
      <c r="LH92" s="92"/>
      <c r="LI92" s="92"/>
      <c r="LJ92" s="92"/>
      <c r="LK92" s="92"/>
      <c r="LL92" s="92"/>
      <c r="LM92" s="92"/>
      <c r="LN92" s="92"/>
      <c r="LO92" s="92"/>
      <c r="LP92" s="92"/>
      <c r="LQ92" s="92"/>
      <c r="LR92" s="92"/>
      <c r="LS92" s="92"/>
      <c r="LT92" s="92"/>
      <c r="LU92" s="92"/>
      <c r="LV92" s="92"/>
      <c r="LW92" s="92"/>
      <c r="LX92" s="92"/>
      <c r="LY92" s="92"/>
      <c r="LZ92" s="92"/>
      <c r="MA92" s="92"/>
      <c r="MB92" s="92"/>
      <c r="MC92" s="92"/>
      <c r="MD92" s="92"/>
      <c r="ME92" s="92"/>
      <c r="MF92" s="92"/>
      <c r="MG92" s="92"/>
      <c r="MH92" s="92"/>
      <c r="MI92" s="92"/>
      <c r="MJ92" s="92"/>
      <c r="MK92" s="92"/>
      <c r="ML92" s="92"/>
      <c r="MM92" s="92"/>
      <c r="MN92" s="92"/>
      <c r="MO92" s="92"/>
      <c r="MP92" s="92"/>
      <c r="MQ92" s="92"/>
      <c r="MR92" s="92"/>
      <c r="MS92" s="92"/>
      <c r="MT92" s="92"/>
      <c r="MU92" s="92"/>
      <c r="MV92" s="92"/>
      <c r="MW92" s="92"/>
      <c r="MX92" s="92"/>
      <c r="MY92" s="92"/>
      <c r="MZ92" s="92"/>
      <c r="NA92" s="92"/>
      <c r="NB92" s="92"/>
      <c r="NC92" s="92"/>
      <c r="ND92" s="92"/>
      <c r="NE92" s="92"/>
      <c r="NF92" s="92"/>
      <c r="NG92" s="92"/>
      <c r="NH92" s="92"/>
      <c r="NI92" s="92"/>
      <c r="NJ92" s="92"/>
      <c r="NK92" s="92"/>
      <c r="NL92" s="92"/>
      <c r="NM92" s="92"/>
      <c r="NN92" s="92"/>
      <c r="NO92" s="92"/>
      <c r="NP92" s="92"/>
      <c r="NQ92" s="92"/>
      <c r="NR92" s="92"/>
      <c r="NS92" s="92"/>
      <c r="NT92" s="92"/>
      <c r="NU92" s="92"/>
      <c r="NV92" s="92"/>
      <c r="NW92" s="92"/>
      <c r="NX92" s="92"/>
      <c r="NY92" s="92"/>
      <c r="NZ92" s="92"/>
      <c r="OA92" s="92"/>
      <c r="OB92" s="92"/>
      <c r="OC92" s="92"/>
      <c r="OD92" s="92"/>
      <c r="OE92" s="92"/>
      <c r="OF92" s="92"/>
      <c r="OG92" s="92"/>
      <c r="OH92" s="92"/>
      <c r="OI92" s="92"/>
      <c r="OJ92" s="92"/>
      <c r="OK92" s="92"/>
      <c r="OL92" s="92"/>
      <c r="OM92" s="92"/>
      <c r="ON92" s="92"/>
      <c r="OO92" s="92"/>
      <c r="OP92" s="92"/>
      <c r="OQ92" s="92"/>
      <c r="OR92" s="92"/>
      <c r="OS92" s="92"/>
      <c r="OT92" s="92"/>
      <c r="OU92" s="92"/>
      <c r="OV92" s="92"/>
      <c r="OW92" s="92"/>
      <c r="OX92" s="92"/>
      <c r="OY92" s="92"/>
      <c r="OZ92" s="92"/>
      <c r="PA92" s="92"/>
      <c r="PB92" s="92"/>
      <c r="PC92" s="92"/>
      <c r="PD92" s="92"/>
      <c r="PE92" s="92"/>
      <c r="PF92" s="92"/>
      <c r="PG92" s="92"/>
      <c r="PH92" s="92"/>
      <c r="PI92" s="92"/>
      <c r="PJ92" s="92"/>
      <c r="PK92" s="92"/>
      <c r="PL92" s="92"/>
      <c r="PM92" s="92"/>
      <c r="PN92" s="92"/>
      <c r="PO92" s="92"/>
      <c r="PP92" s="92"/>
      <c r="PQ92" s="92"/>
      <c r="PR92" s="92"/>
      <c r="PS92" s="92"/>
      <c r="PT92" s="92"/>
      <c r="PU92" s="92"/>
      <c r="PV92" s="92"/>
      <c r="PW92" s="92"/>
      <c r="PX92" s="92"/>
      <c r="PY92" s="92"/>
      <c r="PZ92" s="92"/>
      <c r="QA92" s="92"/>
      <c r="QB92" s="92"/>
      <c r="QC92" s="92"/>
      <c r="QD92" s="92"/>
      <c r="QE92" s="92"/>
      <c r="QF92" s="92"/>
      <c r="QG92" s="92"/>
      <c r="QH92" s="92"/>
      <c r="QI92" s="92"/>
      <c r="QJ92" s="92"/>
      <c r="QK92" s="92"/>
      <c r="QL92" s="92"/>
      <c r="QM92" s="92"/>
      <c r="QN92" s="92"/>
      <c r="QO92" s="92"/>
    </row>
    <row r="93" spans="1:457">
      <c r="A93" s="83"/>
      <c r="B93" s="51"/>
      <c r="C93" s="101"/>
      <c r="D93" s="101"/>
      <c r="E93" s="101"/>
      <c r="F93" s="101"/>
      <c r="G93" s="101"/>
      <c r="H93" s="101"/>
      <c r="I93" s="101"/>
      <c r="J93" s="101"/>
      <c r="K93" s="101"/>
      <c r="L93" s="101"/>
      <c r="M93" s="101"/>
      <c r="N93" s="101"/>
      <c r="O93" s="101"/>
      <c r="P93" s="101"/>
      <c r="Q93" s="92"/>
      <c r="R93" s="92"/>
      <c r="T93" s="101" t="s">
        <v>206</v>
      </c>
      <c r="U93" s="636">
        <f t="shared" si="57"/>
        <v>2901.9562923051426</v>
      </c>
      <c r="V93" s="589">
        <f>V88</f>
        <v>1029.487554949578</v>
      </c>
      <c r="W93" s="636">
        <f t="shared" si="59"/>
        <v>923.95036661026518</v>
      </c>
      <c r="X93" s="636"/>
      <c r="Z93" s="101" t="s">
        <v>206</v>
      </c>
      <c r="AA93" s="636">
        <f>IF(D9&lt;=0,0,AA13/D9)</f>
        <v>2901.9562923051426</v>
      </c>
      <c r="AB93" s="636">
        <f>IF(E9&lt;=0,0,AB13/E9)</f>
        <v>0</v>
      </c>
      <c r="AC93" s="636">
        <f>IF(F9&lt;=0,0,AC13/F9)</f>
        <v>923.95036661026518</v>
      </c>
      <c r="AD93" s="636"/>
      <c r="AE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c r="BZ93" s="92"/>
      <c r="CA93" s="92"/>
      <c r="CB93" s="92"/>
      <c r="CC93" s="92"/>
      <c r="CD93" s="92"/>
      <c r="CE93" s="92"/>
      <c r="CF93" s="92"/>
      <c r="CG93" s="92"/>
      <c r="CH93" s="92"/>
      <c r="CI93" s="92"/>
      <c r="CJ93" s="92"/>
      <c r="CK93" s="92"/>
      <c r="CL93" s="92"/>
      <c r="CM93" s="92"/>
      <c r="CN93" s="92"/>
      <c r="CO93" s="92"/>
      <c r="CP93" s="92"/>
      <c r="CQ93" s="92"/>
      <c r="CR93" s="92"/>
      <c r="CS93" s="92"/>
      <c r="CT93" s="92"/>
      <c r="CU93" s="92"/>
      <c r="CV93" s="92"/>
      <c r="CW93" s="92"/>
      <c r="CX93" s="92"/>
      <c r="CY93" s="92"/>
      <c r="CZ93" s="92"/>
      <c r="DA93" s="92"/>
      <c r="DB93" s="92"/>
      <c r="DC93" s="92"/>
      <c r="DD93" s="92"/>
      <c r="DE93" s="92"/>
      <c r="DF93" s="92"/>
      <c r="DG93" s="92"/>
      <c r="DH93" s="92"/>
      <c r="DI93" s="92"/>
      <c r="DJ93" s="92"/>
      <c r="DK93" s="92"/>
      <c r="DL93" s="92"/>
      <c r="DM93" s="92"/>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92"/>
      <c r="EL93" s="92"/>
      <c r="EM93" s="92"/>
      <c r="EN93" s="92"/>
      <c r="EO93" s="92"/>
      <c r="EP93" s="92"/>
      <c r="EQ93" s="92"/>
      <c r="ER93" s="92"/>
      <c r="ES93" s="92"/>
      <c r="ET93" s="92"/>
      <c r="EU93" s="92"/>
      <c r="EV93" s="92"/>
      <c r="EW93" s="92"/>
      <c r="EX93" s="92"/>
      <c r="EY93" s="92"/>
      <c r="EZ93" s="92"/>
      <c r="FA93" s="92"/>
      <c r="FB93" s="92"/>
      <c r="FC93" s="92"/>
      <c r="FD93" s="92"/>
      <c r="FE93" s="92"/>
      <c r="FF93" s="92"/>
      <c r="FG93" s="92"/>
      <c r="FH93" s="92"/>
      <c r="FI93" s="92"/>
      <c r="FJ93" s="92"/>
      <c r="FK93" s="92"/>
      <c r="FL93" s="92"/>
      <c r="FM93" s="92"/>
      <c r="FN93" s="92"/>
      <c r="FO93" s="92"/>
      <c r="FP93" s="92"/>
      <c r="FQ93" s="92"/>
      <c r="FR93" s="92"/>
      <c r="FS93" s="92"/>
      <c r="FT93" s="92"/>
      <c r="FU93" s="92"/>
      <c r="FV93" s="92"/>
      <c r="FW93" s="92"/>
      <c r="FX93" s="92"/>
      <c r="FY93" s="92"/>
      <c r="FZ93" s="92"/>
      <c r="GA93" s="92"/>
      <c r="GB93" s="92"/>
      <c r="GC93" s="92"/>
      <c r="GD93" s="92"/>
      <c r="GE93" s="92"/>
      <c r="GF93" s="92"/>
      <c r="GG93" s="92"/>
      <c r="GH93" s="92"/>
      <c r="GI93" s="92"/>
      <c r="GJ93" s="92"/>
      <c r="GK93" s="92"/>
      <c r="GL93" s="92"/>
      <c r="GM93" s="92"/>
      <c r="GN93" s="92"/>
      <c r="GO93" s="92"/>
      <c r="GP93" s="92"/>
      <c r="GQ93" s="92"/>
      <c r="GR93" s="92"/>
      <c r="GS93" s="92"/>
      <c r="GT93" s="92"/>
      <c r="GU93" s="92"/>
      <c r="GV93" s="92"/>
      <c r="GW93" s="92"/>
      <c r="GX93" s="92"/>
      <c r="GY93" s="92"/>
      <c r="GZ93" s="92"/>
      <c r="HA93" s="92"/>
      <c r="HB93" s="92"/>
      <c r="HC93" s="92"/>
      <c r="HD93" s="92"/>
      <c r="HE93" s="92"/>
      <c r="HF93" s="92"/>
      <c r="HG93" s="92"/>
      <c r="HH93" s="92"/>
      <c r="HI93" s="92"/>
      <c r="HJ93" s="92"/>
      <c r="HK93" s="92"/>
      <c r="HL93" s="92"/>
      <c r="HM93" s="92"/>
      <c r="HN93" s="92"/>
      <c r="HO93" s="92"/>
      <c r="HP93" s="92"/>
      <c r="HQ93" s="92"/>
      <c r="HR93" s="92"/>
      <c r="HS93" s="92"/>
      <c r="HT93" s="92"/>
      <c r="HU93" s="92"/>
      <c r="HV93" s="92"/>
      <c r="HW93" s="92"/>
      <c r="HX93" s="92"/>
      <c r="HY93" s="92"/>
      <c r="HZ93" s="92"/>
      <c r="IA93" s="92"/>
      <c r="IB93" s="92"/>
      <c r="IC93" s="92"/>
      <c r="ID93" s="92"/>
      <c r="IE93" s="92"/>
      <c r="IF93" s="92"/>
      <c r="IG93" s="92"/>
      <c r="IH93" s="92"/>
      <c r="II93" s="92"/>
      <c r="IJ93" s="92"/>
      <c r="IK93" s="92"/>
      <c r="IL93" s="92"/>
      <c r="IM93" s="92"/>
      <c r="IN93" s="92"/>
      <c r="IO93" s="92"/>
      <c r="IP93" s="92"/>
      <c r="IQ93" s="92"/>
      <c r="IR93" s="92"/>
      <c r="IS93" s="92"/>
      <c r="IT93" s="92"/>
      <c r="IU93" s="92"/>
      <c r="IV93" s="92"/>
      <c r="IW93" s="92"/>
      <c r="IX93" s="92"/>
      <c r="IY93" s="92"/>
      <c r="IZ93" s="92"/>
      <c r="JA93" s="92"/>
      <c r="JB93" s="92"/>
      <c r="JC93" s="92"/>
      <c r="JD93" s="92"/>
      <c r="JE93" s="92"/>
      <c r="JF93" s="92"/>
      <c r="JG93" s="92"/>
      <c r="JH93" s="92"/>
      <c r="JI93" s="92"/>
      <c r="JJ93" s="92"/>
      <c r="JK93" s="92"/>
      <c r="JL93" s="92"/>
      <c r="JM93" s="92"/>
      <c r="JN93" s="92"/>
      <c r="JO93" s="92"/>
      <c r="JP93" s="92"/>
      <c r="JQ93" s="92"/>
      <c r="JR93" s="92"/>
      <c r="JS93" s="92"/>
      <c r="JT93" s="92"/>
      <c r="JU93" s="92"/>
      <c r="JV93" s="92"/>
      <c r="JW93" s="92"/>
      <c r="JX93" s="92"/>
      <c r="JY93" s="92"/>
      <c r="JZ93" s="92"/>
      <c r="KA93" s="92"/>
      <c r="KB93" s="92"/>
      <c r="KC93" s="92"/>
      <c r="KD93" s="92"/>
      <c r="KE93" s="92"/>
      <c r="KF93" s="92"/>
      <c r="KG93" s="92"/>
      <c r="KH93" s="92"/>
      <c r="KI93" s="92"/>
      <c r="KJ93" s="92"/>
      <c r="KK93" s="92"/>
      <c r="KL93" s="92"/>
      <c r="KM93" s="92"/>
      <c r="KN93" s="92"/>
      <c r="KO93" s="92"/>
      <c r="KP93" s="92"/>
      <c r="KQ93" s="92"/>
      <c r="KR93" s="92"/>
      <c r="KS93" s="92"/>
      <c r="KT93" s="92"/>
      <c r="KU93" s="92"/>
      <c r="KV93" s="92"/>
      <c r="KW93" s="92"/>
      <c r="KX93" s="92"/>
      <c r="KY93" s="92"/>
      <c r="KZ93" s="92"/>
      <c r="LA93" s="92"/>
      <c r="LB93" s="92"/>
      <c r="LC93" s="92"/>
      <c r="LD93" s="92"/>
      <c r="LE93" s="92"/>
      <c r="LF93" s="92"/>
      <c r="LG93" s="92"/>
      <c r="LH93" s="92"/>
      <c r="LI93" s="92"/>
      <c r="LJ93" s="92"/>
      <c r="LK93" s="92"/>
      <c r="LL93" s="92"/>
      <c r="LM93" s="92"/>
      <c r="LN93" s="92"/>
      <c r="LO93" s="92"/>
      <c r="LP93" s="92"/>
      <c r="LQ93" s="92"/>
      <c r="LR93" s="92"/>
      <c r="LS93" s="92"/>
      <c r="LT93" s="92"/>
      <c r="LU93" s="92"/>
      <c r="LV93" s="92"/>
      <c r="LW93" s="92"/>
      <c r="LX93" s="92"/>
      <c r="LY93" s="92"/>
      <c r="LZ93" s="92"/>
      <c r="MA93" s="92"/>
      <c r="MB93" s="92"/>
      <c r="MC93" s="92"/>
      <c r="MD93" s="92"/>
      <c r="ME93" s="92"/>
      <c r="MF93" s="92"/>
      <c r="MG93" s="92"/>
      <c r="MH93" s="92"/>
      <c r="MI93" s="92"/>
      <c r="MJ93" s="92"/>
      <c r="MK93" s="92"/>
      <c r="ML93" s="92"/>
      <c r="MM93" s="92"/>
      <c r="MN93" s="92"/>
      <c r="MO93" s="92"/>
      <c r="MP93" s="92"/>
      <c r="MQ93" s="92"/>
      <c r="MR93" s="92"/>
      <c r="MS93" s="92"/>
      <c r="MT93" s="92"/>
      <c r="MU93" s="92"/>
      <c r="MV93" s="92"/>
      <c r="MW93" s="92"/>
      <c r="MX93" s="92"/>
      <c r="MY93" s="92"/>
      <c r="MZ93" s="92"/>
      <c r="NA93" s="92"/>
      <c r="NB93" s="92"/>
      <c r="NC93" s="92"/>
      <c r="ND93" s="92"/>
      <c r="NE93" s="92"/>
      <c r="NF93" s="92"/>
      <c r="NG93" s="92"/>
      <c r="NH93" s="92"/>
      <c r="NI93" s="92"/>
      <c r="NJ93" s="92"/>
      <c r="NK93" s="92"/>
      <c r="NL93" s="92"/>
      <c r="NM93" s="92"/>
      <c r="NN93" s="92"/>
      <c r="NO93" s="92"/>
      <c r="NP93" s="92"/>
      <c r="NQ93" s="92"/>
      <c r="NR93" s="92"/>
      <c r="NS93" s="92"/>
      <c r="NT93" s="92"/>
      <c r="NU93" s="92"/>
      <c r="NV93" s="92"/>
      <c r="NW93" s="92"/>
      <c r="NX93" s="92"/>
      <c r="NY93" s="92"/>
      <c r="NZ93" s="92"/>
      <c r="OA93" s="92"/>
      <c r="OB93" s="92"/>
      <c r="OC93" s="92"/>
      <c r="OD93" s="92"/>
      <c r="OE93" s="92"/>
      <c r="OF93" s="92"/>
      <c r="OG93" s="92"/>
      <c r="OH93" s="92"/>
      <c r="OI93" s="92"/>
      <c r="OJ93" s="92"/>
      <c r="OK93" s="92"/>
      <c r="OL93" s="92"/>
      <c r="OM93" s="92"/>
      <c r="ON93" s="92"/>
      <c r="OO93" s="92"/>
      <c r="OP93" s="92"/>
      <c r="OQ93" s="92"/>
      <c r="OR93" s="92"/>
      <c r="OS93" s="92"/>
      <c r="OT93" s="92"/>
      <c r="OU93" s="92"/>
      <c r="OV93" s="92"/>
      <c r="OW93" s="92"/>
      <c r="OX93" s="92"/>
      <c r="OY93" s="92"/>
      <c r="OZ93" s="92"/>
      <c r="PA93" s="92"/>
      <c r="PB93" s="92"/>
      <c r="PC93" s="92"/>
      <c r="PD93" s="92"/>
      <c r="PE93" s="92"/>
      <c r="PF93" s="92"/>
      <c r="PG93" s="92"/>
      <c r="PH93" s="92"/>
      <c r="PI93" s="92"/>
      <c r="PJ93" s="92"/>
      <c r="PK93" s="92"/>
      <c r="PL93" s="92"/>
      <c r="PM93" s="92"/>
      <c r="PN93" s="92"/>
      <c r="PO93" s="92"/>
      <c r="PP93" s="92"/>
      <c r="PQ93" s="92"/>
      <c r="PR93" s="92"/>
      <c r="PS93" s="92"/>
      <c r="PT93" s="92"/>
      <c r="PU93" s="92"/>
      <c r="PV93" s="92"/>
      <c r="PW93" s="92"/>
      <c r="PX93" s="92"/>
      <c r="PY93" s="92"/>
      <c r="PZ93" s="92"/>
      <c r="QA93" s="92"/>
      <c r="QB93" s="92"/>
      <c r="QC93" s="92"/>
      <c r="QD93" s="92"/>
      <c r="QE93" s="92"/>
      <c r="QF93" s="92"/>
      <c r="QG93" s="92"/>
      <c r="QH93" s="92"/>
      <c r="QI93" s="92"/>
      <c r="QJ93" s="92"/>
      <c r="QK93" s="92"/>
      <c r="QL93" s="92"/>
      <c r="QM93" s="92"/>
      <c r="QN93" s="92"/>
      <c r="QO93" s="92"/>
    </row>
    <row r="94" spans="1:457">
      <c r="A94" s="302"/>
      <c r="B94" s="302"/>
      <c r="C94" s="215"/>
      <c r="D94" s="215"/>
      <c r="E94" s="215"/>
      <c r="F94" s="215"/>
      <c r="G94" s="215"/>
      <c r="H94" s="215"/>
      <c r="I94" s="215"/>
      <c r="J94" s="215"/>
      <c r="K94" s="215"/>
      <c r="L94" s="215"/>
      <c r="M94" s="215"/>
      <c r="N94" s="215"/>
      <c r="O94" s="215"/>
      <c r="P94" s="215"/>
      <c r="Q94" s="92"/>
      <c r="R94" s="92"/>
      <c r="S94" s="700" t="s">
        <v>387</v>
      </c>
      <c r="T94" s="101" t="s">
        <v>204</v>
      </c>
      <c r="U94" s="699">
        <f>AA94</f>
        <v>307.37683140814295</v>
      </c>
      <c r="V94" s="699">
        <f t="shared" si="58"/>
        <v>75.790268980171078</v>
      </c>
      <c r="W94" s="699">
        <f t="shared" si="59"/>
        <v>252.09050408343572</v>
      </c>
      <c r="X94" s="699"/>
      <c r="Y94" s="700" t="s">
        <v>387</v>
      </c>
      <c r="Z94" s="101" t="s">
        <v>204</v>
      </c>
      <c r="AA94" s="699">
        <f>IF(D10&lt;=0,0,SUM(AA11,AA14)/D10)</f>
        <v>307.37683140814295</v>
      </c>
      <c r="AB94" s="699">
        <f>IF(E10&lt;=0,0,SUM(AB11,AB14)/E10)</f>
        <v>75.790268980171078</v>
      </c>
      <c r="AC94" s="699">
        <f>IF(F10&lt;=0,0,SUM(AC11,AC14)/F10)</f>
        <v>252.09050408343572</v>
      </c>
      <c r="AD94" s="699"/>
      <c r="AE94" s="92"/>
      <c r="AO94" s="92"/>
      <c r="AP94" s="92"/>
      <c r="AQ94" s="92"/>
      <c r="AR94" s="92"/>
      <c r="AS94" s="92"/>
      <c r="AT94" s="92"/>
      <c r="AU94" s="92"/>
      <c r="AV94" s="92"/>
      <c r="AW94" s="92"/>
      <c r="AX94" s="92"/>
      <c r="AY94" s="92"/>
      <c r="AZ94" s="92"/>
      <c r="BA94" s="92"/>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2"/>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2"/>
      <c r="CZ94" s="92"/>
      <c r="DA94" s="92"/>
      <c r="DB94" s="92"/>
      <c r="DC94" s="92"/>
      <c r="DD94" s="92"/>
      <c r="DE94" s="92"/>
      <c r="DF94" s="92"/>
      <c r="DG94" s="92"/>
      <c r="DH94" s="92"/>
      <c r="DI94" s="92"/>
      <c r="DJ94" s="92"/>
      <c r="DK94" s="92"/>
      <c r="DL94" s="92"/>
      <c r="DM94" s="92"/>
      <c r="DN94" s="92"/>
      <c r="DO94" s="92"/>
      <c r="DP94" s="92"/>
      <c r="DQ94" s="92"/>
      <c r="DR94" s="92"/>
      <c r="DS94" s="92"/>
      <c r="DT94" s="92"/>
      <c r="DU94" s="92"/>
      <c r="DV94" s="92"/>
      <c r="DW94" s="92"/>
      <c r="DX94" s="92"/>
      <c r="DY94" s="92"/>
      <c r="DZ94" s="92"/>
      <c r="EA94" s="92"/>
      <c r="EB94" s="92"/>
      <c r="EC94" s="92"/>
      <c r="ED94" s="92"/>
      <c r="EE94" s="92"/>
      <c r="EF94" s="92"/>
      <c r="EG94" s="92"/>
      <c r="EH94" s="92"/>
      <c r="EI94" s="92"/>
      <c r="EJ94" s="92"/>
      <c r="EK94" s="92"/>
      <c r="EL94" s="92"/>
      <c r="EM94" s="92"/>
      <c r="EN94" s="92"/>
      <c r="EO94" s="92"/>
      <c r="EP94" s="92"/>
      <c r="EQ94" s="92"/>
      <c r="ER94" s="92"/>
      <c r="ES94" s="92"/>
      <c r="ET94" s="92"/>
      <c r="EU94" s="92"/>
      <c r="EV94" s="92"/>
      <c r="EW94" s="92"/>
      <c r="EX94" s="92"/>
      <c r="EY94" s="92"/>
      <c r="EZ94" s="92"/>
      <c r="FA94" s="92"/>
      <c r="FB94" s="92"/>
      <c r="FC94" s="92"/>
      <c r="FD94" s="92"/>
      <c r="FE94" s="92"/>
      <c r="FF94" s="92"/>
      <c r="FG94" s="92"/>
      <c r="FH94" s="92"/>
      <c r="FI94" s="92"/>
      <c r="FJ94" s="92"/>
      <c r="FK94" s="92"/>
      <c r="FL94" s="92"/>
      <c r="FM94" s="92"/>
      <c r="FN94" s="92"/>
      <c r="FO94" s="92"/>
      <c r="FP94" s="92"/>
      <c r="FQ94" s="92"/>
      <c r="FR94" s="92"/>
      <c r="FS94" s="92"/>
      <c r="FT94" s="92"/>
      <c r="FU94" s="92"/>
      <c r="FV94" s="92"/>
      <c r="FW94" s="92"/>
      <c r="FX94" s="92"/>
      <c r="FY94" s="92"/>
      <c r="FZ94" s="92"/>
      <c r="GA94" s="92"/>
      <c r="GB94" s="92"/>
      <c r="GC94" s="92"/>
      <c r="GD94" s="92"/>
      <c r="GE94" s="92"/>
      <c r="GF94" s="92"/>
      <c r="GG94" s="92"/>
      <c r="GH94" s="92"/>
      <c r="GI94" s="92"/>
      <c r="GJ94" s="92"/>
      <c r="GK94" s="92"/>
      <c r="GL94" s="92"/>
      <c r="GM94" s="92"/>
      <c r="GN94" s="92"/>
      <c r="GO94" s="92"/>
      <c r="GP94" s="92"/>
      <c r="GQ94" s="92"/>
      <c r="GR94" s="92"/>
      <c r="GS94" s="92"/>
      <c r="GT94" s="92"/>
      <c r="GU94" s="92"/>
      <c r="GV94" s="92"/>
      <c r="GW94" s="92"/>
      <c r="GX94" s="92"/>
      <c r="GY94" s="92"/>
      <c r="GZ94" s="92"/>
      <c r="HA94" s="92"/>
      <c r="HB94" s="92"/>
      <c r="HC94" s="92"/>
      <c r="HD94" s="92"/>
      <c r="HE94" s="92"/>
      <c r="HF94" s="92"/>
      <c r="HG94" s="92"/>
      <c r="HH94" s="92"/>
      <c r="HI94" s="92"/>
      <c r="HJ94" s="92"/>
      <c r="HK94" s="92"/>
      <c r="HL94" s="92"/>
      <c r="HM94" s="92"/>
      <c r="HN94" s="92"/>
      <c r="HO94" s="92"/>
      <c r="HP94" s="92"/>
      <c r="HQ94" s="92"/>
      <c r="HR94" s="92"/>
      <c r="HS94" s="92"/>
      <c r="HT94" s="92"/>
      <c r="HU94" s="92"/>
      <c r="HV94" s="92"/>
      <c r="HW94" s="92"/>
      <c r="HX94" s="92"/>
      <c r="HY94" s="92"/>
      <c r="HZ94" s="92"/>
      <c r="IA94" s="92"/>
      <c r="IB94" s="92"/>
      <c r="IC94" s="92"/>
      <c r="ID94" s="92"/>
      <c r="IE94" s="92"/>
      <c r="IF94" s="92"/>
      <c r="IG94" s="92"/>
      <c r="IH94" s="92"/>
      <c r="II94" s="92"/>
      <c r="IJ94" s="92"/>
      <c r="IK94" s="92"/>
      <c r="IL94" s="92"/>
      <c r="IM94" s="92"/>
      <c r="IN94" s="92"/>
      <c r="IO94" s="92"/>
      <c r="IP94" s="92"/>
      <c r="IQ94" s="92"/>
      <c r="IR94" s="92"/>
      <c r="IS94" s="92"/>
      <c r="IT94" s="92"/>
      <c r="IU94" s="92"/>
      <c r="IV94" s="92"/>
      <c r="IW94" s="92"/>
      <c r="IX94" s="92"/>
      <c r="IY94" s="92"/>
      <c r="IZ94" s="92"/>
      <c r="JA94" s="92"/>
      <c r="JB94" s="92"/>
      <c r="JC94" s="92"/>
      <c r="JD94" s="92"/>
      <c r="JE94" s="92"/>
      <c r="JF94" s="92"/>
      <c r="JG94" s="92"/>
      <c r="JH94" s="92"/>
      <c r="JI94" s="92"/>
      <c r="JJ94" s="92"/>
      <c r="JK94" s="92"/>
      <c r="JL94" s="92"/>
      <c r="JM94" s="92"/>
      <c r="JN94" s="92"/>
      <c r="JO94" s="92"/>
      <c r="JP94" s="92"/>
      <c r="JQ94" s="92"/>
      <c r="JR94" s="92"/>
      <c r="JS94" s="92"/>
      <c r="JT94" s="92"/>
      <c r="JU94" s="92"/>
      <c r="JV94" s="92"/>
      <c r="JW94" s="92"/>
      <c r="JX94" s="92"/>
      <c r="JY94" s="92"/>
      <c r="JZ94" s="92"/>
      <c r="KA94" s="92"/>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2"/>
      <c r="LA94" s="92"/>
      <c r="LB94" s="92"/>
      <c r="LC94" s="92"/>
      <c r="LD94" s="92"/>
      <c r="LE94" s="92"/>
      <c r="LF94" s="92"/>
      <c r="LG94" s="92"/>
      <c r="LH94" s="92"/>
      <c r="LI94" s="92"/>
      <c r="LJ94" s="92"/>
      <c r="LK94" s="92"/>
      <c r="LL94" s="92"/>
      <c r="LM94" s="92"/>
      <c r="LN94" s="92"/>
      <c r="LO94" s="92"/>
      <c r="LP94" s="92"/>
      <c r="LQ94" s="92"/>
      <c r="LR94" s="92"/>
      <c r="LS94" s="92"/>
      <c r="LT94" s="92"/>
      <c r="LU94" s="92"/>
      <c r="LV94" s="92"/>
      <c r="LW94" s="92"/>
      <c r="LX94" s="92"/>
      <c r="LY94" s="92"/>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2"/>
      <c r="MY94" s="92"/>
      <c r="MZ94" s="92"/>
      <c r="NA94" s="92"/>
      <c r="NB94" s="92"/>
      <c r="NC94" s="92"/>
      <c r="ND94" s="92"/>
      <c r="NE94" s="92"/>
      <c r="NF94" s="92"/>
      <c r="NG94" s="92"/>
      <c r="NH94" s="92"/>
      <c r="NI94" s="92"/>
      <c r="NJ94" s="92"/>
      <c r="NK94" s="92"/>
      <c r="NL94" s="92"/>
      <c r="NM94" s="92"/>
      <c r="NN94" s="92"/>
      <c r="NO94" s="92"/>
      <c r="NP94" s="92"/>
      <c r="NQ94" s="92"/>
      <c r="NR94" s="92"/>
      <c r="NS94" s="92"/>
      <c r="NT94" s="92"/>
      <c r="NU94" s="92"/>
      <c r="NV94" s="92"/>
      <c r="NW94" s="92"/>
      <c r="NX94" s="92"/>
      <c r="NY94" s="92"/>
      <c r="NZ94" s="92"/>
      <c r="OA94" s="92"/>
      <c r="OB94" s="92"/>
      <c r="OC94" s="92"/>
      <c r="OD94" s="92"/>
      <c r="OE94" s="92"/>
      <c r="OF94" s="92"/>
      <c r="OG94" s="92"/>
      <c r="OH94" s="92"/>
      <c r="OI94" s="92"/>
      <c r="OJ94" s="92"/>
      <c r="OK94" s="92"/>
      <c r="OL94" s="92"/>
      <c r="OM94" s="92"/>
      <c r="ON94" s="92"/>
      <c r="OO94" s="92"/>
      <c r="OP94" s="92"/>
      <c r="OQ94" s="92"/>
      <c r="OR94" s="92"/>
      <c r="OS94" s="92"/>
      <c r="OT94" s="92"/>
      <c r="OU94" s="92"/>
      <c r="OV94" s="92"/>
      <c r="OW94" s="92"/>
      <c r="OX94" s="92"/>
      <c r="OY94" s="92"/>
      <c r="OZ94" s="92"/>
      <c r="PA94" s="92"/>
      <c r="PB94" s="92"/>
      <c r="PC94" s="92"/>
      <c r="PD94" s="92"/>
      <c r="PE94" s="92"/>
      <c r="PF94" s="92"/>
      <c r="PG94" s="92"/>
      <c r="PH94" s="92"/>
      <c r="PI94" s="92"/>
      <c r="PJ94" s="92"/>
      <c r="PK94" s="92"/>
      <c r="PL94" s="92"/>
      <c r="PM94" s="92"/>
      <c r="PN94" s="92"/>
      <c r="PO94" s="92"/>
      <c r="PP94" s="92"/>
      <c r="PQ94" s="92"/>
      <c r="PR94" s="92"/>
      <c r="PS94" s="92"/>
      <c r="PT94" s="92"/>
      <c r="PU94" s="92"/>
      <c r="PV94" s="92"/>
      <c r="PW94" s="92"/>
      <c r="PX94" s="92"/>
      <c r="PY94" s="92"/>
      <c r="PZ94" s="92"/>
      <c r="QA94" s="92"/>
      <c r="QB94" s="92"/>
      <c r="QC94" s="92"/>
      <c r="QD94" s="92"/>
      <c r="QE94" s="92"/>
      <c r="QF94" s="92"/>
      <c r="QG94" s="92"/>
      <c r="QH94" s="92"/>
      <c r="QI94" s="92"/>
      <c r="QJ94" s="92"/>
      <c r="QK94" s="92"/>
      <c r="QL94" s="92"/>
      <c r="QM94" s="92"/>
      <c r="QN94" s="92"/>
      <c r="QO94" s="92"/>
    </row>
    <row r="95" spans="1:457">
      <c r="A95" s="83"/>
      <c r="B95" s="90"/>
      <c r="C95" s="90"/>
      <c r="D95" s="91"/>
      <c r="E95" s="91"/>
      <c r="F95" s="91"/>
      <c r="G95" s="91"/>
      <c r="H95" s="91"/>
      <c r="I95" s="91"/>
      <c r="J95" s="91"/>
      <c r="K95" s="91"/>
      <c r="L95" s="91"/>
      <c r="M95" s="91"/>
      <c r="N95" s="91"/>
      <c r="O95" s="91"/>
      <c r="P95" s="101"/>
      <c r="Q95" s="317"/>
      <c r="R95" s="105"/>
      <c r="S95" s="700"/>
      <c r="T95" s="101" t="s">
        <v>207</v>
      </c>
      <c r="U95" s="699"/>
      <c r="V95" s="699"/>
      <c r="W95" s="699"/>
      <c r="X95" s="699"/>
      <c r="Y95" s="700"/>
      <c r="Z95" s="101" t="s">
        <v>207</v>
      </c>
      <c r="AA95" s="699"/>
      <c r="AB95" s="699"/>
      <c r="AC95" s="699"/>
      <c r="AD95" s="699"/>
      <c r="AE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c r="BZ95" s="92"/>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2"/>
      <c r="CZ95" s="92"/>
      <c r="DA95" s="92"/>
      <c r="DB95" s="92"/>
      <c r="DC95" s="92"/>
      <c r="DD95" s="92"/>
      <c r="DE95" s="92"/>
      <c r="DF95" s="92"/>
      <c r="DG95" s="92"/>
      <c r="DH95" s="92"/>
      <c r="DI95" s="92"/>
      <c r="DJ95" s="92"/>
      <c r="DK95" s="92"/>
      <c r="DL95" s="92"/>
      <c r="DM95" s="92"/>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92"/>
      <c r="EL95" s="92"/>
      <c r="EM95" s="92"/>
      <c r="EN95" s="92"/>
      <c r="EO95" s="92"/>
      <c r="EP95" s="92"/>
      <c r="EQ95" s="92"/>
      <c r="ER95" s="92"/>
      <c r="ES95" s="92"/>
      <c r="ET95" s="92"/>
      <c r="EU95" s="92"/>
      <c r="EV95" s="92"/>
      <c r="EW95" s="92"/>
      <c r="EX95" s="92"/>
      <c r="EY95" s="92"/>
      <c r="EZ95" s="92"/>
      <c r="FA95" s="92"/>
      <c r="FB95" s="92"/>
      <c r="FC95" s="92"/>
      <c r="FD95" s="92"/>
      <c r="FE95" s="92"/>
      <c r="FF95" s="92"/>
      <c r="FG95" s="92"/>
      <c r="FH95" s="92"/>
      <c r="FI95" s="92"/>
      <c r="FJ95" s="92"/>
      <c r="FK95" s="92"/>
      <c r="FL95" s="92"/>
      <c r="FM95" s="92"/>
      <c r="FN95" s="92"/>
      <c r="FO95" s="92"/>
      <c r="FP95" s="92"/>
      <c r="FQ95" s="92"/>
      <c r="FR95" s="92"/>
      <c r="FS95" s="92"/>
      <c r="FT95" s="92"/>
      <c r="FU95" s="92"/>
      <c r="FV95" s="92"/>
      <c r="FW95" s="92"/>
      <c r="FX95" s="92"/>
      <c r="FY95" s="92"/>
      <c r="FZ95" s="92"/>
      <c r="GA95" s="92"/>
      <c r="GB95" s="92"/>
      <c r="GC95" s="92"/>
      <c r="GD95" s="92"/>
      <c r="GE95" s="92"/>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2"/>
      <c r="HE95" s="92"/>
      <c r="HF95" s="92"/>
      <c r="HG95" s="92"/>
      <c r="HH95" s="92"/>
      <c r="HI95" s="92"/>
      <c r="HJ95" s="92"/>
      <c r="HK95" s="92"/>
      <c r="HL95" s="92"/>
      <c r="HM95" s="92"/>
      <c r="HN95" s="92"/>
      <c r="HO95" s="92"/>
      <c r="HP95" s="92"/>
      <c r="HQ95" s="92"/>
      <c r="HR95" s="92"/>
      <c r="HS95" s="92"/>
      <c r="HT95" s="92"/>
      <c r="HU95" s="92"/>
      <c r="HV95" s="92"/>
      <c r="HW95" s="92"/>
      <c r="HX95" s="92"/>
      <c r="HY95" s="92"/>
      <c r="HZ95" s="92"/>
      <c r="IA95" s="92"/>
      <c r="IB95" s="92"/>
      <c r="IC95" s="92"/>
      <c r="ID95" s="92"/>
      <c r="IE95" s="92"/>
      <c r="IF95" s="92"/>
      <c r="IG95" s="92"/>
      <c r="IH95" s="92"/>
      <c r="II95" s="92"/>
      <c r="IJ95" s="92"/>
      <c r="IK95" s="92"/>
      <c r="IL95" s="92"/>
      <c r="IM95" s="92"/>
      <c r="IN95" s="92"/>
      <c r="IO95" s="92"/>
      <c r="IP95" s="92"/>
      <c r="IQ95" s="92"/>
      <c r="IR95" s="92"/>
      <c r="IS95" s="92"/>
      <c r="IT95" s="92"/>
      <c r="IU95" s="92"/>
      <c r="IV95" s="92"/>
      <c r="IW95" s="92"/>
      <c r="IX95" s="92"/>
      <c r="IY95" s="92"/>
      <c r="IZ95" s="92"/>
      <c r="JA95" s="92"/>
      <c r="JB95" s="92"/>
      <c r="JC95" s="92"/>
      <c r="JD95" s="92"/>
      <c r="JE95" s="92"/>
      <c r="JF95" s="92"/>
      <c r="JG95" s="92"/>
      <c r="JH95" s="92"/>
      <c r="JI95" s="92"/>
      <c r="JJ95" s="92"/>
      <c r="JK95" s="92"/>
      <c r="JL95" s="92"/>
      <c r="JM95" s="92"/>
      <c r="JN95" s="92"/>
      <c r="JO95" s="92"/>
      <c r="JP95" s="92"/>
      <c r="JQ95" s="92"/>
      <c r="JR95" s="92"/>
      <c r="JS95" s="92"/>
      <c r="JT95" s="92"/>
      <c r="JU95" s="92"/>
      <c r="JV95" s="92"/>
      <c r="JW95" s="92"/>
      <c r="JX95" s="92"/>
      <c r="JY95" s="92"/>
      <c r="JZ95" s="92"/>
      <c r="KA95" s="92"/>
      <c r="KB95" s="92"/>
      <c r="KC95" s="92"/>
      <c r="KD95" s="92"/>
      <c r="KE95" s="92"/>
      <c r="KF95" s="92"/>
      <c r="KG95" s="92"/>
      <c r="KH95" s="92"/>
      <c r="KI95" s="92"/>
      <c r="KJ95" s="92"/>
      <c r="KK95" s="92"/>
      <c r="KL95" s="92"/>
      <c r="KM95" s="92"/>
      <c r="KN95" s="92"/>
      <c r="KO95" s="92"/>
      <c r="KP95" s="92"/>
      <c r="KQ95" s="92"/>
      <c r="KR95" s="92"/>
      <c r="KS95" s="92"/>
      <c r="KT95" s="92"/>
      <c r="KU95" s="92"/>
      <c r="KV95" s="92"/>
      <c r="KW95" s="92"/>
      <c r="KX95" s="92"/>
      <c r="KY95" s="92"/>
      <c r="KZ95" s="92"/>
      <c r="LA95" s="92"/>
      <c r="LB95" s="92"/>
      <c r="LC95" s="92"/>
      <c r="LD95" s="92"/>
      <c r="LE95" s="92"/>
      <c r="LF95" s="92"/>
      <c r="LG95" s="92"/>
      <c r="LH95" s="92"/>
      <c r="LI95" s="92"/>
      <c r="LJ95" s="92"/>
      <c r="LK95" s="92"/>
      <c r="LL95" s="92"/>
      <c r="LM95" s="92"/>
      <c r="LN95" s="92"/>
      <c r="LO95" s="92"/>
      <c r="LP95" s="92"/>
      <c r="LQ95" s="92"/>
      <c r="LR95" s="92"/>
      <c r="LS95" s="92"/>
      <c r="LT95" s="92"/>
      <c r="LU95" s="92"/>
      <c r="LV95" s="92"/>
      <c r="LW95" s="92"/>
      <c r="LX95" s="92"/>
      <c r="LY95" s="92"/>
      <c r="LZ95" s="92"/>
      <c r="MA95" s="92"/>
      <c r="MB95" s="92"/>
      <c r="MC95" s="92"/>
      <c r="MD95" s="92"/>
      <c r="ME95" s="92"/>
      <c r="MF95" s="92"/>
      <c r="MG95" s="92"/>
      <c r="MH95" s="92"/>
      <c r="MI95" s="92"/>
      <c r="MJ95" s="92"/>
      <c r="MK95" s="92"/>
      <c r="ML95" s="92"/>
      <c r="MM95" s="92"/>
      <c r="MN95" s="92"/>
      <c r="MO95" s="92"/>
      <c r="MP95" s="92"/>
      <c r="MQ95" s="92"/>
      <c r="MR95" s="92"/>
      <c r="MS95" s="92"/>
      <c r="MT95" s="92"/>
      <c r="MU95" s="92"/>
      <c r="MV95" s="92"/>
      <c r="MW95" s="92"/>
      <c r="MX95" s="92"/>
      <c r="MY95" s="92"/>
      <c r="MZ95" s="92"/>
      <c r="NA95" s="92"/>
      <c r="NB95" s="92"/>
      <c r="NC95" s="92"/>
      <c r="ND95" s="92"/>
      <c r="NE95" s="92"/>
      <c r="NF95" s="92"/>
      <c r="NG95" s="92"/>
      <c r="NH95" s="92"/>
      <c r="NI95" s="92"/>
      <c r="NJ95" s="92"/>
      <c r="NK95" s="92"/>
      <c r="NL95" s="92"/>
      <c r="NM95" s="92"/>
      <c r="NN95" s="92"/>
      <c r="NO95" s="92"/>
      <c r="NP95" s="92"/>
      <c r="NQ95" s="92"/>
      <c r="NR95" s="92"/>
      <c r="NS95" s="92"/>
      <c r="NT95" s="92"/>
      <c r="NU95" s="92"/>
      <c r="NV95" s="92"/>
      <c r="NW95" s="92"/>
      <c r="NX95" s="92"/>
      <c r="NY95" s="92"/>
      <c r="NZ95" s="92"/>
      <c r="OA95" s="92"/>
      <c r="OB95" s="92"/>
      <c r="OC95" s="92"/>
      <c r="OD95" s="92"/>
      <c r="OE95" s="92"/>
      <c r="OF95" s="92"/>
      <c r="OG95" s="92"/>
      <c r="OH95" s="92"/>
      <c r="OI95" s="92"/>
      <c r="OJ95" s="92"/>
      <c r="OK95" s="92"/>
      <c r="OL95" s="92"/>
      <c r="OM95" s="92"/>
      <c r="ON95" s="92"/>
      <c r="OO95" s="92"/>
      <c r="OP95" s="92"/>
      <c r="OQ95" s="92"/>
      <c r="OR95" s="92"/>
      <c r="OS95" s="92"/>
      <c r="OT95" s="92"/>
      <c r="OU95" s="92"/>
      <c r="OV95" s="92"/>
      <c r="OW95" s="92"/>
      <c r="OX95" s="92"/>
      <c r="OY95" s="92"/>
      <c r="OZ95" s="92"/>
      <c r="PA95" s="92"/>
      <c r="PB95" s="92"/>
      <c r="PC95" s="92"/>
      <c r="PD95" s="92"/>
      <c r="PE95" s="92"/>
      <c r="PF95" s="92"/>
      <c r="PG95" s="92"/>
      <c r="PH95" s="92"/>
      <c r="PI95" s="92"/>
      <c r="PJ95" s="92"/>
      <c r="PK95" s="92"/>
      <c r="PL95" s="92"/>
      <c r="PM95" s="92"/>
      <c r="PN95" s="92"/>
      <c r="PO95" s="92"/>
      <c r="PP95" s="92"/>
      <c r="PQ95" s="92"/>
      <c r="PR95" s="92"/>
      <c r="PS95" s="92"/>
      <c r="PT95" s="92"/>
      <c r="PU95" s="92"/>
      <c r="PV95" s="92"/>
      <c r="PW95" s="92"/>
      <c r="PX95" s="92"/>
      <c r="PY95" s="92"/>
      <c r="PZ95" s="92"/>
      <c r="QA95" s="92"/>
      <c r="QB95" s="92"/>
      <c r="QC95" s="92"/>
      <c r="QD95" s="92"/>
      <c r="QE95" s="92"/>
      <c r="QF95" s="92"/>
      <c r="QG95" s="92"/>
      <c r="QH95" s="92"/>
      <c r="QI95" s="92"/>
      <c r="QJ95" s="92"/>
      <c r="QK95" s="92"/>
      <c r="QL95" s="92"/>
      <c r="QM95" s="92"/>
      <c r="QN95" s="92"/>
      <c r="QO95" s="92"/>
    </row>
    <row r="96" spans="1:457">
      <c r="A96" s="83"/>
      <c r="C96" s="106"/>
      <c r="D96" s="101"/>
      <c r="E96" s="101"/>
      <c r="F96" s="101"/>
      <c r="G96" s="101"/>
      <c r="H96" s="101"/>
      <c r="I96" s="101"/>
      <c r="J96" s="101"/>
      <c r="K96" s="101"/>
      <c r="L96" s="101"/>
      <c r="M96" s="101"/>
      <c r="N96" s="101"/>
      <c r="O96" s="102"/>
      <c r="P96" s="101"/>
      <c r="Q96" s="92"/>
      <c r="R96" s="92"/>
      <c r="T96" s="101" t="s">
        <v>208</v>
      </c>
      <c r="U96" s="636">
        <f t="shared" si="57"/>
        <v>272.42428231804877</v>
      </c>
      <c r="V96" s="589">
        <f>V103</f>
        <v>274.6264651066474</v>
      </c>
      <c r="W96" s="589">
        <f>W103</f>
        <v>193.95277571410273</v>
      </c>
      <c r="X96" s="636"/>
      <c r="Z96" s="101" t="s">
        <v>208</v>
      </c>
      <c r="AA96" s="636">
        <f t="shared" ref="AA96:AC98" si="62">IF(D12&lt;=0,0,AA15/D12)</f>
        <v>272.42428231804877</v>
      </c>
      <c r="AB96" s="636">
        <f t="shared" si="62"/>
        <v>0</v>
      </c>
      <c r="AC96" s="636">
        <f t="shared" si="62"/>
        <v>0</v>
      </c>
      <c r="AD96" s="636"/>
      <c r="AE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c r="BZ96" s="92"/>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2"/>
      <c r="CZ96" s="92"/>
      <c r="DA96" s="92"/>
      <c r="DB96" s="92"/>
      <c r="DC96" s="92"/>
      <c r="DD96" s="92"/>
      <c r="DE96" s="92"/>
      <c r="DF96" s="92"/>
      <c r="DG96" s="92"/>
      <c r="DH96" s="92"/>
      <c r="DI96" s="92"/>
      <c r="DJ96" s="92"/>
      <c r="DK96" s="92"/>
      <c r="DL96" s="92"/>
      <c r="DM96" s="92"/>
      <c r="DN96" s="92"/>
      <c r="DO96" s="92"/>
      <c r="DP96" s="92"/>
      <c r="DQ96" s="92"/>
      <c r="DR96" s="92"/>
      <c r="DS96" s="92"/>
      <c r="DT96" s="92"/>
      <c r="DU96" s="92"/>
      <c r="DV96" s="92"/>
      <c r="DW96" s="92"/>
      <c r="DX96" s="92"/>
      <c r="DY96" s="92"/>
      <c r="DZ96" s="92"/>
      <c r="EA96" s="92"/>
      <c r="EB96" s="92"/>
      <c r="EC96" s="92"/>
      <c r="ED96" s="92"/>
      <c r="EE96" s="92"/>
      <c r="EF96" s="92"/>
      <c r="EG96" s="92"/>
      <c r="EH96" s="92"/>
      <c r="EI96" s="92"/>
      <c r="EJ96" s="92"/>
      <c r="EK96" s="92"/>
      <c r="EL96" s="92"/>
      <c r="EM96" s="92"/>
      <c r="EN96" s="92"/>
      <c r="EO96" s="92"/>
      <c r="EP96" s="92"/>
      <c r="EQ96" s="92"/>
      <c r="ER96" s="92"/>
      <c r="ES96" s="92"/>
      <c r="ET96" s="92"/>
      <c r="EU96" s="92"/>
      <c r="EV96" s="92"/>
      <c r="EW96" s="92"/>
      <c r="EX96" s="92"/>
      <c r="EY96" s="92"/>
      <c r="EZ96" s="92"/>
      <c r="FA96" s="92"/>
      <c r="FB96" s="92"/>
      <c r="FC96" s="92"/>
      <c r="FD96" s="92"/>
      <c r="FE96" s="92"/>
      <c r="FF96" s="92"/>
      <c r="FG96" s="92"/>
      <c r="FH96" s="92"/>
      <c r="FI96" s="92"/>
      <c r="FJ96" s="92"/>
      <c r="FK96" s="92"/>
      <c r="FL96" s="92"/>
      <c r="FM96" s="92"/>
      <c r="FN96" s="92"/>
      <c r="FO96" s="92"/>
      <c r="FP96" s="92"/>
      <c r="FQ96" s="92"/>
      <c r="FR96" s="92"/>
      <c r="FS96" s="92"/>
      <c r="FT96" s="92"/>
      <c r="FU96" s="92"/>
      <c r="FV96" s="92"/>
      <c r="FW96" s="92"/>
      <c r="FX96" s="92"/>
      <c r="FY96" s="92"/>
      <c r="FZ96" s="92"/>
      <c r="GA96" s="92"/>
      <c r="GB96" s="92"/>
      <c r="GC96" s="92"/>
      <c r="GD96" s="92"/>
      <c r="GE96" s="92"/>
      <c r="GF96" s="92"/>
      <c r="GG96" s="92"/>
      <c r="GH96" s="92"/>
      <c r="GI96" s="92"/>
      <c r="GJ96" s="92"/>
      <c r="GK96" s="92"/>
      <c r="GL96" s="92"/>
      <c r="GM96" s="92"/>
      <c r="GN96" s="92"/>
      <c r="GO96" s="92"/>
      <c r="GP96" s="92"/>
      <c r="GQ96" s="92"/>
      <c r="GR96" s="92"/>
      <c r="GS96" s="92"/>
      <c r="GT96" s="92"/>
      <c r="GU96" s="92"/>
      <c r="GV96" s="92"/>
      <c r="GW96" s="92"/>
      <c r="GX96" s="92"/>
      <c r="GY96" s="92"/>
      <c r="GZ96" s="92"/>
      <c r="HA96" s="92"/>
      <c r="HB96" s="92"/>
      <c r="HC96" s="92"/>
      <c r="HD96" s="92"/>
      <c r="HE96" s="92"/>
      <c r="HF96" s="92"/>
      <c r="HG96" s="92"/>
      <c r="HH96" s="92"/>
      <c r="HI96" s="92"/>
      <c r="HJ96" s="92"/>
      <c r="HK96" s="92"/>
      <c r="HL96" s="92"/>
      <c r="HM96" s="92"/>
      <c r="HN96" s="92"/>
      <c r="HO96" s="92"/>
      <c r="HP96" s="92"/>
      <c r="HQ96" s="92"/>
      <c r="HR96" s="92"/>
      <c r="HS96" s="92"/>
      <c r="HT96" s="92"/>
      <c r="HU96" s="92"/>
      <c r="HV96" s="92"/>
      <c r="HW96" s="92"/>
      <c r="HX96" s="92"/>
      <c r="HY96" s="92"/>
      <c r="HZ96" s="92"/>
      <c r="IA96" s="92"/>
      <c r="IB96" s="92"/>
      <c r="IC96" s="92"/>
      <c r="ID96" s="92"/>
      <c r="IE96" s="92"/>
      <c r="IF96" s="92"/>
      <c r="IG96" s="92"/>
      <c r="IH96" s="92"/>
      <c r="II96" s="92"/>
      <c r="IJ96" s="92"/>
      <c r="IK96" s="92"/>
      <c r="IL96" s="92"/>
      <c r="IM96" s="92"/>
      <c r="IN96" s="92"/>
      <c r="IO96" s="92"/>
      <c r="IP96" s="92"/>
      <c r="IQ96" s="92"/>
      <c r="IR96" s="92"/>
      <c r="IS96" s="92"/>
      <c r="IT96" s="92"/>
      <c r="IU96" s="92"/>
      <c r="IV96" s="92"/>
      <c r="IW96" s="92"/>
      <c r="IX96" s="92"/>
      <c r="IY96" s="92"/>
      <c r="IZ96" s="92"/>
      <c r="JA96" s="92"/>
      <c r="JB96" s="92"/>
      <c r="JC96" s="92"/>
      <c r="JD96" s="92"/>
      <c r="JE96" s="92"/>
      <c r="JF96" s="92"/>
      <c r="JG96" s="92"/>
      <c r="JH96" s="92"/>
      <c r="JI96" s="92"/>
      <c r="JJ96" s="92"/>
      <c r="JK96" s="92"/>
      <c r="JL96" s="92"/>
      <c r="JM96" s="92"/>
      <c r="JN96" s="92"/>
      <c r="JO96" s="92"/>
      <c r="JP96" s="92"/>
      <c r="JQ96" s="92"/>
      <c r="JR96" s="92"/>
      <c r="JS96" s="92"/>
      <c r="JT96" s="92"/>
      <c r="JU96" s="92"/>
      <c r="JV96" s="92"/>
      <c r="JW96" s="92"/>
      <c r="JX96" s="92"/>
      <c r="JY96" s="92"/>
      <c r="JZ96" s="92"/>
      <c r="KA96" s="92"/>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2"/>
      <c r="LA96" s="92"/>
      <c r="LB96" s="92"/>
      <c r="LC96" s="92"/>
      <c r="LD96" s="92"/>
      <c r="LE96" s="92"/>
      <c r="LF96" s="92"/>
      <c r="LG96" s="92"/>
      <c r="LH96" s="92"/>
      <c r="LI96" s="92"/>
      <c r="LJ96" s="92"/>
      <c r="LK96" s="92"/>
      <c r="LL96" s="92"/>
      <c r="LM96" s="92"/>
      <c r="LN96" s="92"/>
      <c r="LO96" s="92"/>
      <c r="LP96" s="92"/>
      <c r="LQ96" s="92"/>
      <c r="LR96" s="92"/>
      <c r="LS96" s="92"/>
      <c r="LT96" s="92"/>
      <c r="LU96" s="92"/>
      <c r="LV96" s="92"/>
      <c r="LW96" s="92"/>
      <c r="LX96" s="92"/>
      <c r="LY96" s="92"/>
      <c r="LZ96" s="92"/>
      <c r="MA96" s="92"/>
      <c r="MB96" s="92"/>
      <c r="MC96" s="92"/>
      <c r="MD96" s="92"/>
      <c r="ME96" s="92"/>
      <c r="MF96" s="92"/>
      <c r="MG96" s="92"/>
      <c r="MH96" s="92"/>
      <c r="MI96" s="92"/>
      <c r="MJ96" s="92"/>
      <c r="MK96" s="92"/>
      <c r="ML96" s="92"/>
      <c r="MM96" s="92"/>
      <c r="MN96" s="92"/>
      <c r="MO96" s="92"/>
      <c r="MP96" s="92"/>
      <c r="MQ96" s="92"/>
      <c r="MR96" s="92"/>
      <c r="MS96" s="92"/>
      <c r="MT96" s="92"/>
      <c r="MU96" s="92"/>
      <c r="MV96" s="92"/>
      <c r="MW96" s="92"/>
      <c r="MX96" s="92"/>
      <c r="MY96" s="92"/>
      <c r="MZ96" s="92"/>
      <c r="NA96" s="92"/>
      <c r="NB96" s="92"/>
      <c r="NC96" s="92"/>
      <c r="ND96" s="92"/>
      <c r="NE96" s="92"/>
      <c r="NF96" s="92"/>
      <c r="NG96" s="92"/>
      <c r="NH96" s="92"/>
      <c r="NI96" s="92"/>
      <c r="NJ96" s="92"/>
      <c r="NK96" s="92"/>
      <c r="NL96" s="92"/>
      <c r="NM96" s="92"/>
      <c r="NN96" s="92"/>
      <c r="NO96" s="92"/>
      <c r="NP96" s="92"/>
      <c r="NQ96" s="92"/>
      <c r="NR96" s="92"/>
      <c r="NS96" s="92"/>
      <c r="NT96" s="92"/>
      <c r="NU96" s="92"/>
      <c r="NV96" s="92"/>
      <c r="NW96" s="92"/>
      <c r="NX96" s="92"/>
      <c r="NY96" s="92"/>
      <c r="NZ96" s="92"/>
      <c r="OA96" s="92"/>
      <c r="OB96" s="92"/>
      <c r="OC96" s="92"/>
      <c r="OD96" s="92"/>
      <c r="OE96" s="92"/>
      <c r="OF96" s="92"/>
      <c r="OG96" s="92"/>
      <c r="OH96" s="92"/>
      <c r="OI96" s="92"/>
      <c r="OJ96" s="92"/>
      <c r="OK96" s="92"/>
      <c r="OL96" s="92"/>
      <c r="OM96" s="92"/>
      <c r="ON96" s="92"/>
      <c r="OO96" s="92"/>
      <c r="OP96" s="92"/>
      <c r="OQ96" s="92"/>
      <c r="OR96" s="92"/>
      <c r="OS96" s="92"/>
      <c r="OT96" s="92"/>
      <c r="OU96" s="92"/>
      <c r="OV96" s="92"/>
      <c r="OW96" s="92"/>
      <c r="OX96" s="92"/>
      <c r="OY96" s="92"/>
      <c r="OZ96" s="92"/>
      <c r="PA96" s="92"/>
      <c r="PB96" s="92"/>
      <c r="PC96" s="92"/>
      <c r="PD96" s="92"/>
      <c r="PE96" s="92"/>
      <c r="PF96" s="92"/>
      <c r="PG96" s="92"/>
      <c r="PH96" s="92"/>
      <c r="PI96" s="92"/>
      <c r="PJ96" s="92"/>
      <c r="PK96" s="92"/>
      <c r="PL96" s="92"/>
      <c r="PM96" s="92"/>
      <c r="PN96" s="92"/>
      <c r="PO96" s="92"/>
      <c r="PP96" s="92"/>
      <c r="PQ96" s="92"/>
      <c r="PR96" s="92"/>
      <c r="PS96" s="92"/>
      <c r="PT96" s="92"/>
      <c r="PU96" s="92"/>
      <c r="PV96" s="92"/>
      <c r="PW96" s="92"/>
      <c r="PX96" s="92"/>
      <c r="PY96" s="92"/>
      <c r="PZ96" s="92"/>
      <c r="QA96" s="92"/>
      <c r="QB96" s="92"/>
      <c r="QC96" s="92"/>
      <c r="QD96" s="92"/>
      <c r="QE96" s="92"/>
      <c r="QF96" s="92"/>
      <c r="QG96" s="92"/>
      <c r="QH96" s="92"/>
      <c r="QI96" s="92"/>
      <c r="QJ96" s="92"/>
      <c r="QK96" s="92"/>
      <c r="QL96" s="92"/>
      <c r="QM96" s="92"/>
      <c r="QN96" s="92"/>
      <c r="QO96" s="92"/>
    </row>
    <row r="97" spans="1:457">
      <c r="A97" s="83"/>
      <c r="C97" s="106"/>
      <c r="D97" s="101"/>
      <c r="E97" s="101"/>
      <c r="F97" s="101"/>
      <c r="G97" s="101"/>
      <c r="H97" s="101"/>
      <c r="I97" s="101"/>
      <c r="J97" s="101"/>
      <c r="K97" s="101"/>
      <c r="L97" s="101"/>
      <c r="M97" s="101"/>
      <c r="N97" s="101"/>
      <c r="O97" s="102"/>
      <c r="P97" s="101"/>
      <c r="Q97" s="92"/>
      <c r="R97" s="92"/>
      <c r="T97" s="189" t="s">
        <v>541</v>
      </c>
      <c r="U97" s="636">
        <f t="shared" si="57"/>
        <v>291.31280181487529</v>
      </c>
      <c r="V97" s="589">
        <f>V103</f>
        <v>274.6264651066474</v>
      </c>
      <c r="W97" s="636">
        <f t="shared" si="59"/>
        <v>9.3359356517624814</v>
      </c>
      <c r="X97" s="636"/>
      <c r="Z97" s="189" t="s">
        <v>541</v>
      </c>
      <c r="AA97" s="636">
        <f t="shared" si="62"/>
        <v>291.31280181487529</v>
      </c>
      <c r="AB97" s="636">
        <f t="shared" si="62"/>
        <v>0</v>
      </c>
      <c r="AC97" s="636">
        <f t="shared" si="62"/>
        <v>9.3359356517624814</v>
      </c>
      <c r="AD97" s="636"/>
      <c r="AE97" s="92"/>
      <c r="AO97" s="92"/>
      <c r="AP97" s="92"/>
      <c r="AQ97" s="92"/>
      <c r="AR97" s="92"/>
      <c r="AS97" s="92"/>
      <c r="AT97" s="92"/>
      <c r="AU97" s="92"/>
      <c r="AV97" s="92"/>
      <c r="AW97" s="92"/>
      <c r="AX97" s="92"/>
      <c r="AY97" s="92"/>
      <c r="AZ97" s="92"/>
      <c r="BA97" s="92"/>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2"/>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2"/>
      <c r="CZ97" s="92"/>
      <c r="DA97" s="92"/>
      <c r="DB97" s="92"/>
      <c r="DC97" s="92"/>
      <c r="DD97" s="92"/>
      <c r="DE97" s="92"/>
      <c r="DF97" s="92"/>
      <c r="DG97" s="92"/>
      <c r="DH97" s="92"/>
      <c r="DI97" s="92"/>
      <c r="DJ97" s="92"/>
      <c r="DK97" s="92"/>
      <c r="DL97" s="92"/>
      <c r="DM97" s="92"/>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92"/>
      <c r="EL97" s="92"/>
      <c r="EM97" s="92"/>
      <c r="EN97" s="92"/>
      <c r="EO97" s="92"/>
      <c r="EP97" s="92"/>
      <c r="EQ97" s="92"/>
      <c r="ER97" s="92"/>
      <c r="ES97" s="92"/>
      <c r="ET97" s="92"/>
      <c r="EU97" s="92"/>
      <c r="EV97" s="92"/>
      <c r="EW97" s="92"/>
      <c r="EX97" s="92"/>
      <c r="EY97" s="92"/>
      <c r="EZ97" s="92"/>
      <c r="FA97" s="92"/>
      <c r="FB97" s="92"/>
      <c r="FC97" s="92"/>
      <c r="FD97" s="92"/>
      <c r="FE97" s="92"/>
      <c r="FF97" s="92"/>
      <c r="FG97" s="92"/>
      <c r="FH97" s="92"/>
      <c r="FI97" s="92"/>
      <c r="FJ97" s="92"/>
      <c r="FK97" s="92"/>
      <c r="FL97" s="92"/>
      <c r="FM97" s="92"/>
      <c r="FN97" s="92"/>
      <c r="FO97" s="92"/>
      <c r="FP97" s="92"/>
      <c r="FQ97" s="92"/>
      <c r="FR97" s="92"/>
      <c r="FS97" s="92"/>
      <c r="FT97" s="92"/>
      <c r="FU97" s="92"/>
      <c r="FV97" s="92"/>
      <c r="FW97" s="92"/>
      <c r="FX97" s="92"/>
      <c r="FY97" s="92"/>
      <c r="FZ97" s="92"/>
      <c r="GA97" s="92"/>
      <c r="GB97" s="92"/>
      <c r="GC97" s="92"/>
      <c r="GD97" s="92"/>
      <c r="GE97" s="92"/>
      <c r="GF97" s="92"/>
      <c r="GG97" s="92"/>
      <c r="GH97" s="92"/>
      <c r="GI97" s="92"/>
      <c r="GJ97" s="92"/>
      <c r="GK97" s="92"/>
      <c r="GL97" s="92"/>
      <c r="GM97" s="92"/>
      <c r="GN97" s="92"/>
      <c r="GO97" s="92"/>
      <c r="GP97" s="92"/>
      <c r="GQ97" s="92"/>
      <c r="GR97" s="92"/>
      <c r="GS97" s="92"/>
      <c r="GT97" s="92"/>
      <c r="GU97" s="92"/>
      <c r="GV97" s="92"/>
      <c r="GW97" s="92"/>
      <c r="GX97" s="92"/>
      <c r="GY97" s="92"/>
      <c r="GZ97" s="92"/>
      <c r="HA97" s="92"/>
      <c r="HB97" s="92"/>
      <c r="HC97" s="92"/>
      <c r="HD97" s="92"/>
      <c r="HE97" s="92"/>
      <c r="HF97" s="92"/>
      <c r="HG97" s="92"/>
      <c r="HH97" s="92"/>
      <c r="HI97" s="92"/>
      <c r="HJ97" s="92"/>
      <c r="HK97" s="92"/>
      <c r="HL97" s="92"/>
      <c r="HM97" s="92"/>
      <c r="HN97" s="92"/>
      <c r="HO97" s="92"/>
      <c r="HP97" s="92"/>
      <c r="HQ97" s="92"/>
      <c r="HR97" s="92"/>
      <c r="HS97" s="92"/>
      <c r="HT97" s="92"/>
      <c r="HU97" s="92"/>
      <c r="HV97" s="92"/>
      <c r="HW97" s="92"/>
      <c r="HX97" s="92"/>
      <c r="HY97" s="92"/>
      <c r="HZ97" s="92"/>
      <c r="IA97" s="92"/>
      <c r="IB97" s="92"/>
      <c r="IC97" s="92"/>
      <c r="ID97" s="92"/>
      <c r="IE97" s="92"/>
      <c r="IF97" s="92"/>
      <c r="IG97" s="92"/>
      <c r="IH97" s="92"/>
      <c r="II97" s="92"/>
      <c r="IJ97" s="92"/>
      <c r="IK97" s="92"/>
      <c r="IL97" s="92"/>
      <c r="IM97" s="92"/>
      <c r="IN97" s="92"/>
      <c r="IO97" s="92"/>
      <c r="IP97" s="92"/>
      <c r="IQ97" s="92"/>
      <c r="IR97" s="92"/>
      <c r="IS97" s="92"/>
      <c r="IT97" s="92"/>
      <c r="IU97" s="92"/>
      <c r="IV97" s="92"/>
      <c r="IW97" s="92"/>
      <c r="IX97" s="92"/>
      <c r="IY97" s="92"/>
      <c r="IZ97" s="92"/>
      <c r="JA97" s="92"/>
      <c r="JB97" s="92"/>
      <c r="JC97" s="92"/>
      <c r="JD97" s="92"/>
      <c r="JE97" s="92"/>
      <c r="JF97" s="92"/>
      <c r="JG97" s="92"/>
      <c r="JH97" s="92"/>
      <c r="JI97" s="92"/>
      <c r="JJ97" s="92"/>
      <c r="JK97" s="92"/>
      <c r="JL97" s="92"/>
      <c r="JM97" s="92"/>
      <c r="JN97" s="92"/>
      <c r="JO97" s="92"/>
      <c r="JP97" s="92"/>
      <c r="JQ97" s="92"/>
      <c r="JR97" s="92"/>
      <c r="JS97" s="92"/>
      <c r="JT97" s="92"/>
      <c r="JU97" s="92"/>
      <c r="JV97" s="92"/>
      <c r="JW97" s="92"/>
      <c r="JX97" s="92"/>
      <c r="JY97" s="92"/>
      <c r="JZ97" s="92"/>
      <c r="KA97" s="92"/>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2"/>
      <c r="LA97" s="92"/>
      <c r="LB97" s="92"/>
      <c r="LC97" s="92"/>
      <c r="LD97" s="92"/>
      <c r="LE97" s="92"/>
      <c r="LF97" s="92"/>
      <c r="LG97" s="92"/>
      <c r="LH97" s="92"/>
      <c r="LI97" s="92"/>
      <c r="LJ97" s="92"/>
      <c r="LK97" s="92"/>
      <c r="LL97" s="92"/>
      <c r="LM97" s="92"/>
      <c r="LN97" s="92"/>
      <c r="LO97" s="92"/>
      <c r="LP97" s="92"/>
      <c r="LQ97" s="92"/>
      <c r="LR97" s="92"/>
      <c r="LS97" s="92"/>
      <c r="LT97" s="92"/>
      <c r="LU97" s="92"/>
      <c r="LV97" s="92"/>
      <c r="LW97" s="92"/>
      <c r="LX97" s="92"/>
      <c r="LY97" s="92"/>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2"/>
      <c r="MY97" s="92"/>
      <c r="MZ97" s="92"/>
      <c r="NA97" s="92"/>
      <c r="NB97" s="92"/>
      <c r="NC97" s="92"/>
      <c r="ND97" s="92"/>
      <c r="NE97" s="92"/>
      <c r="NF97" s="92"/>
      <c r="NG97" s="92"/>
      <c r="NH97" s="92"/>
      <c r="NI97" s="92"/>
      <c r="NJ97" s="92"/>
      <c r="NK97" s="92"/>
      <c r="NL97" s="92"/>
      <c r="NM97" s="92"/>
      <c r="NN97" s="92"/>
      <c r="NO97" s="92"/>
      <c r="NP97" s="92"/>
      <c r="NQ97" s="92"/>
      <c r="NR97" s="92"/>
      <c r="NS97" s="92"/>
      <c r="NT97" s="92"/>
      <c r="NU97" s="92"/>
      <c r="NV97" s="92"/>
      <c r="NW97" s="92"/>
      <c r="NX97" s="92"/>
      <c r="NY97" s="92"/>
      <c r="NZ97" s="92"/>
      <c r="OA97" s="92"/>
      <c r="OB97" s="92"/>
      <c r="OC97" s="92"/>
      <c r="OD97" s="92"/>
      <c r="OE97" s="92"/>
      <c r="OF97" s="92"/>
      <c r="OG97" s="92"/>
      <c r="OH97" s="92"/>
      <c r="OI97" s="92"/>
      <c r="OJ97" s="92"/>
      <c r="OK97" s="92"/>
      <c r="OL97" s="92"/>
      <c r="OM97" s="92"/>
      <c r="ON97" s="92"/>
      <c r="OO97" s="92"/>
      <c r="OP97" s="92"/>
      <c r="OQ97" s="92"/>
      <c r="OR97" s="92"/>
      <c r="OS97" s="92"/>
      <c r="OT97" s="92"/>
      <c r="OU97" s="92"/>
      <c r="OV97" s="92"/>
      <c r="OW97" s="92"/>
      <c r="OX97" s="92"/>
      <c r="OY97" s="92"/>
      <c r="OZ97" s="92"/>
      <c r="PA97" s="92"/>
      <c r="PB97" s="92"/>
      <c r="PC97" s="92"/>
      <c r="PD97" s="92"/>
      <c r="PE97" s="92"/>
      <c r="PF97" s="92"/>
      <c r="PG97" s="92"/>
      <c r="PH97" s="92"/>
      <c r="PI97" s="92"/>
      <c r="PJ97" s="92"/>
      <c r="PK97" s="92"/>
      <c r="PL97" s="92"/>
      <c r="PM97" s="92"/>
      <c r="PN97" s="92"/>
      <c r="PO97" s="92"/>
      <c r="PP97" s="92"/>
      <c r="PQ97" s="92"/>
      <c r="PR97" s="92"/>
      <c r="PS97" s="92"/>
      <c r="PT97" s="92"/>
      <c r="PU97" s="92"/>
      <c r="PV97" s="92"/>
      <c r="PW97" s="92"/>
      <c r="PX97" s="92"/>
      <c r="PY97" s="92"/>
      <c r="PZ97" s="92"/>
      <c r="QA97" s="92"/>
      <c r="QB97" s="92"/>
      <c r="QC97" s="92"/>
      <c r="QD97" s="92"/>
      <c r="QE97" s="92"/>
      <c r="QF97" s="92"/>
      <c r="QG97" s="92"/>
      <c r="QH97" s="92"/>
      <c r="QI97" s="92"/>
      <c r="QJ97" s="92"/>
      <c r="QK97" s="92"/>
      <c r="QL97" s="92"/>
      <c r="QM97" s="92"/>
      <c r="QN97" s="92"/>
      <c r="QO97" s="92"/>
    </row>
    <row r="98" spans="1:457">
      <c r="A98" s="83"/>
      <c r="C98" s="106"/>
      <c r="D98" s="101"/>
      <c r="E98" s="101"/>
      <c r="F98" s="101"/>
      <c r="G98" s="101"/>
      <c r="H98" s="101"/>
      <c r="I98" s="101"/>
      <c r="J98" s="101"/>
      <c r="K98" s="101"/>
      <c r="L98" s="101"/>
      <c r="M98" s="101"/>
      <c r="N98" s="101"/>
      <c r="O98" s="102"/>
      <c r="P98" s="101"/>
      <c r="Q98" s="92"/>
      <c r="R98" s="92"/>
      <c r="T98" s="101" t="s">
        <v>210</v>
      </c>
      <c r="U98" s="636">
        <f t="shared" si="57"/>
        <v>39.925625661240382</v>
      </c>
      <c r="V98" s="589">
        <f>V103</f>
        <v>274.6264651066474</v>
      </c>
      <c r="W98" s="589">
        <f>W103</f>
        <v>193.95277571410273</v>
      </c>
      <c r="X98" s="636"/>
      <c r="Z98" s="101" t="s">
        <v>210</v>
      </c>
      <c r="AA98" s="636">
        <f t="shared" si="62"/>
        <v>39.925625661240382</v>
      </c>
      <c r="AB98" s="636">
        <f t="shared" si="62"/>
        <v>0</v>
      </c>
      <c r="AC98" s="636">
        <f t="shared" si="62"/>
        <v>0</v>
      </c>
      <c r="AD98" s="636"/>
      <c r="AO98" s="92"/>
      <c r="AP98" s="92"/>
      <c r="AQ98" s="92"/>
      <c r="AR98" s="92"/>
      <c r="AS98" s="92"/>
      <c r="AT98" s="92"/>
      <c r="AU98" s="92"/>
      <c r="AV98" s="92"/>
      <c r="AW98" s="92"/>
      <c r="AX98" s="92"/>
      <c r="AY98" s="92"/>
      <c r="AZ98" s="92"/>
      <c r="BA98" s="92"/>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2"/>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2"/>
      <c r="CZ98" s="92"/>
      <c r="DA98" s="92"/>
      <c r="DB98" s="92"/>
      <c r="DC98" s="92"/>
      <c r="DD98" s="92"/>
      <c r="DE98" s="92"/>
      <c r="DF98" s="92"/>
      <c r="DG98" s="92"/>
      <c r="DH98" s="92"/>
      <c r="DI98" s="92"/>
      <c r="DJ98" s="92"/>
      <c r="DK98" s="92"/>
      <c r="DL98" s="92"/>
      <c r="DM98" s="92"/>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2"/>
      <c r="EN98" s="92"/>
      <c r="EO98" s="92"/>
      <c r="EP98" s="92"/>
      <c r="EQ98" s="92"/>
      <c r="ER98" s="92"/>
      <c r="ES98" s="92"/>
      <c r="ET98" s="92"/>
      <c r="EU98" s="92"/>
      <c r="EV98" s="92"/>
      <c r="EW98" s="92"/>
      <c r="EX98" s="92"/>
      <c r="EY98" s="92"/>
      <c r="EZ98" s="92"/>
      <c r="FA98" s="92"/>
      <c r="FB98" s="92"/>
      <c r="FC98" s="92"/>
      <c r="FD98" s="92"/>
      <c r="FE98" s="92"/>
      <c r="FF98" s="92"/>
      <c r="FG98" s="92"/>
      <c r="FH98" s="92"/>
      <c r="FI98" s="92"/>
      <c r="FJ98" s="92"/>
      <c r="FK98" s="92"/>
      <c r="FL98" s="92"/>
      <c r="FM98" s="92"/>
      <c r="FN98" s="92"/>
      <c r="FO98" s="92"/>
      <c r="FP98" s="92"/>
      <c r="FQ98" s="92"/>
      <c r="FR98" s="92"/>
      <c r="FS98" s="92"/>
      <c r="FT98" s="92"/>
      <c r="FU98" s="92"/>
      <c r="FV98" s="92"/>
      <c r="FW98" s="92"/>
      <c r="FX98" s="92"/>
      <c r="FY98" s="92"/>
      <c r="FZ98" s="92"/>
      <c r="GA98" s="92"/>
      <c r="GB98" s="92"/>
      <c r="GC98" s="92"/>
      <c r="GD98" s="92"/>
      <c r="GE98" s="92"/>
      <c r="GF98" s="92"/>
      <c r="GG98" s="92"/>
      <c r="GH98" s="92"/>
      <c r="GI98" s="92"/>
      <c r="GJ98" s="92"/>
      <c r="GK98" s="92"/>
      <c r="GL98" s="92"/>
      <c r="GM98" s="92"/>
      <c r="GN98" s="92"/>
      <c r="GO98" s="92"/>
      <c r="GP98" s="92"/>
      <c r="GQ98" s="92"/>
      <c r="GR98" s="92"/>
      <c r="GS98" s="92"/>
      <c r="GT98" s="92"/>
      <c r="GU98" s="92"/>
      <c r="GV98" s="92"/>
      <c r="GW98" s="92"/>
      <c r="GX98" s="92"/>
      <c r="GY98" s="92"/>
      <c r="GZ98" s="92"/>
      <c r="HA98" s="92"/>
      <c r="HB98" s="92"/>
      <c r="HC98" s="92"/>
      <c r="HD98" s="92"/>
      <c r="HE98" s="92"/>
      <c r="HF98" s="92"/>
      <c r="HG98" s="92"/>
      <c r="HH98" s="92"/>
      <c r="HI98" s="92"/>
      <c r="HJ98" s="92"/>
      <c r="HK98" s="92"/>
      <c r="HL98" s="92"/>
      <c r="HM98" s="92"/>
      <c r="HN98" s="92"/>
      <c r="HO98" s="92"/>
      <c r="HP98" s="92"/>
      <c r="HQ98" s="92"/>
      <c r="HR98" s="92"/>
      <c r="HS98" s="92"/>
      <c r="HT98" s="92"/>
      <c r="HU98" s="92"/>
      <c r="HV98" s="92"/>
      <c r="HW98" s="92"/>
      <c r="HX98" s="92"/>
      <c r="HY98" s="92"/>
      <c r="HZ98" s="92"/>
      <c r="IA98" s="92"/>
      <c r="IB98" s="92"/>
      <c r="IC98" s="92"/>
      <c r="ID98" s="92"/>
      <c r="IE98" s="92"/>
      <c r="IF98" s="92"/>
      <c r="IG98" s="92"/>
      <c r="IH98" s="92"/>
      <c r="II98" s="92"/>
      <c r="IJ98" s="92"/>
      <c r="IK98" s="92"/>
      <c r="IL98" s="92"/>
      <c r="IM98" s="92"/>
      <c r="IN98" s="92"/>
      <c r="IO98" s="92"/>
      <c r="IP98" s="92"/>
      <c r="IQ98" s="92"/>
      <c r="IR98" s="92"/>
      <c r="IS98" s="92"/>
      <c r="IT98" s="92"/>
      <c r="IU98" s="92"/>
      <c r="IV98" s="92"/>
      <c r="IW98" s="92"/>
      <c r="IX98" s="92"/>
      <c r="IY98" s="92"/>
      <c r="IZ98" s="92"/>
      <c r="JA98" s="92"/>
      <c r="JB98" s="92"/>
      <c r="JC98" s="92"/>
      <c r="JD98" s="92"/>
      <c r="JE98" s="92"/>
      <c r="JF98" s="92"/>
      <c r="JG98" s="92"/>
      <c r="JH98" s="92"/>
      <c r="JI98" s="92"/>
      <c r="JJ98" s="92"/>
      <c r="JK98" s="92"/>
      <c r="JL98" s="92"/>
      <c r="JM98" s="92"/>
      <c r="JN98" s="92"/>
      <c r="JO98" s="92"/>
      <c r="JP98" s="92"/>
      <c r="JQ98" s="92"/>
      <c r="JR98" s="92"/>
      <c r="JS98" s="92"/>
      <c r="JT98" s="92"/>
      <c r="JU98" s="92"/>
      <c r="JV98" s="92"/>
      <c r="JW98" s="92"/>
      <c r="JX98" s="92"/>
      <c r="JY98" s="92"/>
      <c r="JZ98" s="92"/>
      <c r="KA98" s="92"/>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2"/>
      <c r="LA98" s="92"/>
      <c r="LB98" s="92"/>
      <c r="LC98" s="92"/>
      <c r="LD98" s="92"/>
      <c r="LE98" s="92"/>
      <c r="LF98" s="92"/>
      <c r="LG98" s="92"/>
      <c r="LH98" s="92"/>
      <c r="LI98" s="92"/>
      <c r="LJ98" s="92"/>
      <c r="LK98" s="92"/>
      <c r="LL98" s="92"/>
      <c r="LM98" s="92"/>
      <c r="LN98" s="92"/>
      <c r="LO98" s="92"/>
      <c r="LP98" s="92"/>
      <c r="LQ98" s="92"/>
      <c r="LR98" s="92"/>
      <c r="LS98" s="92"/>
      <c r="LT98" s="92"/>
      <c r="LU98" s="92"/>
      <c r="LV98" s="92"/>
      <c r="LW98" s="92"/>
      <c r="LX98" s="92"/>
      <c r="LY98" s="92"/>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2"/>
      <c r="MY98" s="92"/>
      <c r="MZ98" s="92"/>
      <c r="NA98" s="92"/>
      <c r="NB98" s="92"/>
      <c r="NC98" s="92"/>
      <c r="ND98" s="92"/>
      <c r="NE98" s="92"/>
      <c r="NF98" s="92"/>
      <c r="NG98" s="92"/>
      <c r="NH98" s="92"/>
      <c r="NI98" s="92"/>
      <c r="NJ98" s="92"/>
      <c r="NK98" s="92"/>
      <c r="NL98" s="92"/>
      <c r="NM98" s="92"/>
      <c r="NN98" s="92"/>
      <c r="NO98" s="92"/>
      <c r="NP98" s="92"/>
      <c r="NQ98" s="92"/>
      <c r="NR98" s="92"/>
      <c r="NS98" s="92"/>
      <c r="NT98" s="92"/>
      <c r="NU98" s="92"/>
      <c r="NV98" s="92"/>
      <c r="NW98" s="92"/>
      <c r="NX98" s="92"/>
      <c r="NY98" s="92"/>
      <c r="NZ98" s="92"/>
      <c r="OA98" s="92"/>
      <c r="OB98" s="92"/>
      <c r="OC98" s="92"/>
      <c r="OD98" s="92"/>
      <c r="OE98" s="92"/>
      <c r="OF98" s="92"/>
      <c r="OG98" s="92"/>
      <c r="OH98" s="92"/>
      <c r="OI98" s="92"/>
      <c r="OJ98" s="92"/>
      <c r="OK98" s="92"/>
      <c r="OL98" s="92"/>
      <c r="OM98" s="92"/>
      <c r="ON98" s="92"/>
      <c r="OO98" s="92"/>
      <c r="OP98" s="92"/>
      <c r="OQ98" s="92"/>
      <c r="OR98" s="92"/>
      <c r="OS98" s="92"/>
      <c r="OT98" s="92"/>
      <c r="OU98" s="92"/>
      <c r="OV98" s="92"/>
      <c r="OW98" s="92"/>
      <c r="OX98" s="92"/>
      <c r="OY98" s="92"/>
      <c r="OZ98" s="92"/>
      <c r="PA98" s="92"/>
      <c r="PB98" s="92"/>
      <c r="PC98" s="92"/>
      <c r="PD98" s="92"/>
      <c r="PE98" s="92"/>
      <c r="PF98" s="92"/>
      <c r="PG98" s="92"/>
      <c r="PH98" s="92"/>
      <c r="PI98" s="92"/>
      <c r="PJ98" s="92"/>
      <c r="PK98" s="92"/>
      <c r="PL98" s="92"/>
      <c r="PM98" s="92"/>
      <c r="PN98" s="92"/>
      <c r="PO98" s="92"/>
      <c r="PP98" s="92"/>
      <c r="PQ98" s="92"/>
      <c r="PR98" s="92"/>
      <c r="PS98" s="92"/>
      <c r="PT98" s="92"/>
      <c r="PU98" s="92"/>
      <c r="PV98" s="92"/>
      <c r="PW98" s="92"/>
      <c r="PX98" s="92"/>
      <c r="PY98" s="92"/>
      <c r="PZ98" s="92"/>
      <c r="QA98" s="92"/>
      <c r="QB98" s="92"/>
      <c r="QC98" s="92"/>
      <c r="QD98" s="92"/>
      <c r="QE98" s="92"/>
      <c r="QF98" s="92"/>
      <c r="QG98" s="92"/>
      <c r="QH98" s="92"/>
      <c r="QI98" s="92"/>
      <c r="QJ98" s="92"/>
      <c r="QK98" s="92"/>
      <c r="QL98" s="92"/>
      <c r="QM98" s="92"/>
      <c r="QN98" s="92"/>
      <c r="QO98" s="92"/>
    </row>
    <row r="99" spans="1:457">
      <c r="A99" s="83"/>
      <c r="C99" s="106"/>
      <c r="D99" s="101"/>
      <c r="E99" s="101"/>
      <c r="F99" s="101"/>
      <c r="G99" s="101"/>
      <c r="H99" s="101"/>
      <c r="I99" s="101"/>
      <c r="J99" s="101"/>
      <c r="K99" s="101"/>
      <c r="L99" s="101"/>
      <c r="M99" s="101"/>
      <c r="N99" s="101"/>
      <c r="O99" s="102"/>
      <c r="P99" s="101"/>
      <c r="Q99" s="92"/>
      <c r="R99" s="92"/>
      <c r="T99" s="637" t="s">
        <v>211</v>
      </c>
      <c r="U99" s="636">
        <f>AA99</f>
        <v>110.56872597550139</v>
      </c>
      <c r="V99" s="589">
        <f>V103</f>
        <v>274.6264651066474</v>
      </c>
      <c r="W99" s="589">
        <f>W103</f>
        <v>193.95277571410273</v>
      </c>
      <c r="X99" s="636"/>
      <c r="Z99" s="637" t="s">
        <v>211</v>
      </c>
      <c r="AA99" s="636">
        <f t="shared" ref="AA99:AC100" si="63">IF(D21&lt;=0,0,AA18/D21)</f>
        <v>110.56872597550139</v>
      </c>
      <c r="AB99" s="636">
        <f t="shared" si="63"/>
        <v>0</v>
      </c>
      <c r="AC99" s="636">
        <f t="shared" si="63"/>
        <v>0</v>
      </c>
      <c r="AD99" s="636"/>
      <c r="AO99" s="92"/>
      <c r="AP99" s="92"/>
      <c r="AQ99" s="92"/>
      <c r="AR99" s="92"/>
      <c r="AS99" s="92"/>
      <c r="AT99" s="92"/>
      <c r="AU99" s="92"/>
      <c r="AV99" s="92"/>
      <c r="AW99" s="92"/>
      <c r="AX99" s="92"/>
      <c r="AY99" s="92"/>
      <c r="AZ99" s="92"/>
      <c r="BA99" s="92"/>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c r="BZ99" s="92"/>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2"/>
      <c r="CZ99" s="92"/>
      <c r="DA99" s="92"/>
      <c r="DB99" s="92"/>
      <c r="DC99" s="92"/>
      <c r="DD99" s="92"/>
      <c r="DE99" s="92"/>
      <c r="DF99" s="92"/>
      <c r="DG99" s="92"/>
      <c r="DH99" s="92"/>
      <c r="DI99" s="92"/>
      <c r="DJ99" s="92"/>
      <c r="DK99" s="92"/>
      <c r="DL99" s="92"/>
      <c r="DM99" s="92"/>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92"/>
      <c r="EL99" s="92"/>
      <c r="EM99" s="92"/>
      <c r="EN99" s="92"/>
      <c r="EO99" s="92"/>
      <c r="EP99" s="92"/>
      <c r="EQ99" s="92"/>
      <c r="ER99" s="92"/>
      <c r="ES99" s="92"/>
      <c r="ET99" s="92"/>
      <c r="EU99" s="92"/>
      <c r="EV99" s="92"/>
      <c r="EW99" s="92"/>
      <c r="EX99" s="92"/>
      <c r="EY99" s="92"/>
      <c r="EZ99" s="92"/>
      <c r="FA99" s="92"/>
      <c r="FB99" s="92"/>
      <c r="FC99" s="92"/>
      <c r="FD99" s="92"/>
      <c r="FE99" s="92"/>
      <c r="FF99" s="92"/>
      <c r="FG99" s="92"/>
      <c r="FH99" s="92"/>
      <c r="FI99" s="92"/>
      <c r="FJ99" s="92"/>
      <c r="FK99" s="92"/>
      <c r="FL99" s="92"/>
      <c r="FM99" s="92"/>
      <c r="FN99" s="92"/>
      <c r="FO99" s="92"/>
      <c r="FP99" s="92"/>
      <c r="FQ99" s="92"/>
      <c r="FR99" s="92"/>
      <c r="FS99" s="92"/>
      <c r="FT99" s="92"/>
      <c r="FU99" s="92"/>
      <c r="FV99" s="92"/>
      <c r="FW99" s="92"/>
      <c r="FX99" s="92"/>
      <c r="FY99" s="92"/>
      <c r="FZ99" s="92"/>
      <c r="GA99" s="92"/>
      <c r="GB99" s="92"/>
      <c r="GC99" s="92"/>
      <c r="GD99" s="92"/>
      <c r="GE99" s="92"/>
      <c r="GF99" s="92"/>
      <c r="GG99" s="92"/>
      <c r="GH99" s="92"/>
      <c r="GI99" s="92"/>
      <c r="GJ99" s="92"/>
      <c r="GK99" s="92"/>
      <c r="GL99" s="92"/>
      <c r="GM99" s="92"/>
      <c r="GN99" s="92"/>
      <c r="GO99" s="92"/>
      <c r="GP99" s="92"/>
      <c r="GQ99" s="92"/>
      <c r="GR99" s="92"/>
      <c r="GS99" s="92"/>
      <c r="GT99" s="92"/>
      <c r="GU99" s="92"/>
      <c r="GV99" s="92"/>
      <c r="GW99" s="92"/>
      <c r="GX99" s="92"/>
      <c r="GY99" s="92"/>
      <c r="GZ99" s="92"/>
      <c r="HA99" s="92"/>
      <c r="HB99" s="92"/>
      <c r="HC99" s="92"/>
      <c r="HD99" s="92"/>
      <c r="HE99" s="92"/>
      <c r="HF99" s="92"/>
      <c r="HG99" s="92"/>
      <c r="HH99" s="92"/>
      <c r="HI99" s="92"/>
      <c r="HJ99" s="92"/>
      <c r="HK99" s="92"/>
      <c r="HL99" s="92"/>
      <c r="HM99" s="92"/>
      <c r="HN99" s="92"/>
      <c r="HO99" s="92"/>
      <c r="HP99" s="92"/>
      <c r="HQ99" s="92"/>
      <c r="HR99" s="92"/>
      <c r="HS99" s="92"/>
      <c r="HT99" s="92"/>
      <c r="HU99" s="92"/>
      <c r="HV99" s="92"/>
      <c r="HW99" s="92"/>
      <c r="HX99" s="92"/>
      <c r="HY99" s="92"/>
      <c r="HZ99" s="92"/>
      <c r="IA99" s="92"/>
      <c r="IB99" s="92"/>
      <c r="IC99" s="92"/>
      <c r="ID99" s="92"/>
      <c r="IE99" s="92"/>
      <c r="IF99" s="92"/>
      <c r="IG99" s="92"/>
      <c r="IH99" s="92"/>
      <c r="II99" s="92"/>
      <c r="IJ99" s="92"/>
      <c r="IK99" s="92"/>
      <c r="IL99" s="92"/>
      <c r="IM99" s="92"/>
      <c r="IN99" s="92"/>
      <c r="IO99" s="92"/>
      <c r="IP99" s="92"/>
      <c r="IQ99" s="92"/>
      <c r="IR99" s="92"/>
      <c r="IS99" s="92"/>
      <c r="IT99" s="92"/>
      <c r="IU99" s="92"/>
      <c r="IV99" s="92"/>
      <c r="IW99" s="92"/>
      <c r="IX99" s="92"/>
      <c r="IY99" s="92"/>
      <c r="IZ99" s="92"/>
      <c r="JA99" s="92"/>
      <c r="JB99" s="92"/>
      <c r="JC99" s="92"/>
      <c r="JD99" s="92"/>
      <c r="JE99" s="92"/>
      <c r="JF99" s="92"/>
      <c r="JG99" s="92"/>
      <c r="JH99" s="92"/>
      <c r="JI99" s="92"/>
      <c r="JJ99" s="92"/>
      <c r="JK99" s="92"/>
      <c r="JL99" s="92"/>
      <c r="JM99" s="92"/>
      <c r="JN99" s="92"/>
      <c r="JO99" s="92"/>
      <c r="JP99" s="92"/>
      <c r="JQ99" s="92"/>
      <c r="JR99" s="92"/>
      <c r="JS99" s="92"/>
      <c r="JT99" s="92"/>
      <c r="JU99" s="92"/>
      <c r="JV99" s="92"/>
      <c r="JW99" s="92"/>
      <c r="JX99" s="92"/>
      <c r="JY99" s="92"/>
      <c r="JZ99" s="92"/>
      <c r="KA99" s="92"/>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2"/>
      <c r="LA99" s="92"/>
      <c r="LB99" s="92"/>
      <c r="LC99" s="92"/>
      <c r="LD99" s="92"/>
      <c r="LE99" s="92"/>
      <c r="LF99" s="92"/>
      <c r="LG99" s="92"/>
      <c r="LH99" s="92"/>
      <c r="LI99" s="92"/>
      <c r="LJ99" s="92"/>
      <c r="LK99" s="92"/>
      <c r="LL99" s="92"/>
      <c r="LM99" s="92"/>
      <c r="LN99" s="92"/>
      <c r="LO99" s="92"/>
      <c r="LP99" s="92"/>
      <c r="LQ99" s="92"/>
      <c r="LR99" s="92"/>
      <c r="LS99" s="92"/>
      <c r="LT99" s="92"/>
      <c r="LU99" s="92"/>
      <c r="LV99" s="92"/>
      <c r="LW99" s="92"/>
      <c r="LX99" s="92"/>
      <c r="LY99" s="92"/>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2"/>
      <c r="MY99" s="92"/>
      <c r="MZ99" s="92"/>
      <c r="NA99" s="92"/>
      <c r="NB99" s="92"/>
      <c r="NC99" s="92"/>
      <c r="ND99" s="92"/>
      <c r="NE99" s="92"/>
      <c r="NF99" s="92"/>
      <c r="NG99" s="92"/>
      <c r="NH99" s="92"/>
      <c r="NI99" s="92"/>
      <c r="NJ99" s="92"/>
      <c r="NK99" s="92"/>
      <c r="NL99" s="92"/>
      <c r="NM99" s="92"/>
      <c r="NN99" s="92"/>
      <c r="NO99" s="92"/>
      <c r="NP99" s="92"/>
      <c r="NQ99" s="92"/>
      <c r="NR99" s="92"/>
      <c r="NS99" s="92"/>
      <c r="NT99" s="92"/>
      <c r="NU99" s="92"/>
      <c r="NV99" s="92"/>
      <c r="NW99" s="92"/>
      <c r="NX99" s="92"/>
      <c r="NY99" s="92"/>
      <c r="NZ99" s="92"/>
      <c r="OA99" s="92"/>
      <c r="OB99" s="92"/>
      <c r="OC99" s="92"/>
      <c r="OD99" s="92"/>
      <c r="OE99" s="92"/>
      <c r="OF99" s="92"/>
      <c r="OG99" s="92"/>
      <c r="OH99" s="92"/>
      <c r="OI99" s="92"/>
      <c r="OJ99" s="92"/>
      <c r="OK99" s="92"/>
      <c r="OL99" s="92"/>
      <c r="OM99" s="92"/>
      <c r="ON99" s="92"/>
      <c r="OO99" s="92"/>
      <c r="OP99" s="92"/>
      <c r="OQ99" s="92"/>
      <c r="OR99" s="92"/>
      <c r="OS99" s="92"/>
      <c r="OT99" s="92"/>
      <c r="OU99" s="92"/>
      <c r="OV99" s="92"/>
      <c r="OW99" s="92"/>
      <c r="OX99" s="92"/>
      <c r="OY99" s="92"/>
      <c r="OZ99" s="92"/>
      <c r="PA99" s="92"/>
      <c r="PB99" s="92"/>
      <c r="PC99" s="92"/>
      <c r="PD99" s="92"/>
      <c r="PE99" s="92"/>
      <c r="PF99" s="92"/>
      <c r="PG99" s="92"/>
      <c r="PH99" s="92"/>
      <c r="PI99" s="92"/>
      <c r="PJ99" s="92"/>
      <c r="PK99" s="92"/>
      <c r="PL99" s="92"/>
      <c r="PM99" s="92"/>
      <c r="PN99" s="92"/>
      <c r="PO99" s="92"/>
      <c r="PP99" s="92"/>
      <c r="PQ99" s="92"/>
      <c r="PR99" s="92"/>
      <c r="PS99" s="92"/>
      <c r="PT99" s="92"/>
      <c r="PU99" s="92"/>
      <c r="PV99" s="92"/>
      <c r="PW99" s="92"/>
      <c r="PX99" s="92"/>
      <c r="PY99" s="92"/>
      <c r="PZ99" s="92"/>
      <c r="QA99" s="92"/>
      <c r="QB99" s="92"/>
      <c r="QC99" s="92"/>
      <c r="QD99" s="92"/>
      <c r="QE99" s="92"/>
      <c r="QF99" s="92"/>
      <c r="QG99" s="92"/>
      <c r="QH99" s="92"/>
      <c r="QI99" s="92"/>
      <c r="QJ99" s="92"/>
      <c r="QK99" s="92"/>
      <c r="QL99" s="92"/>
      <c r="QM99" s="92"/>
      <c r="QN99" s="92"/>
      <c r="QO99" s="92"/>
    </row>
    <row r="100" spans="1:457">
      <c r="A100" s="83"/>
      <c r="C100" s="106"/>
      <c r="D100" s="101"/>
      <c r="E100" s="101"/>
      <c r="F100" s="101"/>
      <c r="G100" s="101"/>
      <c r="H100" s="101"/>
      <c r="I100" s="101"/>
      <c r="J100" s="101"/>
      <c r="K100" s="101"/>
      <c r="L100" s="101"/>
      <c r="M100" s="101"/>
      <c r="N100" s="101"/>
      <c r="O100" s="102"/>
      <c r="P100" s="101"/>
      <c r="Q100" s="92"/>
      <c r="R100" s="92"/>
      <c r="T100" s="637" t="s">
        <v>944</v>
      </c>
      <c r="U100" s="636">
        <f t="shared" ref="U100:U103" si="64">AA100</f>
        <v>1107.7244518070142</v>
      </c>
      <c r="V100" s="589">
        <f>V103</f>
        <v>274.6264651066474</v>
      </c>
      <c r="W100" s="589">
        <f>W103</f>
        <v>193.95277571410273</v>
      </c>
      <c r="X100" s="636"/>
      <c r="Z100" s="637" t="s">
        <v>944</v>
      </c>
      <c r="AA100" s="636">
        <f t="shared" si="63"/>
        <v>1107.7244518070142</v>
      </c>
      <c r="AB100" s="636">
        <f t="shared" si="63"/>
        <v>0</v>
      </c>
      <c r="AC100" s="636">
        <f t="shared" si="63"/>
        <v>0</v>
      </c>
      <c r="AD100" s="636"/>
      <c r="AO100" s="92"/>
      <c r="AP100" s="92"/>
      <c r="AQ100" s="92"/>
      <c r="AR100" s="92"/>
      <c r="AS100" s="92"/>
      <c r="AT100" s="92"/>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2"/>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2"/>
      <c r="CZ100" s="92"/>
      <c r="DA100" s="92"/>
      <c r="DB100" s="92"/>
      <c r="DC100" s="92"/>
      <c r="DD100" s="92"/>
      <c r="DE100" s="92"/>
      <c r="DF100" s="92"/>
      <c r="DG100" s="92"/>
      <c r="DH100" s="92"/>
      <c r="DI100" s="92"/>
      <c r="DJ100" s="92"/>
      <c r="DK100" s="92"/>
      <c r="DL100" s="92"/>
      <c r="DM100" s="92"/>
      <c r="DN100" s="92"/>
      <c r="DO100" s="92"/>
      <c r="DP100" s="92"/>
      <c r="DQ100" s="92"/>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2"/>
      <c r="EN100" s="92"/>
      <c r="EO100" s="92"/>
      <c r="EP100" s="92"/>
      <c r="EQ100" s="92"/>
      <c r="ER100" s="92"/>
      <c r="ES100" s="92"/>
      <c r="ET100" s="92"/>
      <c r="EU100" s="92"/>
      <c r="EV100" s="92"/>
      <c r="EW100" s="92"/>
      <c r="EX100" s="92"/>
      <c r="EY100" s="92"/>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2"/>
      <c r="FV100" s="92"/>
      <c r="FW100" s="92"/>
      <c r="FX100" s="92"/>
      <c r="FY100" s="92"/>
      <c r="FZ100" s="92"/>
      <c r="GA100" s="92"/>
      <c r="GB100" s="92"/>
      <c r="GC100" s="92"/>
      <c r="GD100" s="92"/>
      <c r="GE100" s="92"/>
      <c r="GF100" s="92"/>
      <c r="GG100" s="92"/>
      <c r="GH100" s="92"/>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2"/>
      <c r="HE100" s="92"/>
      <c r="HF100" s="92"/>
      <c r="HG100" s="92"/>
      <c r="HH100" s="92"/>
      <c r="HI100" s="92"/>
      <c r="HJ100" s="92"/>
      <c r="HK100" s="92"/>
      <c r="HL100" s="92"/>
      <c r="HM100" s="92"/>
      <c r="HN100" s="92"/>
      <c r="HO100" s="92"/>
      <c r="HP100" s="92"/>
      <c r="HQ100" s="92"/>
      <c r="HR100" s="92"/>
      <c r="HS100" s="92"/>
      <c r="HT100" s="92"/>
      <c r="HU100" s="92"/>
      <c r="HV100" s="92"/>
      <c r="HW100" s="92"/>
      <c r="HX100" s="92"/>
      <c r="HY100" s="92"/>
      <c r="HZ100" s="92"/>
      <c r="IA100" s="92"/>
      <c r="IB100" s="92"/>
      <c r="IC100" s="92"/>
      <c r="ID100" s="92"/>
      <c r="IE100" s="92"/>
      <c r="IF100" s="92"/>
      <c r="IG100" s="92"/>
      <c r="IH100" s="92"/>
      <c r="II100" s="92"/>
      <c r="IJ100" s="92"/>
      <c r="IK100" s="92"/>
      <c r="IL100" s="92"/>
      <c r="IM100" s="92"/>
      <c r="IN100" s="92"/>
      <c r="IO100" s="92"/>
      <c r="IP100" s="92"/>
      <c r="IQ100" s="92"/>
      <c r="IR100" s="92"/>
      <c r="IS100" s="92"/>
      <c r="IT100" s="92"/>
      <c r="IU100" s="92"/>
      <c r="IV100" s="92"/>
      <c r="IW100" s="92"/>
      <c r="IX100" s="92"/>
      <c r="IY100" s="92"/>
      <c r="IZ100" s="92"/>
      <c r="JA100" s="92"/>
      <c r="JB100" s="92"/>
      <c r="JC100" s="92"/>
      <c r="JD100" s="92"/>
      <c r="JE100" s="92"/>
      <c r="JF100" s="92"/>
      <c r="JG100" s="92"/>
      <c r="JH100" s="92"/>
      <c r="JI100" s="92"/>
      <c r="JJ100" s="92"/>
      <c r="JK100" s="92"/>
      <c r="JL100" s="92"/>
      <c r="JM100" s="92"/>
      <c r="JN100" s="92"/>
      <c r="JO100" s="92"/>
      <c r="JP100" s="92"/>
      <c r="JQ100" s="92"/>
      <c r="JR100" s="92"/>
      <c r="JS100" s="92"/>
      <c r="JT100" s="92"/>
      <c r="JU100" s="92"/>
      <c r="JV100" s="92"/>
      <c r="JW100" s="92"/>
      <c r="JX100" s="92"/>
      <c r="JY100" s="92"/>
      <c r="JZ100" s="92"/>
      <c r="KA100" s="92"/>
      <c r="KB100" s="92"/>
      <c r="KC100" s="92"/>
      <c r="KD100" s="92"/>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2"/>
      <c r="LA100" s="92"/>
      <c r="LB100" s="92"/>
      <c r="LC100" s="92"/>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2"/>
      <c r="LZ100" s="92"/>
      <c r="MA100" s="92"/>
      <c r="MB100" s="92"/>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2"/>
      <c r="MY100" s="92"/>
      <c r="MZ100" s="92"/>
      <c r="NA100" s="92"/>
      <c r="NB100" s="92"/>
      <c r="NC100" s="92"/>
      <c r="ND100" s="92"/>
      <c r="NE100" s="92"/>
      <c r="NF100" s="92"/>
      <c r="NG100" s="92"/>
      <c r="NH100" s="92"/>
      <c r="NI100" s="92"/>
      <c r="NJ100" s="92"/>
      <c r="NK100" s="92"/>
      <c r="NL100" s="92"/>
      <c r="NM100" s="92"/>
      <c r="NN100" s="92"/>
      <c r="NO100" s="92"/>
      <c r="NP100" s="92"/>
      <c r="NQ100" s="92"/>
      <c r="NR100" s="92"/>
      <c r="NS100" s="92"/>
      <c r="NT100" s="92"/>
      <c r="NU100" s="92"/>
      <c r="NV100" s="92"/>
      <c r="NW100" s="92"/>
      <c r="NX100" s="92"/>
      <c r="NY100" s="92"/>
      <c r="NZ100" s="92"/>
      <c r="OA100" s="92"/>
      <c r="OB100" s="92"/>
      <c r="OC100" s="92"/>
      <c r="OD100" s="92"/>
      <c r="OE100" s="92"/>
      <c r="OF100" s="92"/>
      <c r="OG100" s="92"/>
      <c r="OH100" s="92"/>
      <c r="OI100" s="92"/>
      <c r="OJ100" s="92"/>
      <c r="OK100" s="92"/>
      <c r="OL100" s="92"/>
      <c r="OM100" s="92"/>
      <c r="ON100" s="92"/>
      <c r="OO100" s="92"/>
      <c r="OP100" s="92"/>
      <c r="OQ100" s="92"/>
      <c r="OR100" s="92"/>
      <c r="OS100" s="92"/>
      <c r="OT100" s="92"/>
      <c r="OU100" s="92"/>
      <c r="OV100" s="92"/>
      <c r="OW100" s="92"/>
      <c r="OX100" s="92"/>
      <c r="OY100" s="92"/>
      <c r="OZ100" s="92"/>
      <c r="PA100" s="92"/>
      <c r="PB100" s="92"/>
      <c r="PC100" s="92"/>
      <c r="PD100" s="92"/>
      <c r="PE100" s="92"/>
      <c r="PF100" s="92"/>
      <c r="PG100" s="92"/>
      <c r="PH100" s="92"/>
      <c r="PI100" s="92"/>
      <c r="PJ100" s="92"/>
      <c r="PK100" s="92"/>
      <c r="PL100" s="92"/>
      <c r="PM100" s="92"/>
      <c r="PN100" s="92"/>
      <c r="PO100" s="92"/>
      <c r="PP100" s="92"/>
      <c r="PQ100" s="92"/>
      <c r="PR100" s="92"/>
      <c r="PS100" s="92"/>
      <c r="PT100" s="92"/>
      <c r="PU100" s="92"/>
      <c r="PV100" s="92"/>
      <c r="PW100" s="92"/>
      <c r="PX100" s="92"/>
      <c r="PY100" s="92"/>
      <c r="PZ100" s="92"/>
      <c r="QA100" s="92"/>
      <c r="QB100" s="92"/>
      <c r="QC100" s="92"/>
      <c r="QD100" s="92"/>
      <c r="QE100" s="92"/>
      <c r="QF100" s="92"/>
      <c r="QG100" s="92"/>
      <c r="QH100" s="92"/>
      <c r="QI100" s="92"/>
      <c r="QJ100" s="92"/>
      <c r="QK100" s="92"/>
      <c r="QL100" s="92"/>
      <c r="QM100" s="92"/>
      <c r="QN100" s="92"/>
      <c r="QO100" s="92"/>
    </row>
    <row r="101" spans="1:457">
      <c r="A101" s="83"/>
      <c r="C101" s="106"/>
      <c r="D101" s="101"/>
      <c r="E101" s="101"/>
      <c r="F101" s="101"/>
      <c r="G101" s="101"/>
      <c r="H101" s="101"/>
      <c r="I101" s="101"/>
      <c r="J101" s="101"/>
      <c r="K101" s="101"/>
      <c r="L101" s="101"/>
      <c r="M101" s="101"/>
      <c r="N101" s="101"/>
      <c r="O101" s="102"/>
      <c r="P101" s="101"/>
      <c r="Q101" s="92"/>
      <c r="R101" s="92"/>
      <c r="T101" s="101" t="s">
        <v>214</v>
      </c>
      <c r="U101" s="636">
        <f t="shared" si="64"/>
        <v>1054.0791419931375</v>
      </c>
      <c r="V101" s="636">
        <f t="shared" ref="V101:V103" si="65">AB101</f>
        <v>222.99403442371815</v>
      </c>
      <c r="W101" s="636">
        <f t="shared" ref="W101:W103" si="66">AC101</f>
        <v>1610.6158601134225</v>
      </c>
      <c r="X101" s="636"/>
      <c r="Z101" s="101" t="s">
        <v>214</v>
      </c>
      <c r="AA101" s="636">
        <f t="shared" ref="AA101:AC102" si="67">IF(D16&lt;=0,0,AA21/D16)</f>
        <v>1054.0791419931375</v>
      </c>
      <c r="AB101" s="636">
        <f t="shared" si="67"/>
        <v>222.99403442371815</v>
      </c>
      <c r="AC101" s="636">
        <f t="shared" si="67"/>
        <v>1610.6158601134225</v>
      </c>
      <c r="AD101" s="636"/>
      <c r="AO101" s="92"/>
      <c r="AP101" s="92"/>
      <c r="AQ101" s="92"/>
      <c r="AR101" s="92"/>
      <c r="AS101" s="92"/>
      <c r="AT101" s="92"/>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2"/>
      <c r="CA101" s="92"/>
      <c r="CB101" s="92"/>
      <c r="CC101" s="92"/>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2"/>
      <c r="CZ101" s="92"/>
      <c r="DA101" s="92"/>
      <c r="DB101" s="92"/>
      <c r="DC101" s="92"/>
      <c r="DD101" s="92"/>
      <c r="DE101" s="92"/>
      <c r="DF101" s="92"/>
      <c r="DG101" s="92"/>
      <c r="DH101" s="92"/>
      <c r="DI101" s="92"/>
      <c r="DJ101" s="92"/>
      <c r="DK101" s="92"/>
      <c r="DL101" s="92"/>
      <c r="DM101" s="92"/>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2"/>
      <c r="EN101" s="92"/>
      <c r="EO101" s="92"/>
      <c r="EP101" s="92"/>
      <c r="EQ101" s="92"/>
      <c r="ER101" s="92"/>
      <c r="ES101" s="92"/>
      <c r="ET101" s="92"/>
      <c r="EU101" s="92"/>
      <c r="EV101" s="92"/>
      <c r="EW101" s="92"/>
      <c r="EX101" s="92"/>
      <c r="EY101" s="92"/>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2"/>
      <c r="FV101" s="92"/>
      <c r="FW101" s="92"/>
      <c r="FX101" s="92"/>
      <c r="FY101" s="92"/>
      <c r="FZ101" s="92"/>
      <c r="GA101" s="92"/>
      <c r="GB101" s="92"/>
      <c r="GC101" s="92"/>
      <c r="GD101" s="92"/>
      <c r="GE101" s="92"/>
      <c r="GF101" s="92"/>
      <c r="GG101" s="92"/>
      <c r="GH101" s="92"/>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2"/>
      <c r="HN101" s="92"/>
      <c r="HO101" s="92"/>
      <c r="HP101" s="92"/>
      <c r="HQ101" s="92"/>
      <c r="HR101" s="92"/>
      <c r="HS101" s="92"/>
      <c r="HT101" s="92"/>
      <c r="HU101" s="92"/>
      <c r="HV101" s="92"/>
      <c r="HW101" s="92"/>
      <c r="HX101" s="92"/>
      <c r="HY101" s="92"/>
      <c r="HZ101" s="92"/>
      <c r="IA101" s="92"/>
      <c r="IB101" s="92"/>
      <c r="IC101" s="92"/>
      <c r="ID101" s="92"/>
      <c r="IE101" s="92"/>
      <c r="IF101" s="92"/>
      <c r="IG101" s="92"/>
      <c r="IH101" s="92"/>
      <c r="II101" s="92"/>
      <c r="IJ101" s="92"/>
      <c r="IK101" s="92"/>
      <c r="IL101" s="92"/>
      <c r="IM101" s="92"/>
      <c r="IN101" s="92"/>
      <c r="IO101" s="92"/>
      <c r="IP101" s="92"/>
      <c r="IQ101" s="92"/>
      <c r="IR101" s="92"/>
      <c r="IS101" s="92"/>
      <c r="IT101" s="92"/>
      <c r="IU101" s="92"/>
      <c r="IV101" s="92"/>
      <c r="IW101" s="92"/>
      <c r="IX101" s="92"/>
      <c r="IY101" s="92"/>
      <c r="IZ101" s="92"/>
      <c r="JA101" s="92"/>
      <c r="JB101" s="92"/>
      <c r="JC101" s="92"/>
      <c r="JD101" s="92"/>
      <c r="JE101" s="92"/>
      <c r="JF101" s="92"/>
      <c r="JG101" s="92"/>
      <c r="JH101" s="92"/>
      <c r="JI101" s="92"/>
      <c r="JJ101" s="92"/>
      <c r="JK101" s="92"/>
      <c r="JL101" s="92"/>
      <c r="JM101" s="92"/>
      <c r="JN101" s="92"/>
      <c r="JO101" s="92"/>
      <c r="JP101" s="92"/>
      <c r="JQ101" s="92"/>
      <c r="JR101" s="92"/>
      <c r="JS101" s="92"/>
      <c r="JT101" s="92"/>
      <c r="JU101" s="92"/>
      <c r="JV101" s="92"/>
      <c r="JW101" s="92"/>
      <c r="JX101" s="92"/>
      <c r="JY101" s="92"/>
      <c r="JZ101" s="92"/>
      <c r="KA101" s="92"/>
      <c r="KB101" s="92"/>
      <c r="KC101" s="92"/>
      <c r="KD101" s="92"/>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2"/>
      <c r="LA101" s="92"/>
      <c r="LB101" s="92"/>
      <c r="LC101" s="92"/>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2"/>
      <c r="LZ101" s="92"/>
      <c r="MA101" s="92"/>
      <c r="MB101" s="92"/>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2"/>
      <c r="MY101" s="92"/>
      <c r="MZ101" s="92"/>
      <c r="NA101" s="92"/>
      <c r="NB101" s="92"/>
      <c r="NC101" s="92"/>
      <c r="ND101" s="92"/>
      <c r="NE101" s="92"/>
      <c r="NF101" s="92"/>
      <c r="NG101" s="92"/>
      <c r="NH101" s="92"/>
      <c r="NI101" s="92"/>
      <c r="NJ101" s="92"/>
      <c r="NK101" s="92"/>
      <c r="NL101" s="92"/>
      <c r="NM101" s="92"/>
      <c r="NN101" s="92"/>
      <c r="NO101" s="92"/>
      <c r="NP101" s="92"/>
      <c r="NQ101" s="92"/>
      <c r="NR101" s="92"/>
      <c r="NS101" s="92"/>
      <c r="NT101" s="92"/>
      <c r="NU101" s="92"/>
      <c r="NV101" s="92"/>
      <c r="NW101" s="92"/>
      <c r="NX101" s="92"/>
      <c r="NY101" s="92"/>
      <c r="NZ101" s="92"/>
      <c r="OA101" s="92"/>
      <c r="OB101" s="92"/>
      <c r="OC101" s="92"/>
      <c r="OD101" s="92"/>
      <c r="OE101" s="92"/>
      <c r="OF101" s="92"/>
      <c r="OG101" s="92"/>
      <c r="OH101" s="92"/>
      <c r="OI101" s="92"/>
      <c r="OJ101" s="92"/>
      <c r="OK101" s="92"/>
      <c r="OL101" s="92"/>
      <c r="OM101" s="92"/>
      <c r="ON101" s="92"/>
      <c r="OO101" s="92"/>
      <c r="OP101" s="92"/>
      <c r="OQ101" s="92"/>
      <c r="OR101" s="92"/>
      <c r="OS101" s="92"/>
      <c r="OT101" s="92"/>
      <c r="OU101" s="92"/>
      <c r="OV101" s="92"/>
      <c r="OW101" s="92"/>
      <c r="OX101" s="92"/>
      <c r="OY101" s="92"/>
      <c r="OZ101" s="92"/>
      <c r="PA101" s="92"/>
      <c r="PB101" s="92"/>
      <c r="PC101" s="92"/>
      <c r="PD101" s="92"/>
      <c r="PE101" s="92"/>
      <c r="PF101" s="92"/>
      <c r="PG101" s="92"/>
      <c r="PH101" s="92"/>
      <c r="PI101" s="92"/>
      <c r="PJ101" s="92"/>
      <c r="PK101" s="92"/>
      <c r="PL101" s="92"/>
      <c r="PM101" s="92"/>
      <c r="PN101" s="92"/>
      <c r="PO101" s="92"/>
      <c r="PP101" s="92"/>
      <c r="PQ101" s="92"/>
      <c r="PR101" s="92"/>
      <c r="PS101" s="92"/>
      <c r="PT101" s="92"/>
      <c r="PU101" s="92"/>
      <c r="PV101" s="92"/>
      <c r="PW101" s="92"/>
      <c r="PX101" s="92"/>
      <c r="PY101" s="92"/>
      <c r="PZ101" s="92"/>
      <c r="QA101" s="92"/>
      <c r="QB101" s="92"/>
      <c r="QC101" s="92"/>
      <c r="QD101" s="92"/>
      <c r="QE101" s="92"/>
      <c r="QF101" s="92"/>
      <c r="QG101" s="92"/>
      <c r="QH101" s="92"/>
      <c r="QI101" s="92"/>
      <c r="QJ101" s="92"/>
      <c r="QK101" s="92"/>
      <c r="QL101" s="92"/>
      <c r="QM101" s="92"/>
      <c r="QN101" s="92"/>
      <c r="QO101" s="92"/>
    </row>
    <row r="102" spans="1:457">
      <c r="A102" s="83"/>
      <c r="C102" s="106"/>
      <c r="D102" s="101"/>
      <c r="E102" s="101"/>
      <c r="F102" s="101"/>
      <c r="G102" s="101"/>
      <c r="H102" s="101"/>
      <c r="I102" s="101"/>
      <c r="J102" s="101"/>
      <c r="K102" s="101"/>
      <c r="L102" s="101"/>
      <c r="M102" s="101"/>
      <c r="N102" s="101"/>
      <c r="O102" s="102"/>
      <c r="P102" s="101"/>
      <c r="Q102" s="92"/>
      <c r="R102" s="92"/>
      <c r="T102" s="189" t="s">
        <v>542</v>
      </c>
      <c r="U102" s="589">
        <f>U101</f>
        <v>1054.0791419931375</v>
      </c>
      <c r="V102" s="589">
        <f>V101</f>
        <v>222.99403442371815</v>
      </c>
      <c r="W102" s="636">
        <f t="shared" si="66"/>
        <v>434.92859066024471</v>
      </c>
      <c r="X102" s="636"/>
      <c r="Z102" s="189" t="s">
        <v>542</v>
      </c>
      <c r="AA102" s="636">
        <f t="shared" si="67"/>
        <v>0</v>
      </c>
      <c r="AB102" s="636">
        <f t="shared" si="67"/>
        <v>0</v>
      </c>
      <c r="AC102" s="636">
        <f t="shared" si="67"/>
        <v>434.92859066024471</v>
      </c>
      <c r="AD102" s="636"/>
      <c r="AO102" s="92"/>
      <c r="AP102" s="92"/>
      <c r="AQ102" s="92"/>
      <c r="AR102" s="92"/>
      <c r="AS102" s="92"/>
      <c r="AT102" s="92"/>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2"/>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2"/>
      <c r="CZ102" s="92"/>
      <c r="DA102" s="92"/>
      <c r="DB102" s="92"/>
      <c r="DC102" s="92"/>
      <c r="DD102" s="92"/>
      <c r="DE102" s="92"/>
      <c r="DF102" s="92"/>
      <c r="DG102" s="92"/>
      <c r="DH102" s="92"/>
      <c r="DI102" s="92"/>
      <c r="DJ102" s="92"/>
      <c r="DK102" s="92"/>
      <c r="DL102" s="92"/>
      <c r="DM102" s="92"/>
      <c r="DN102" s="92"/>
      <c r="DO102" s="92"/>
      <c r="DP102" s="92"/>
      <c r="DQ102" s="92"/>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2"/>
      <c r="EN102" s="92"/>
      <c r="EO102" s="92"/>
      <c r="EP102" s="92"/>
      <c r="EQ102" s="92"/>
      <c r="ER102" s="92"/>
      <c r="ES102" s="92"/>
      <c r="ET102" s="92"/>
      <c r="EU102" s="92"/>
      <c r="EV102" s="92"/>
      <c r="EW102" s="92"/>
      <c r="EX102" s="92"/>
      <c r="EY102" s="92"/>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2"/>
      <c r="FV102" s="92"/>
      <c r="FW102" s="92"/>
      <c r="FX102" s="92"/>
      <c r="FY102" s="92"/>
      <c r="FZ102" s="92"/>
      <c r="GA102" s="92"/>
      <c r="GB102" s="92"/>
      <c r="GC102" s="92"/>
      <c r="GD102" s="92"/>
      <c r="GE102" s="92"/>
      <c r="GF102" s="92"/>
      <c r="GG102" s="92"/>
      <c r="GH102" s="92"/>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2"/>
      <c r="HN102" s="92"/>
      <c r="HO102" s="92"/>
      <c r="HP102" s="92"/>
      <c r="HQ102" s="92"/>
      <c r="HR102" s="92"/>
      <c r="HS102" s="92"/>
      <c r="HT102" s="92"/>
      <c r="HU102" s="92"/>
      <c r="HV102" s="92"/>
      <c r="HW102" s="92"/>
      <c r="HX102" s="92"/>
      <c r="HY102" s="92"/>
      <c r="HZ102" s="92"/>
      <c r="IA102" s="92"/>
      <c r="IB102" s="92"/>
      <c r="IC102" s="92"/>
      <c r="ID102" s="92"/>
      <c r="IE102" s="92"/>
      <c r="IF102" s="92"/>
      <c r="IG102" s="92"/>
      <c r="IH102" s="92"/>
      <c r="II102" s="92"/>
      <c r="IJ102" s="92"/>
      <c r="IK102" s="92"/>
      <c r="IL102" s="92"/>
      <c r="IM102" s="92"/>
      <c r="IN102" s="92"/>
      <c r="IO102" s="92"/>
      <c r="IP102" s="92"/>
      <c r="IQ102" s="92"/>
      <c r="IR102" s="92"/>
      <c r="IS102" s="92"/>
      <c r="IT102" s="92"/>
      <c r="IU102" s="92"/>
      <c r="IV102" s="92"/>
      <c r="IW102" s="92"/>
      <c r="IX102" s="92"/>
      <c r="IY102" s="92"/>
      <c r="IZ102" s="92"/>
      <c r="JA102" s="92"/>
      <c r="JB102" s="92"/>
      <c r="JC102" s="92"/>
      <c r="JD102" s="92"/>
      <c r="JE102" s="92"/>
      <c r="JF102" s="92"/>
      <c r="JG102" s="92"/>
      <c r="JH102" s="92"/>
      <c r="JI102" s="92"/>
      <c r="JJ102" s="92"/>
      <c r="JK102" s="92"/>
      <c r="JL102" s="92"/>
      <c r="JM102" s="92"/>
      <c r="JN102" s="92"/>
      <c r="JO102" s="92"/>
      <c r="JP102" s="92"/>
      <c r="JQ102" s="92"/>
      <c r="JR102" s="92"/>
      <c r="JS102" s="92"/>
      <c r="JT102" s="92"/>
      <c r="JU102" s="92"/>
      <c r="JV102" s="92"/>
      <c r="JW102" s="92"/>
      <c r="JX102" s="92"/>
      <c r="JY102" s="92"/>
      <c r="JZ102" s="92"/>
      <c r="KA102" s="92"/>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2"/>
      <c r="LA102" s="92"/>
      <c r="LB102" s="92"/>
      <c r="LC102" s="92"/>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2"/>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2"/>
      <c r="MY102" s="92"/>
      <c r="MZ102" s="92"/>
      <c r="NA102" s="92"/>
      <c r="NB102" s="92"/>
      <c r="NC102" s="92"/>
      <c r="ND102" s="92"/>
      <c r="NE102" s="92"/>
      <c r="NF102" s="92"/>
      <c r="NG102" s="92"/>
      <c r="NH102" s="92"/>
      <c r="NI102" s="92"/>
      <c r="NJ102" s="92"/>
      <c r="NK102" s="92"/>
      <c r="NL102" s="92"/>
      <c r="NM102" s="92"/>
      <c r="NN102" s="92"/>
      <c r="NO102" s="92"/>
      <c r="NP102" s="92"/>
      <c r="NQ102" s="92"/>
      <c r="NR102" s="92"/>
      <c r="NS102" s="92"/>
      <c r="NT102" s="92"/>
      <c r="NU102" s="92"/>
      <c r="NV102" s="92"/>
      <c r="NW102" s="92"/>
      <c r="NX102" s="92"/>
      <c r="NY102" s="92"/>
      <c r="NZ102" s="92"/>
      <c r="OA102" s="92"/>
      <c r="OB102" s="92"/>
      <c r="OC102" s="92"/>
      <c r="OD102" s="92"/>
      <c r="OE102" s="92"/>
      <c r="OF102" s="92"/>
      <c r="OG102" s="92"/>
      <c r="OH102" s="92"/>
      <c r="OI102" s="92"/>
      <c r="OJ102" s="92"/>
      <c r="OK102" s="92"/>
      <c r="OL102" s="92"/>
      <c r="OM102" s="92"/>
      <c r="ON102" s="92"/>
      <c r="OO102" s="92"/>
      <c r="OP102" s="92"/>
      <c r="OQ102" s="92"/>
      <c r="OR102" s="92"/>
      <c r="OS102" s="92"/>
      <c r="OT102" s="92"/>
      <c r="OU102" s="92"/>
      <c r="OV102" s="92"/>
      <c r="OW102" s="92"/>
      <c r="OX102" s="92"/>
      <c r="OY102" s="92"/>
      <c r="OZ102" s="92"/>
      <c r="PA102" s="92"/>
      <c r="PB102" s="92"/>
      <c r="PC102" s="92"/>
      <c r="PD102" s="92"/>
      <c r="PE102" s="92"/>
      <c r="PF102" s="92"/>
      <c r="PG102" s="92"/>
      <c r="PH102" s="92"/>
      <c r="PI102" s="92"/>
      <c r="PJ102" s="92"/>
      <c r="PK102" s="92"/>
      <c r="PL102" s="92"/>
      <c r="PM102" s="92"/>
      <c r="PN102" s="92"/>
      <c r="PO102" s="92"/>
      <c r="PP102" s="92"/>
      <c r="PQ102" s="92"/>
      <c r="PR102" s="92"/>
      <c r="PS102" s="92"/>
      <c r="PT102" s="92"/>
      <c r="PU102" s="92"/>
      <c r="PV102" s="92"/>
      <c r="PW102" s="92"/>
      <c r="PX102" s="92"/>
      <c r="PY102" s="92"/>
      <c r="PZ102" s="92"/>
      <c r="QA102" s="92"/>
      <c r="QB102" s="92"/>
      <c r="QC102" s="92"/>
      <c r="QD102" s="92"/>
      <c r="QE102" s="92"/>
      <c r="QF102" s="92"/>
      <c r="QG102" s="92"/>
      <c r="QH102" s="92"/>
      <c r="QI102" s="92"/>
      <c r="QJ102" s="92"/>
      <c r="QK102" s="92"/>
      <c r="QL102" s="92"/>
      <c r="QM102" s="92"/>
      <c r="QN102" s="92"/>
      <c r="QO102" s="92"/>
    </row>
    <row r="103" spans="1:457">
      <c r="A103" s="83"/>
      <c r="C103" s="106"/>
      <c r="D103" s="79"/>
      <c r="E103" s="79"/>
      <c r="F103" s="79"/>
      <c r="G103" s="79"/>
      <c r="H103" s="79"/>
      <c r="I103" s="79"/>
      <c r="J103" s="79"/>
      <c r="K103" s="79"/>
      <c r="L103" s="79"/>
      <c r="M103" s="79"/>
      <c r="N103" s="79"/>
      <c r="O103" s="102"/>
      <c r="P103" s="52"/>
      <c r="Q103" s="92"/>
      <c r="R103" s="92"/>
      <c r="T103" s="637" t="s">
        <v>945</v>
      </c>
      <c r="U103" s="636">
        <f t="shared" si="64"/>
        <v>286.24251829556096</v>
      </c>
      <c r="V103" s="636">
        <f t="shared" si="65"/>
        <v>274.6264651066474</v>
      </c>
      <c r="W103" s="636">
        <f t="shared" si="66"/>
        <v>193.95277571410273</v>
      </c>
      <c r="X103" s="636"/>
      <c r="Z103" s="637" t="s">
        <v>945</v>
      </c>
      <c r="AA103" s="636">
        <f>IF(SUM(D18,D23)&lt;=0,0,AA27/SUM(D18,D23))</f>
        <v>286.24251829556096</v>
      </c>
      <c r="AB103" s="636">
        <f>IF(SUM(E18,E23)&lt;=0,0,AB27/SUM(E18,E23))</f>
        <v>274.6264651066474</v>
      </c>
      <c r="AC103" s="636">
        <f>IF(SUM(F18,F23)&lt;=0,0,AC27/SUM(F18,F23))</f>
        <v>193.95277571410273</v>
      </c>
      <c r="AD103" s="636"/>
      <c r="AO103" s="92"/>
      <c r="AP103" s="92"/>
      <c r="AQ103" s="92"/>
      <c r="AR103" s="92"/>
      <c r="AS103" s="92"/>
      <c r="AT103" s="92"/>
      <c r="AU103" s="92"/>
      <c r="AV103" s="92"/>
      <c r="AW103" s="92"/>
      <c r="AX103" s="92"/>
      <c r="AY103" s="92"/>
      <c r="AZ103" s="92"/>
      <c r="BA103" s="92"/>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2"/>
      <c r="CA103" s="92"/>
      <c r="CB103" s="92"/>
      <c r="CC103" s="92"/>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2"/>
      <c r="CZ103" s="92"/>
      <c r="DA103" s="92"/>
      <c r="DB103" s="92"/>
      <c r="DC103" s="92"/>
      <c r="DD103" s="92"/>
      <c r="DE103" s="92"/>
      <c r="DF103" s="92"/>
      <c r="DG103" s="92"/>
      <c r="DH103" s="92"/>
      <c r="DI103" s="92"/>
      <c r="DJ103" s="92"/>
      <c r="DK103" s="92"/>
      <c r="DL103" s="92"/>
      <c r="DM103" s="92"/>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2"/>
      <c r="EN103" s="92"/>
      <c r="EO103" s="92"/>
      <c r="EP103" s="92"/>
      <c r="EQ103" s="92"/>
      <c r="ER103" s="92"/>
      <c r="ES103" s="92"/>
      <c r="ET103" s="92"/>
      <c r="EU103" s="92"/>
      <c r="EV103" s="92"/>
      <c r="EW103" s="92"/>
      <c r="EX103" s="92"/>
      <c r="EY103" s="92"/>
      <c r="EZ103" s="92"/>
      <c r="FA103" s="92"/>
      <c r="FB103" s="92"/>
      <c r="FC103" s="92"/>
      <c r="FD103" s="92"/>
      <c r="FE103" s="92"/>
      <c r="FF103" s="92"/>
      <c r="FG103" s="92"/>
      <c r="FH103" s="92"/>
      <c r="FI103" s="92"/>
      <c r="FJ103" s="92"/>
      <c r="FK103" s="92"/>
      <c r="FL103" s="92"/>
      <c r="FM103" s="92"/>
      <c r="FN103" s="92"/>
      <c r="FO103" s="92"/>
      <c r="FP103" s="92"/>
      <c r="FQ103" s="92"/>
      <c r="FR103" s="92"/>
      <c r="FS103" s="92"/>
      <c r="FT103" s="92"/>
      <c r="FU103" s="92"/>
      <c r="FV103" s="92"/>
      <c r="FW103" s="92"/>
      <c r="FX103" s="92"/>
      <c r="FY103" s="92"/>
      <c r="FZ103" s="92"/>
      <c r="GA103" s="92"/>
      <c r="GB103" s="92"/>
      <c r="GC103" s="92"/>
      <c r="GD103" s="92"/>
      <c r="GE103" s="92"/>
      <c r="GF103" s="92"/>
      <c r="GG103" s="92"/>
      <c r="GH103" s="92"/>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2"/>
      <c r="HN103" s="92"/>
      <c r="HO103" s="92"/>
      <c r="HP103" s="92"/>
      <c r="HQ103" s="92"/>
      <c r="HR103" s="92"/>
      <c r="HS103" s="92"/>
      <c r="HT103" s="92"/>
      <c r="HU103" s="92"/>
      <c r="HV103" s="92"/>
      <c r="HW103" s="92"/>
      <c r="HX103" s="92"/>
      <c r="HY103" s="92"/>
      <c r="HZ103" s="92"/>
      <c r="IA103" s="92"/>
      <c r="IB103" s="92"/>
      <c r="IC103" s="92"/>
      <c r="ID103" s="92"/>
      <c r="IE103" s="92"/>
      <c r="IF103" s="92"/>
      <c r="IG103" s="92"/>
      <c r="IH103" s="92"/>
      <c r="II103" s="92"/>
      <c r="IJ103" s="92"/>
      <c r="IK103" s="92"/>
      <c r="IL103" s="92"/>
      <c r="IM103" s="92"/>
      <c r="IN103" s="92"/>
      <c r="IO103" s="92"/>
      <c r="IP103" s="92"/>
      <c r="IQ103" s="92"/>
      <c r="IR103" s="92"/>
      <c r="IS103" s="92"/>
      <c r="IT103" s="92"/>
      <c r="IU103" s="92"/>
      <c r="IV103" s="92"/>
      <c r="IW103" s="92"/>
      <c r="IX103" s="92"/>
      <c r="IY103" s="92"/>
      <c r="IZ103" s="92"/>
      <c r="JA103" s="92"/>
      <c r="JB103" s="92"/>
      <c r="JC103" s="92"/>
      <c r="JD103" s="92"/>
      <c r="JE103" s="92"/>
      <c r="JF103" s="92"/>
      <c r="JG103" s="92"/>
      <c r="JH103" s="92"/>
      <c r="JI103" s="92"/>
      <c r="JJ103" s="92"/>
      <c r="JK103" s="92"/>
      <c r="JL103" s="92"/>
      <c r="JM103" s="92"/>
      <c r="JN103" s="92"/>
      <c r="JO103" s="92"/>
      <c r="JP103" s="92"/>
      <c r="JQ103" s="92"/>
      <c r="JR103" s="92"/>
      <c r="JS103" s="92"/>
      <c r="JT103" s="92"/>
      <c r="JU103" s="92"/>
      <c r="JV103" s="92"/>
      <c r="JW103" s="92"/>
      <c r="JX103" s="92"/>
      <c r="JY103" s="92"/>
      <c r="JZ103" s="92"/>
      <c r="KA103" s="92"/>
      <c r="KB103" s="92"/>
      <c r="KC103" s="92"/>
      <c r="KD103" s="92"/>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2"/>
      <c r="LA103" s="92"/>
      <c r="LB103" s="92"/>
      <c r="LC103" s="92"/>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2"/>
      <c r="LZ103" s="92"/>
      <c r="MA103" s="92"/>
      <c r="MB103" s="92"/>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2"/>
      <c r="MY103" s="92"/>
      <c r="MZ103" s="92"/>
      <c r="NA103" s="92"/>
      <c r="NB103" s="92"/>
      <c r="NC103" s="92"/>
      <c r="ND103" s="92"/>
      <c r="NE103" s="92"/>
      <c r="NF103" s="92"/>
      <c r="NG103" s="92"/>
      <c r="NH103" s="92"/>
      <c r="NI103" s="92"/>
      <c r="NJ103" s="92"/>
      <c r="NK103" s="92"/>
      <c r="NL103" s="92"/>
      <c r="NM103" s="92"/>
      <c r="NN103" s="92"/>
      <c r="NO103" s="92"/>
      <c r="NP103" s="92"/>
      <c r="NQ103" s="92"/>
      <c r="NR103" s="92"/>
      <c r="NS103" s="92"/>
      <c r="NT103" s="92"/>
      <c r="NU103" s="92"/>
      <c r="NV103" s="92"/>
      <c r="NW103" s="92"/>
      <c r="NX103" s="92"/>
      <c r="NY103" s="92"/>
      <c r="NZ103" s="92"/>
      <c r="OA103" s="92"/>
      <c r="OB103" s="92"/>
      <c r="OC103" s="92"/>
      <c r="OD103" s="92"/>
      <c r="OE103" s="92"/>
      <c r="OF103" s="92"/>
      <c r="OG103" s="92"/>
      <c r="OH103" s="92"/>
      <c r="OI103" s="92"/>
      <c r="OJ103" s="92"/>
      <c r="OK103" s="92"/>
      <c r="OL103" s="92"/>
      <c r="OM103" s="92"/>
      <c r="ON103" s="92"/>
      <c r="OO103" s="92"/>
      <c r="OP103" s="92"/>
      <c r="OQ103" s="92"/>
      <c r="OR103" s="92"/>
      <c r="OS103" s="92"/>
      <c r="OT103" s="92"/>
      <c r="OU103" s="92"/>
      <c r="OV103" s="92"/>
      <c r="OW103" s="92"/>
      <c r="OX103" s="92"/>
      <c r="OY103" s="92"/>
      <c r="OZ103" s="92"/>
      <c r="PA103" s="92"/>
      <c r="PB103" s="92"/>
      <c r="PC103" s="92"/>
      <c r="PD103" s="92"/>
      <c r="PE103" s="92"/>
      <c r="PF103" s="92"/>
      <c r="PG103" s="92"/>
      <c r="PH103" s="92"/>
      <c r="PI103" s="92"/>
      <c r="PJ103" s="92"/>
      <c r="PK103" s="92"/>
      <c r="PL103" s="92"/>
      <c r="PM103" s="92"/>
      <c r="PN103" s="92"/>
      <c r="PO103" s="92"/>
      <c r="PP103" s="92"/>
      <c r="PQ103" s="92"/>
      <c r="PR103" s="92"/>
      <c r="PS103" s="92"/>
      <c r="PT103" s="92"/>
      <c r="PU103" s="92"/>
      <c r="PV103" s="92"/>
      <c r="PW103" s="92"/>
      <c r="PX103" s="92"/>
      <c r="PY103" s="92"/>
      <c r="PZ103" s="92"/>
      <c r="QA103" s="92"/>
      <c r="QB103" s="92"/>
      <c r="QC103" s="92"/>
      <c r="QD103" s="92"/>
      <c r="QE103" s="92"/>
      <c r="QF103" s="92"/>
      <c r="QG103" s="92"/>
      <c r="QH103" s="92"/>
      <c r="QI103" s="92"/>
      <c r="QJ103" s="92"/>
      <c r="QK103" s="92"/>
      <c r="QL103" s="92"/>
      <c r="QM103" s="92"/>
      <c r="QN103" s="92"/>
      <c r="QO103" s="92"/>
    </row>
    <row r="104" spans="1:457">
      <c r="A104" s="83"/>
      <c r="C104" s="106"/>
      <c r="D104" s="80"/>
      <c r="E104" s="80"/>
      <c r="F104" s="80"/>
      <c r="G104" s="80"/>
      <c r="H104" s="80"/>
      <c r="I104" s="80"/>
      <c r="J104" s="80"/>
      <c r="K104" s="80"/>
      <c r="L104" s="80"/>
      <c r="M104" s="80"/>
      <c r="N104" s="80"/>
      <c r="O104" s="102"/>
      <c r="P104" s="83"/>
      <c r="Q104" s="92"/>
      <c r="R104" s="92"/>
      <c r="T104" s="637" t="s">
        <v>947</v>
      </c>
      <c r="U104" s="646">
        <f>U90</f>
        <v>3775.429237118045</v>
      </c>
      <c r="V104" s="646">
        <f>V90</f>
        <v>244.09519355315877</v>
      </c>
      <c r="W104" s="646">
        <f>W90</f>
        <v>317.58883476610379</v>
      </c>
      <c r="X104" s="636"/>
      <c r="Z104" s="637" t="s">
        <v>947</v>
      </c>
      <c r="AA104" s="636">
        <f>IF(D26&lt;=0,0,SUM(AA12,AA23:AA24)/D26)</f>
        <v>99292.255833445801</v>
      </c>
      <c r="AB104" s="636">
        <f>IF(E26&lt;=0,0,SUM(AB12,AB23:AB24)/E26)</f>
        <v>173.25188022408884</v>
      </c>
      <c r="AC104" s="636">
        <f>IF(F26&lt;=0,0,SUM(AC12,AC23:AC24)/F26)</f>
        <v>0</v>
      </c>
      <c r="AD104" s="636"/>
      <c r="AO104" s="92"/>
      <c r="AP104" s="92"/>
      <c r="AQ104" s="92"/>
      <c r="AR104" s="92"/>
      <c r="AS104" s="92"/>
      <c r="AT104" s="92"/>
      <c r="AU104" s="92"/>
      <c r="AV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2"/>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2"/>
      <c r="CZ104" s="92"/>
      <c r="DA104" s="92"/>
      <c r="DB104" s="92"/>
      <c r="DC104" s="92"/>
      <c r="DD104" s="92"/>
      <c r="DE104" s="92"/>
      <c r="DF104" s="92"/>
      <c r="DG104" s="92"/>
      <c r="DH104" s="92"/>
      <c r="DI104" s="92"/>
      <c r="DJ104" s="92"/>
      <c r="DK104" s="92"/>
      <c r="DL104" s="92"/>
      <c r="DM104" s="92"/>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2"/>
      <c r="EN104" s="92"/>
      <c r="EO104" s="92"/>
      <c r="EP104" s="92"/>
      <c r="EQ104" s="92"/>
      <c r="ER104" s="92"/>
      <c r="ES104" s="92"/>
      <c r="ET104" s="92"/>
      <c r="EU104" s="92"/>
      <c r="EV104" s="92"/>
      <c r="EW104" s="92"/>
      <c r="EX104" s="92"/>
      <c r="EY104" s="92"/>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2"/>
      <c r="FV104" s="92"/>
      <c r="FW104" s="92"/>
      <c r="FX104" s="92"/>
      <c r="FY104" s="92"/>
      <c r="FZ104" s="92"/>
      <c r="GA104" s="92"/>
      <c r="GB104" s="92"/>
      <c r="GC104" s="92"/>
      <c r="GD104" s="92"/>
      <c r="GE104" s="92"/>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2"/>
      <c r="HN104" s="92"/>
      <c r="HO104" s="92"/>
      <c r="HP104" s="92"/>
      <c r="HQ104" s="92"/>
      <c r="HR104" s="92"/>
      <c r="HS104" s="92"/>
      <c r="HT104" s="92"/>
      <c r="HU104" s="92"/>
      <c r="HV104" s="92"/>
      <c r="HW104" s="92"/>
      <c r="HX104" s="92"/>
      <c r="HY104" s="92"/>
      <c r="HZ104" s="92"/>
      <c r="IA104" s="92"/>
      <c r="IB104" s="92"/>
      <c r="IC104" s="92"/>
      <c r="ID104" s="92"/>
      <c r="IE104" s="92"/>
      <c r="IF104" s="92"/>
      <c r="IG104" s="92"/>
      <c r="IH104" s="92"/>
      <c r="II104" s="92"/>
      <c r="IJ104" s="92"/>
      <c r="IK104" s="92"/>
      <c r="IL104" s="92"/>
      <c r="IM104" s="92"/>
      <c r="IN104" s="92"/>
      <c r="IO104" s="92"/>
      <c r="IP104" s="92"/>
      <c r="IQ104" s="92"/>
      <c r="IR104" s="92"/>
      <c r="IS104" s="92"/>
      <c r="IT104" s="92"/>
      <c r="IU104" s="92"/>
      <c r="IV104" s="92"/>
      <c r="IW104" s="92"/>
      <c r="IX104" s="92"/>
      <c r="IY104" s="92"/>
      <c r="IZ104" s="92"/>
      <c r="JA104" s="92"/>
      <c r="JB104" s="92"/>
      <c r="JC104" s="92"/>
      <c r="JD104" s="92"/>
      <c r="JE104" s="92"/>
      <c r="JF104" s="92"/>
      <c r="JG104" s="92"/>
      <c r="JH104" s="92"/>
      <c r="JI104" s="92"/>
      <c r="JJ104" s="92"/>
      <c r="JK104" s="92"/>
      <c r="JL104" s="92"/>
      <c r="JM104" s="92"/>
      <c r="JN104" s="92"/>
      <c r="JO104" s="92"/>
      <c r="JP104" s="92"/>
      <c r="JQ104" s="92"/>
      <c r="JR104" s="92"/>
      <c r="JS104" s="92"/>
      <c r="JT104" s="92"/>
      <c r="JU104" s="92"/>
      <c r="JV104" s="92"/>
      <c r="JW104" s="92"/>
      <c r="JX104" s="92"/>
      <c r="JY104" s="92"/>
      <c r="JZ104" s="92"/>
      <c r="KA104" s="92"/>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2"/>
      <c r="LA104" s="92"/>
      <c r="LB104" s="92"/>
      <c r="LC104" s="92"/>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2"/>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2"/>
      <c r="MY104" s="92"/>
      <c r="MZ104" s="92"/>
      <c r="NA104" s="92"/>
      <c r="NB104" s="92"/>
      <c r="NC104" s="92"/>
      <c r="ND104" s="92"/>
      <c r="NE104" s="92"/>
      <c r="NF104" s="92"/>
      <c r="NG104" s="92"/>
      <c r="NH104" s="92"/>
      <c r="NI104" s="92"/>
      <c r="NJ104" s="92"/>
      <c r="NK104" s="92"/>
      <c r="NL104" s="92"/>
      <c r="NM104" s="92"/>
      <c r="NN104" s="92"/>
      <c r="NO104" s="92"/>
      <c r="NP104" s="92"/>
      <c r="NQ104" s="92"/>
      <c r="NR104" s="92"/>
      <c r="NS104" s="92"/>
      <c r="NT104" s="92"/>
      <c r="NU104" s="92"/>
      <c r="NV104" s="92"/>
      <c r="NW104" s="92"/>
      <c r="NX104" s="92"/>
      <c r="NY104" s="92"/>
      <c r="NZ104" s="92"/>
      <c r="OA104" s="92"/>
      <c r="OB104" s="92"/>
      <c r="OC104" s="92"/>
      <c r="OD104" s="92"/>
      <c r="OE104" s="92"/>
      <c r="OF104" s="92"/>
      <c r="OG104" s="92"/>
      <c r="OH104" s="92"/>
      <c r="OI104" s="92"/>
      <c r="OJ104" s="92"/>
      <c r="OK104" s="92"/>
      <c r="OL104" s="92"/>
      <c r="OM104" s="92"/>
      <c r="ON104" s="92"/>
      <c r="OO104" s="92"/>
      <c r="OP104" s="92"/>
      <c r="OQ104" s="92"/>
      <c r="OR104" s="92"/>
      <c r="OS104" s="92"/>
      <c r="OT104" s="92"/>
      <c r="OU104" s="92"/>
      <c r="OV104" s="92"/>
      <c r="OW104" s="92"/>
      <c r="OX104" s="92"/>
      <c r="OY104" s="92"/>
      <c r="OZ104" s="92"/>
      <c r="PA104" s="92"/>
      <c r="PB104" s="92"/>
      <c r="PC104" s="92"/>
      <c r="PD104" s="92"/>
      <c r="PE104" s="92"/>
      <c r="PF104" s="92"/>
      <c r="PG104" s="92"/>
      <c r="PH104" s="92"/>
      <c r="PI104" s="92"/>
      <c r="PJ104" s="92"/>
      <c r="PK104" s="92"/>
      <c r="PL104" s="92"/>
      <c r="PM104" s="92"/>
      <c r="PN104" s="92"/>
      <c r="PO104" s="92"/>
      <c r="PP104" s="92"/>
      <c r="PQ104" s="92"/>
      <c r="PR104" s="92"/>
      <c r="PS104" s="92"/>
      <c r="PT104" s="92"/>
      <c r="PU104" s="92"/>
      <c r="PV104" s="92"/>
      <c r="PW104" s="92"/>
      <c r="PX104" s="92"/>
      <c r="PY104" s="92"/>
      <c r="PZ104" s="92"/>
      <c r="QA104" s="92"/>
      <c r="QB104" s="92"/>
      <c r="QC104" s="92"/>
      <c r="QD104" s="92"/>
      <c r="QE104" s="92"/>
      <c r="QF104" s="92"/>
      <c r="QG104" s="92"/>
      <c r="QH104" s="92"/>
      <c r="QI104" s="92"/>
      <c r="QJ104" s="92"/>
      <c r="QK104" s="92"/>
      <c r="QL104" s="92"/>
      <c r="QM104" s="92"/>
      <c r="QN104" s="92"/>
      <c r="QO104" s="92"/>
    </row>
    <row r="105" spans="1:457">
      <c r="A105" s="83"/>
      <c r="C105" s="106"/>
      <c r="D105" s="81"/>
      <c r="E105" s="81"/>
      <c r="F105" s="81"/>
      <c r="G105" s="81"/>
      <c r="H105" s="81"/>
      <c r="I105" s="81"/>
      <c r="J105" s="81"/>
      <c r="K105" s="81"/>
      <c r="L105" s="81"/>
      <c r="M105" s="81"/>
      <c r="N105" s="81"/>
      <c r="O105" s="102"/>
      <c r="P105" s="83"/>
      <c r="Q105" s="92"/>
      <c r="R105" s="92"/>
      <c r="T105" s="637" t="s">
        <v>948</v>
      </c>
      <c r="U105" s="645">
        <f>AA105</f>
        <v>98.584344703423355</v>
      </c>
      <c r="V105" s="645">
        <f t="shared" ref="V105" si="68">AB105</f>
        <v>23.149025855903062</v>
      </c>
      <c r="W105" s="645">
        <f t="shared" ref="W105" si="69">AC105</f>
        <v>37.975708783925796</v>
      </c>
      <c r="X105" s="636"/>
      <c r="Z105" s="637" t="s">
        <v>948</v>
      </c>
      <c r="AA105" s="636">
        <f>IF(D29&lt;=0,0,AA25/D29)</f>
        <v>98.584344703423355</v>
      </c>
      <c r="AB105" s="636">
        <f>IF(E29&lt;=0,0,AB25/E29)</f>
        <v>23.149025855903062</v>
      </c>
      <c r="AC105" s="636">
        <f>IF(F29&lt;=0,0,AC25/F29)</f>
        <v>37.975708783925796</v>
      </c>
      <c r="AD105" s="636"/>
      <c r="AO105" s="92"/>
      <c r="AP105" s="92"/>
      <c r="AQ105" s="92"/>
      <c r="AR105" s="92"/>
      <c r="AS105" s="92"/>
      <c r="AT105" s="92"/>
      <c r="AU105" s="92"/>
      <c r="AV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2"/>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2"/>
      <c r="CZ105" s="92"/>
      <c r="DA105" s="92"/>
      <c r="DB105" s="92"/>
      <c r="DC105" s="92"/>
      <c r="DD105" s="92"/>
      <c r="DE105" s="92"/>
      <c r="DF105" s="92"/>
      <c r="DG105" s="92"/>
      <c r="DH105" s="92"/>
      <c r="DI105" s="92"/>
      <c r="DJ105" s="92"/>
      <c r="DK105" s="92"/>
      <c r="DL105" s="92"/>
      <c r="DM105" s="92"/>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2"/>
      <c r="EN105" s="92"/>
      <c r="EO105" s="92"/>
      <c r="EP105" s="92"/>
      <c r="EQ105" s="92"/>
      <c r="ER105" s="92"/>
      <c r="ES105" s="92"/>
      <c r="ET105" s="92"/>
      <c r="EU105" s="92"/>
      <c r="EV105" s="92"/>
      <c r="EW105" s="92"/>
      <c r="EX105" s="92"/>
      <c r="EY105" s="92"/>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2"/>
      <c r="FV105" s="92"/>
      <c r="FW105" s="92"/>
      <c r="FX105" s="92"/>
      <c r="FY105" s="92"/>
      <c r="FZ105" s="92"/>
      <c r="GA105" s="92"/>
      <c r="GB105" s="92"/>
      <c r="GC105" s="92"/>
      <c r="GD105" s="92"/>
      <c r="GE105" s="92"/>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2"/>
      <c r="HN105" s="92"/>
      <c r="HO105" s="92"/>
      <c r="HP105" s="92"/>
      <c r="HQ105" s="92"/>
      <c r="HR105" s="92"/>
      <c r="HS105" s="92"/>
      <c r="HT105" s="92"/>
      <c r="HU105" s="92"/>
      <c r="HV105" s="92"/>
      <c r="HW105" s="92"/>
      <c r="HX105" s="92"/>
      <c r="HY105" s="92"/>
      <c r="HZ105" s="92"/>
      <c r="IA105" s="92"/>
      <c r="IB105" s="92"/>
      <c r="IC105" s="92"/>
      <c r="ID105" s="92"/>
      <c r="IE105" s="92"/>
      <c r="IF105" s="92"/>
      <c r="IG105" s="92"/>
      <c r="IH105" s="92"/>
      <c r="II105" s="92"/>
      <c r="IJ105" s="92"/>
      <c r="IK105" s="92"/>
      <c r="IL105" s="92"/>
      <c r="IM105" s="92"/>
      <c r="IN105" s="92"/>
      <c r="IO105" s="92"/>
      <c r="IP105" s="92"/>
      <c r="IQ105" s="92"/>
      <c r="IR105" s="92"/>
      <c r="IS105" s="92"/>
      <c r="IT105" s="92"/>
      <c r="IU105" s="92"/>
      <c r="IV105" s="92"/>
      <c r="IW105" s="92"/>
      <c r="IX105" s="92"/>
      <c r="IY105" s="92"/>
      <c r="IZ105" s="92"/>
      <c r="JA105" s="92"/>
      <c r="JB105" s="92"/>
      <c r="JC105" s="92"/>
      <c r="JD105" s="92"/>
      <c r="JE105" s="92"/>
      <c r="JF105" s="92"/>
      <c r="JG105" s="92"/>
      <c r="JH105" s="92"/>
      <c r="JI105" s="92"/>
      <c r="JJ105" s="92"/>
      <c r="JK105" s="92"/>
      <c r="JL105" s="92"/>
      <c r="JM105" s="92"/>
      <c r="JN105" s="92"/>
      <c r="JO105" s="92"/>
      <c r="JP105" s="92"/>
      <c r="JQ105" s="92"/>
      <c r="JR105" s="92"/>
      <c r="JS105" s="92"/>
      <c r="JT105" s="92"/>
      <c r="JU105" s="92"/>
      <c r="JV105" s="92"/>
      <c r="JW105" s="92"/>
      <c r="JX105" s="92"/>
      <c r="JY105" s="92"/>
      <c r="JZ105" s="92"/>
      <c r="KA105" s="92"/>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2"/>
      <c r="LA105" s="92"/>
      <c r="LB105" s="92"/>
      <c r="LC105" s="92"/>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2"/>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2"/>
      <c r="MY105" s="92"/>
      <c r="MZ105" s="92"/>
      <c r="NA105" s="92"/>
      <c r="NB105" s="92"/>
      <c r="NC105" s="92"/>
      <c r="ND105" s="92"/>
      <c r="NE105" s="92"/>
      <c r="NF105" s="92"/>
      <c r="NG105" s="92"/>
      <c r="NH105" s="92"/>
      <c r="NI105" s="92"/>
      <c r="NJ105" s="92"/>
      <c r="NK105" s="92"/>
      <c r="NL105" s="92"/>
      <c r="NM105" s="92"/>
      <c r="NN105" s="92"/>
      <c r="NO105" s="92"/>
      <c r="NP105" s="92"/>
      <c r="NQ105" s="92"/>
      <c r="NR105" s="92"/>
      <c r="NS105" s="92"/>
      <c r="NT105" s="92"/>
      <c r="NU105" s="92"/>
      <c r="NV105" s="92"/>
      <c r="NW105" s="92"/>
      <c r="NX105" s="92"/>
      <c r="NY105" s="92"/>
      <c r="NZ105" s="92"/>
      <c r="OA105" s="92"/>
      <c r="OB105" s="92"/>
      <c r="OC105" s="92"/>
      <c r="OD105" s="92"/>
      <c r="OE105" s="92"/>
      <c r="OF105" s="92"/>
      <c r="OG105" s="92"/>
      <c r="OH105" s="92"/>
      <c r="OI105" s="92"/>
      <c r="OJ105" s="92"/>
      <c r="OK105" s="92"/>
      <c r="OL105" s="92"/>
      <c r="OM105" s="92"/>
      <c r="ON105" s="92"/>
      <c r="OO105" s="92"/>
      <c r="OP105" s="92"/>
      <c r="OQ105" s="92"/>
      <c r="OR105" s="92"/>
      <c r="OS105" s="92"/>
      <c r="OT105" s="92"/>
      <c r="OU105" s="92"/>
      <c r="OV105" s="92"/>
      <c r="OW105" s="92"/>
      <c r="OX105" s="92"/>
      <c r="OY105" s="92"/>
      <c r="OZ105" s="92"/>
      <c r="PA105" s="92"/>
      <c r="PB105" s="92"/>
      <c r="PC105" s="92"/>
      <c r="PD105" s="92"/>
      <c r="PE105" s="92"/>
      <c r="PF105" s="92"/>
      <c r="PG105" s="92"/>
      <c r="PH105" s="92"/>
      <c r="PI105" s="92"/>
      <c r="PJ105" s="92"/>
      <c r="PK105" s="92"/>
      <c r="PL105" s="92"/>
      <c r="PM105" s="92"/>
      <c r="PN105" s="92"/>
      <c r="PO105" s="92"/>
      <c r="PP105" s="92"/>
      <c r="PQ105" s="92"/>
      <c r="PR105" s="92"/>
      <c r="PS105" s="92"/>
      <c r="PT105" s="92"/>
      <c r="PU105" s="92"/>
      <c r="PV105" s="92"/>
      <c r="PW105" s="92"/>
      <c r="PX105" s="92"/>
      <c r="PY105" s="92"/>
      <c r="PZ105" s="92"/>
      <c r="QA105" s="92"/>
      <c r="QB105" s="92"/>
      <c r="QC105" s="92"/>
      <c r="QD105" s="92"/>
      <c r="QE105" s="92"/>
      <c r="QF105" s="92"/>
      <c r="QG105" s="92"/>
      <c r="QH105" s="92"/>
      <c r="QI105" s="92"/>
      <c r="QJ105" s="92"/>
      <c r="QK105" s="92"/>
      <c r="QL105" s="92"/>
      <c r="QM105" s="92"/>
      <c r="QN105" s="92"/>
      <c r="QO105" s="92"/>
    </row>
    <row r="106" spans="1:457">
      <c r="A106" s="83"/>
      <c r="C106" s="106"/>
      <c r="D106" s="82"/>
      <c r="E106" s="82"/>
      <c r="F106" s="82"/>
      <c r="G106" s="82"/>
      <c r="H106" s="82"/>
      <c r="I106" s="82"/>
      <c r="J106" s="82"/>
      <c r="K106" s="82"/>
      <c r="L106" s="82"/>
      <c r="M106" s="82"/>
      <c r="N106" s="82"/>
      <c r="O106" s="102"/>
      <c r="P106" s="83"/>
      <c r="Q106" s="92"/>
      <c r="R106" s="92"/>
      <c r="T106" s="83"/>
      <c r="U106" s="83"/>
      <c r="V106" s="83"/>
      <c r="W106" s="83"/>
      <c r="X106" s="83"/>
      <c r="AO106" s="92"/>
      <c r="AP106" s="92"/>
      <c r="AQ106" s="92"/>
      <c r="AR106" s="92"/>
      <c r="AS106" s="92"/>
      <c r="AT106" s="92"/>
      <c r="AU106" s="92"/>
      <c r="AV106" s="92"/>
    </row>
    <row r="107" spans="1:457" ht="15.75" customHeight="1">
      <c r="A107" s="83"/>
      <c r="C107" s="106"/>
      <c r="D107" s="82"/>
      <c r="E107" s="82"/>
      <c r="F107" s="82"/>
      <c r="G107" s="82"/>
      <c r="H107" s="82"/>
      <c r="I107" s="82"/>
      <c r="J107" s="82"/>
      <c r="K107" s="82"/>
      <c r="L107" s="82"/>
      <c r="M107" s="82"/>
      <c r="N107" s="82"/>
      <c r="O107" s="102"/>
      <c r="P107" s="83"/>
      <c r="Q107" s="92"/>
      <c r="R107" s="92"/>
      <c r="S107" s="83"/>
      <c r="T107" s="83"/>
      <c r="U107" s="83"/>
      <c r="V107" s="83"/>
      <c r="W107" s="83"/>
      <c r="X107" s="83"/>
      <c r="AO107" s="92"/>
      <c r="AP107" s="92"/>
      <c r="AQ107" s="92"/>
      <c r="AR107" s="92"/>
      <c r="AS107" s="92"/>
      <c r="AT107" s="92"/>
      <c r="AU107" s="92"/>
      <c r="AV107" s="92"/>
    </row>
    <row r="108" spans="1:457">
      <c r="A108" s="83"/>
      <c r="C108" s="106"/>
      <c r="D108" s="82"/>
      <c r="E108" s="82"/>
      <c r="F108" s="82"/>
      <c r="G108" s="82"/>
      <c r="H108" s="82"/>
      <c r="I108" s="82"/>
      <c r="J108" s="82"/>
      <c r="K108" s="82"/>
      <c r="L108" s="82"/>
      <c r="M108" s="82"/>
      <c r="N108" s="82"/>
      <c r="O108" s="102"/>
      <c r="P108" s="83"/>
      <c r="Q108" s="92"/>
      <c r="R108" s="92"/>
      <c r="S108" s="83"/>
      <c r="T108" s="83"/>
      <c r="U108" s="83"/>
      <c r="V108" s="83"/>
      <c r="W108" s="83"/>
      <c r="X108" s="83"/>
      <c r="AO108" s="92"/>
      <c r="AP108" s="92"/>
      <c r="AQ108" s="92"/>
      <c r="AR108" s="92"/>
      <c r="AS108" s="92"/>
      <c r="AT108" s="92"/>
      <c r="AU108" s="92"/>
      <c r="AV108" s="92"/>
    </row>
    <row r="109" spans="1:457">
      <c r="A109" s="83"/>
      <c r="C109" s="106"/>
      <c r="D109" s="82"/>
      <c r="E109" s="82"/>
      <c r="F109" s="82"/>
      <c r="G109" s="82"/>
      <c r="H109" s="82"/>
      <c r="I109" s="82"/>
      <c r="J109" s="82"/>
      <c r="K109" s="82"/>
      <c r="L109" s="82"/>
      <c r="M109" s="82"/>
      <c r="N109" s="82"/>
      <c r="O109" s="102"/>
      <c r="P109" s="83"/>
      <c r="Q109" s="92"/>
      <c r="R109" s="92"/>
      <c r="S109" s="83"/>
      <c r="T109" s="83"/>
      <c r="U109" s="83"/>
      <c r="V109" s="83"/>
      <c r="W109" s="83"/>
      <c r="X109" s="83"/>
    </row>
    <row r="110" spans="1:457">
      <c r="A110" s="83"/>
      <c r="C110" s="106"/>
      <c r="D110" s="82"/>
      <c r="E110" s="82"/>
      <c r="F110" s="82"/>
      <c r="G110" s="82"/>
      <c r="H110" s="82"/>
      <c r="I110" s="82"/>
      <c r="J110" s="82"/>
      <c r="K110" s="82"/>
      <c r="L110" s="82"/>
      <c r="M110" s="82"/>
      <c r="N110" s="82"/>
      <c r="O110" s="102"/>
      <c r="P110" s="83"/>
      <c r="Q110" s="92"/>
      <c r="R110" s="92"/>
      <c r="S110" s="83"/>
      <c r="T110" s="83"/>
      <c r="U110" s="83"/>
      <c r="V110" s="83"/>
      <c r="W110" s="83"/>
      <c r="X110" s="83"/>
    </row>
    <row r="111" spans="1:457">
      <c r="A111" s="83"/>
      <c r="C111" s="106"/>
      <c r="D111" s="82"/>
      <c r="E111" s="82"/>
      <c r="F111" s="82"/>
      <c r="G111" s="82"/>
      <c r="H111" s="82"/>
      <c r="I111" s="82"/>
      <c r="J111" s="82"/>
      <c r="K111" s="82"/>
      <c r="L111" s="82"/>
      <c r="M111" s="82"/>
      <c r="N111" s="82"/>
      <c r="O111" s="102"/>
      <c r="P111" s="83"/>
      <c r="Q111" s="54"/>
      <c r="R111" s="83"/>
      <c r="S111" s="83"/>
      <c r="T111" s="83"/>
      <c r="U111" s="83"/>
      <c r="V111" s="83"/>
      <c r="W111" s="83"/>
      <c r="X111" s="83"/>
    </row>
    <row r="112" spans="1:457" ht="15" customHeight="1">
      <c r="A112" s="83"/>
      <c r="C112" s="106"/>
      <c r="D112" s="82"/>
      <c r="E112" s="82"/>
      <c r="F112" s="82"/>
      <c r="G112" s="82"/>
      <c r="H112" s="82"/>
      <c r="I112" s="82"/>
      <c r="J112" s="82"/>
      <c r="K112" s="82"/>
      <c r="L112" s="82"/>
      <c r="M112" s="82"/>
      <c r="N112" s="82"/>
      <c r="O112" s="102"/>
      <c r="P112" s="83"/>
      <c r="Q112" s="54"/>
      <c r="R112" s="83"/>
      <c r="S112" s="83"/>
      <c r="T112" s="83"/>
      <c r="U112" s="83"/>
      <c r="V112" s="83"/>
      <c r="W112" s="83"/>
      <c r="X112" s="83"/>
    </row>
    <row r="113" spans="1:24">
      <c r="A113" s="83"/>
      <c r="C113" s="106"/>
      <c r="D113" s="82"/>
      <c r="E113" s="82"/>
      <c r="F113" s="82"/>
      <c r="G113" s="82"/>
      <c r="H113" s="82"/>
      <c r="I113" s="82"/>
      <c r="J113" s="82"/>
      <c r="K113" s="82"/>
      <c r="L113" s="82"/>
      <c r="M113" s="82"/>
      <c r="N113" s="82"/>
      <c r="O113" s="102"/>
      <c r="P113" s="83"/>
      <c r="Q113" s="54"/>
      <c r="R113" s="83"/>
      <c r="S113" s="83"/>
      <c r="T113" s="83"/>
      <c r="U113" s="83"/>
      <c r="V113" s="83"/>
      <c r="W113" s="83"/>
      <c r="X113" s="83"/>
    </row>
    <row r="114" spans="1:24">
      <c r="A114" s="83"/>
      <c r="C114" s="106"/>
      <c r="D114" s="82"/>
      <c r="E114" s="82"/>
      <c r="F114" s="82"/>
      <c r="G114" s="82"/>
      <c r="H114" s="82"/>
      <c r="I114" s="82"/>
      <c r="J114" s="82"/>
      <c r="K114" s="82"/>
      <c r="L114" s="82"/>
      <c r="M114" s="82"/>
      <c r="N114" s="82"/>
      <c r="O114" s="102"/>
      <c r="P114" s="83"/>
      <c r="Q114" s="54"/>
      <c r="R114" s="83"/>
      <c r="S114" s="83"/>
      <c r="T114" s="83"/>
      <c r="U114" s="83"/>
      <c r="V114" s="83"/>
      <c r="W114" s="83"/>
      <c r="X114" s="83"/>
    </row>
    <row r="115" spans="1:24">
      <c r="A115" s="83"/>
      <c r="C115" s="106"/>
      <c r="D115" s="82"/>
      <c r="E115" s="82"/>
      <c r="F115" s="82"/>
      <c r="G115" s="82"/>
      <c r="H115" s="82"/>
      <c r="I115" s="82"/>
      <c r="J115" s="82"/>
      <c r="K115" s="82"/>
      <c r="L115" s="82"/>
      <c r="M115" s="82"/>
      <c r="N115" s="82"/>
      <c r="O115" s="102"/>
      <c r="P115" s="83"/>
      <c r="Q115" s="54"/>
      <c r="R115" s="83"/>
      <c r="S115" s="83"/>
      <c r="T115" s="83"/>
      <c r="U115" s="83"/>
      <c r="V115" s="83"/>
      <c r="W115" s="83"/>
      <c r="X115" s="83"/>
    </row>
    <row r="116" spans="1:24">
      <c r="A116" s="83"/>
      <c r="C116" s="106"/>
      <c r="D116" s="82"/>
      <c r="E116" s="82"/>
      <c r="F116" s="82"/>
      <c r="G116" s="82"/>
      <c r="H116" s="82"/>
      <c r="I116" s="82"/>
      <c r="J116" s="82"/>
      <c r="K116" s="82"/>
      <c r="L116" s="82"/>
      <c r="M116" s="82"/>
      <c r="N116" s="82"/>
      <c r="O116" s="102"/>
      <c r="P116" s="83"/>
      <c r="Q116" s="54"/>
      <c r="R116" s="83"/>
      <c r="S116" s="83"/>
      <c r="T116" s="83"/>
      <c r="U116" s="83"/>
      <c r="V116" s="83"/>
      <c r="W116" s="83"/>
      <c r="X116" s="83"/>
    </row>
    <row r="117" spans="1:24">
      <c r="A117" s="83"/>
      <c r="C117" s="106"/>
      <c r="D117" s="82"/>
      <c r="E117" s="82"/>
      <c r="F117" s="82"/>
      <c r="G117" s="82"/>
      <c r="H117" s="82"/>
      <c r="I117" s="82"/>
      <c r="J117" s="82"/>
      <c r="K117" s="82"/>
      <c r="L117" s="82"/>
      <c r="M117" s="82"/>
      <c r="N117" s="82"/>
      <c r="O117" s="102"/>
      <c r="P117" s="83"/>
      <c r="Q117" s="54"/>
      <c r="R117" s="83"/>
      <c r="S117" s="83"/>
      <c r="T117" s="83"/>
      <c r="U117" s="83"/>
      <c r="V117" s="83"/>
      <c r="W117" s="83"/>
      <c r="X117" s="83"/>
    </row>
    <row r="118" spans="1:24">
      <c r="A118" s="83"/>
      <c r="C118" s="106"/>
      <c r="D118" s="82"/>
      <c r="E118" s="82"/>
      <c r="F118" s="82"/>
      <c r="G118" s="82"/>
      <c r="H118" s="82"/>
      <c r="I118" s="82"/>
      <c r="J118" s="82"/>
      <c r="K118" s="82"/>
      <c r="L118" s="82"/>
      <c r="M118" s="82"/>
      <c r="N118" s="82"/>
      <c r="O118" s="102"/>
      <c r="P118" s="83"/>
      <c r="Q118" s="54"/>
      <c r="R118" s="83"/>
      <c r="S118" s="83"/>
      <c r="T118" s="83"/>
      <c r="U118" s="83"/>
      <c r="V118" s="83"/>
      <c r="W118" s="83"/>
      <c r="X118" s="83"/>
    </row>
    <row r="119" spans="1:24">
      <c r="A119" s="83"/>
      <c r="C119" s="106"/>
      <c r="D119" s="82"/>
      <c r="E119" s="82"/>
      <c r="F119" s="82"/>
      <c r="G119" s="82"/>
      <c r="H119" s="82"/>
      <c r="I119" s="82"/>
      <c r="J119" s="82"/>
      <c r="K119" s="82"/>
      <c r="L119" s="82"/>
      <c r="M119" s="82"/>
      <c r="N119" s="82"/>
      <c r="O119" s="102"/>
      <c r="P119" s="83"/>
      <c r="Q119" s="54"/>
      <c r="R119" s="83"/>
      <c r="S119" s="83"/>
      <c r="T119" s="83"/>
      <c r="U119" s="83"/>
      <c r="V119" s="83"/>
      <c r="W119" s="83"/>
      <c r="X119" s="83"/>
    </row>
    <row r="120" spans="1:24">
      <c r="A120" s="83"/>
      <c r="C120" s="106"/>
      <c r="D120" s="82"/>
      <c r="E120" s="82"/>
      <c r="F120" s="82"/>
      <c r="G120" s="82"/>
      <c r="H120" s="82"/>
      <c r="I120" s="82"/>
      <c r="J120" s="82"/>
      <c r="K120" s="82"/>
      <c r="L120" s="82"/>
      <c r="M120" s="82"/>
      <c r="N120" s="82"/>
      <c r="O120" s="102"/>
      <c r="P120" s="83"/>
      <c r="Q120" s="54"/>
      <c r="R120" s="83"/>
      <c r="S120" s="83"/>
      <c r="T120" s="83"/>
      <c r="U120" s="83"/>
      <c r="V120" s="83"/>
      <c r="W120" s="83"/>
      <c r="X120" s="83"/>
    </row>
    <row r="121" spans="1:24">
      <c r="A121" s="83"/>
      <c r="C121" s="106"/>
      <c r="D121" s="82"/>
      <c r="E121" s="82"/>
      <c r="F121" s="82"/>
      <c r="G121" s="82"/>
      <c r="H121" s="82"/>
      <c r="I121" s="82"/>
      <c r="J121" s="82"/>
      <c r="K121" s="82"/>
      <c r="L121" s="82"/>
      <c r="M121" s="82"/>
      <c r="N121" s="82"/>
      <c r="O121" s="102"/>
      <c r="P121" s="83"/>
      <c r="Q121" s="54"/>
      <c r="R121" s="83"/>
      <c r="S121" s="83"/>
      <c r="T121" s="83"/>
      <c r="U121" s="83"/>
      <c r="V121" s="83"/>
      <c r="W121" s="83"/>
      <c r="X121" s="83"/>
    </row>
    <row r="122" spans="1:24">
      <c r="A122" s="83"/>
      <c r="C122" s="106"/>
      <c r="D122" s="82"/>
      <c r="E122" s="82"/>
      <c r="F122" s="82"/>
      <c r="G122" s="82"/>
      <c r="H122" s="82"/>
      <c r="I122" s="82"/>
      <c r="J122" s="82"/>
      <c r="K122" s="82"/>
      <c r="L122" s="82"/>
      <c r="M122" s="82"/>
      <c r="N122" s="82"/>
      <c r="O122" s="102"/>
      <c r="P122" s="83"/>
      <c r="Q122" s="54"/>
      <c r="R122" s="83"/>
      <c r="S122" s="83"/>
      <c r="T122" s="83"/>
      <c r="U122" s="83"/>
      <c r="V122" s="83"/>
      <c r="W122" s="83"/>
      <c r="X122" s="83"/>
    </row>
    <row r="123" spans="1:24">
      <c r="A123" s="83"/>
      <c r="C123" s="106"/>
      <c r="D123" s="82"/>
      <c r="E123" s="82"/>
      <c r="F123" s="82"/>
      <c r="G123" s="82"/>
      <c r="H123" s="82"/>
      <c r="I123" s="82"/>
      <c r="J123" s="82"/>
      <c r="K123" s="82"/>
      <c r="L123" s="82"/>
      <c r="M123" s="82"/>
      <c r="N123" s="82"/>
      <c r="O123" s="102"/>
      <c r="P123" s="83"/>
      <c r="Q123" s="54"/>
      <c r="R123" s="83"/>
      <c r="S123" s="83"/>
      <c r="T123" s="83"/>
      <c r="U123" s="83"/>
      <c r="V123" s="83"/>
      <c r="W123" s="83"/>
      <c r="X123" s="83"/>
    </row>
    <row r="124" spans="1:24">
      <c r="A124" s="83"/>
      <c r="C124" s="106"/>
      <c r="D124" s="82"/>
      <c r="E124" s="82"/>
      <c r="F124" s="82"/>
      <c r="G124" s="82"/>
      <c r="H124" s="82"/>
      <c r="I124" s="82"/>
      <c r="J124" s="82"/>
      <c r="K124" s="82"/>
      <c r="L124" s="82"/>
      <c r="M124" s="82"/>
      <c r="N124" s="82"/>
      <c r="O124" s="102"/>
      <c r="P124" s="83"/>
      <c r="Q124" s="54"/>
      <c r="R124" s="83"/>
      <c r="S124" s="51"/>
      <c r="T124" s="83"/>
      <c r="U124" s="83"/>
      <c r="V124" s="83"/>
      <c r="W124" s="83"/>
      <c r="X124" s="83"/>
    </row>
    <row r="125" spans="1:24" ht="24" customHeight="1">
      <c r="A125" s="83"/>
      <c r="C125" s="106"/>
      <c r="D125" s="82"/>
      <c r="E125" s="82"/>
      <c r="F125" s="82"/>
      <c r="G125" s="82"/>
      <c r="H125" s="82"/>
      <c r="I125" s="82"/>
      <c r="J125" s="82"/>
      <c r="K125" s="82"/>
      <c r="L125" s="82"/>
      <c r="M125" s="82"/>
      <c r="N125" s="82"/>
      <c r="O125" s="102"/>
      <c r="P125" s="83"/>
      <c r="Q125" s="54"/>
      <c r="R125" s="83"/>
      <c r="S125" s="83"/>
      <c r="T125" s="83"/>
      <c r="U125" s="83"/>
      <c r="V125" s="83"/>
      <c r="W125" s="83"/>
      <c r="X125" s="83"/>
    </row>
    <row r="126" spans="1:24">
      <c r="A126" s="83"/>
      <c r="C126" s="106"/>
      <c r="D126" s="82"/>
      <c r="E126" s="82"/>
      <c r="F126" s="82"/>
      <c r="G126" s="82"/>
      <c r="H126" s="82"/>
      <c r="I126" s="82"/>
      <c r="J126" s="82"/>
      <c r="K126" s="82"/>
      <c r="L126" s="82"/>
      <c r="M126" s="82"/>
      <c r="N126" s="82"/>
      <c r="O126" s="102"/>
      <c r="P126" s="83"/>
      <c r="Q126" s="54"/>
      <c r="R126" s="83"/>
      <c r="S126" s="83"/>
      <c r="T126" s="83"/>
      <c r="U126" s="83"/>
      <c r="V126" s="83"/>
      <c r="W126" s="83"/>
      <c r="X126" s="83"/>
    </row>
    <row r="127" spans="1:24">
      <c r="A127" s="83"/>
      <c r="C127" s="106"/>
      <c r="D127" s="82"/>
      <c r="E127" s="82"/>
      <c r="F127" s="82"/>
      <c r="G127" s="82"/>
      <c r="H127" s="82"/>
      <c r="I127" s="82"/>
      <c r="J127" s="82"/>
      <c r="K127" s="82"/>
      <c r="L127" s="82"/>
      <c r="M127" s="82"/>
      <c r="N127" s="82"/>
      <c r="O127" s="102"/>
      <c r="P127" s="83"/>
      <c r="Q127" s="54"/>
      <c r="R127" s="83"/>
      <c r="S127" s="83"/>
      <c r="T127" s="83"/>
      <c r="U127" s="83"/>
      <c r="V127" s="83"/>
      <c r="W127" s="83"/>
      <c r="X127" s="83"/>
    </row>
    <row r="128" spans="1:24">
      <c r="A128" s="83"/>
      <c r="C128" s="106"/>
      <c r="D128" s="82"/>
      <c r="E128" s="82"/>
      <c r="F128" s="82"/>
      <c r="G128" s="82"/>
      <c r="H128" s="82"/>
      <c r="I128" s="82"/>
      <c r="J128" s="82"/>
      <c r="K128" s="82"/>
      <c r="L128" s="82"/>
      <c r="M128" s="82"/>
      <c r="N128" s="82"/>
      <c r="O128" s="102"/>
      <c r="P128" s="83"/>
      <c r="Q128" s="54"/>
      <c r="R128" s="83"/>
      <c r="S128" s="83"/>
      <c r="T128" s="83"/>
      <c r="U128" s="83"/>
      <c r="V128" s="83"/>
      <c r="W128" s="83"/>
      <c r="X128" s="83"/>
    </row>
    <row r="129" spans="1:24">
      <c r="A129" s="83"/>
      <c r="C129" s="106"/>
      <c r="D129" s="82"/>
      <c r="E129" s="82"/>
      <c r="F129" s="82"/>
      <c r="G129" s="82"/>
      <c r="H129" s="82"/>
      <c r="I129" s="82"/>
      <c r="J129" s="82"/>
      <c r="K129" s="82"/>
      <c r="L129" s="82"/>
      <c r="M129" s="82"/>
      <c r="N129" s="82"/>
      <c r="O129" s="102"/>
      <c r="P129" s="83"/>
      <c r="Q129" s="54"/>
      <c r="R129" s="83"/>
      <c r="S129" s="83"/>
      <c r="T129" s="83"/>
      <c r="U129" s="83"/>
      <c r="V129" s="83"/>
      <c r="W129" s="83"/>
      <c r="X129" s="83"/>
    </row>
    <row r="130" spans="1:24">
      <c r="A130" s="83"/>
      <c r="C130" s="106"/>
      <c r="D130" s="82"/>
      <c r="E130" s="82"/>
      <c r="F130" s="82"/>
      <c r="G130" s="82"/>
      <c r="H130" s="82"/>
      <c r="I130" s="82"/>
      <c r="J130" s="82"/>
      <c r="K130" s="82"/>
      <c r="L130" s="82"/>
      <c r="M130" s="82"/>
      <c r="N130" s="82"/>
      <c r="O130" s="102"/>
      <c r="P130" s="83"/>
      <c r="Q130" s="54"/>
      <c r="R130" s="83"/>
      <c r="S130" s="83"/>
      <c r="T130" s="83"/>
      <c r="U130" s="83"/>
      <c r="V130" s="83"/>
      <c r="W130" s="83"/>
      <c r="X130" s="83"/>
    </row>
    <row r="131" spans="1:24">
      <c r="A131" s="83"/>
      <c r="B131" s="83"/>
      <c r="C131" s="54"/>
      <c r="D131" s="54"/>
      <c r="E131" s="54"/>
      <c r="F131" s="54"/>
      <c r="G131" s="54"/>
      <c r="H131" s="54"/>
      <c r="I131" s="54"/>
      <c r="J131" s="54"/>
      <c r="K131" s="54"/>
      <c r="L131" s="54"/>
      <c r="M131" s="54"/>
      <c r="N131" s="54"/>
      <c r="O131" s="102"/>
      <c r="P131" s="83"/>
      <c r="Q131" s="54"/>
      <c r="R131" s="83"/>
      <c r="S131" s="83"/>
      <c r="T131" s="83"/>
      <c r="U131" s="83"/>
      <c r="V131" s="83"/>
      <c r="W131" s="83"/>
      <c r="X131" s="83"/>
    </row>
    <row r="132" spans="1:24">
      <c r="A132" s="83"/>
      <c r="B132" s="83"/>
      <c r="C132" s="82"/>
      <c r="D132" s="82"/>
      <c r="E132" s="82"/>
      <c r="F132" s="82"/>
      <c r="G132" s="82"/>
      <c r="H132" s="82"/>
      <c r="I132" s="82"/>
      <c r="J132" s="82"/>
      <c r="K132" s="54"/>
      <c r="L132" s="83"/>
      <c r="M132" s="83"/>
      <c r="N132" s="83"/>
      <c r="O132" s="83"/>
      <c r="P132" s="83"/>
      <c r="Q132" s="54"/>
      <c r="R132" s="83"/>
      <c r="S132" s="83"/>
      <c r="T132" s="83"/>
      <c r="U132" s="83"/>
      <c r="V132" s="83"/>
      <c r="W132" s="83"/>
      <c r="X132" s="83"/>
    </row>
    <row r="133" spans="1:24">
      <c r="A133" s="302"/>
      <c r="B133" s="302"/>
      <c r="C133" s="215"/>
      <c r="D133" s="215"/>
      <c r="E133" s="215"/>
      <c r="F133" s="215"/>
      <c r="G133" s="215"/>
      <c r="H133" s="215"/>
      <c r="I133" s="215"/>
      <c r="J133" s="215"/>
      <c r="K133" s="215"/>
      <c r="L133" s="215"/>
      <c r="M133" s="215"/>
      <c r="N133" s="215"/>
      <c r="O133" s="215"/>
      <c r="P133" s="215"/>
      <c r="Q133" s="54"/>
      <c r="R133" s="83"/>
      <c r="S133" s="83"/>
      <c r="T133" s="83"/>
      <c r="U133" s="83"/>
      <c r="V133" s="83"/>
      <c r="W133" s="83"/>
      <c r="X133" s="83"/>
    </row>
    <row r="134" spans="1:24">
      <c r="A134" s="83"/>
      <c r="B134" s="83"/>
      <c r="C134" s="82"/>
      <c r="D134" s="82"/>
      <c r="E134" s="82"/>
      <c r="F134" s="82"/>
      <c r="G134" s="82"/>
      <c r="H134" s="82"/>
      <c r="I134" s="82"/>
      <c r="J134" s="82"/>
      <c r="K134" s="54"/>
      <c r="L134" s="83"/>
      <c r="M134" s="83"/>
      <c r="N134" s="83"/>
      <c r="O134" s="83"/>
      <c r="P134" s="83"/>
      <c r="Q134" s="54"/>
      <c r="R134" s="83"/>
      <c r="S134" s="83"/>
      <c r="T134" s="83"/>
      <c r="U134" s="83"/>
      <c r="V134" s="83"/>
      <c r="W134" s="83"/>
      <c r="X134" s="83"/>
    </row>
    <row r="135" spans="1:24">
      <c r="A135" s="124"/>
      <c r="C135" s="127"/>
      <c r="D135" s="128"/>
      <c r="E135" s="128"/>
      <c r="F135" s="129"/>
      <c r="G135" s="128"/>
      <c r="H135" s="128"/>
      <c r="I135" s="128"/>
      <c r="J135" s="128"/>
      <c r="K135" s="128"/>
      <c r="L135" s="83"/>
      <c r="M135" s="83"/>
      <c r="N135" s="83"/>
      <c r="O135" s="83"/>
      <c r="P135" s="83"/>
      <c r="Q135" s="54"/>
      <c r="R135" s="83"/>
      <c r="S135" s="83"/>
      <c r="T135" s="83"/>
      <c r="U135" s="83"/>
      <c r="V135" s="83"/>
      <c r="W135" s="83"/>
      <c r="X135" s="83"/>
    </row>
    <row r="136" spans="1:24">
      <c r="A136" s="124"/>
      <c r="C136" s="109"/>
      <c r="D136" s="125"/>
      <c r="E136" s="126"/>
      <c r="F136" s="126"/>
      <c r="G136" s="126"/>
      <c r="H136" s="126"/>
      <c r="I136" s="126"/>
      <c r="J136" s="126"/>
      <c r="K136" s="130"/>
      <c r="L136" s="83"/>
      <c r="M136" s="83"/>
      <c r="N136" s="83"/>
      <c r="O136" s="83"/>
      <c r="P136" s="83"/>
      <c r="Q136" s="54"/>
      <c r="R136" s="83"/>
      <c r="S136" s="83"/>
      <c r="T136" s="83"/>
      <c r="U136" s="83"/>
      <c r="V136" s="83"/>
      <c r="W136" s="83"/>
      <c r="X136" s="83"/>
    </row>
    <row r="137" spans="1:24">
      <c r="A137" s="124"/>
      <c r="C137" s="109"/>
      <c r="D137" s="125"/>
      <c r="E137" s="126"/>
      <c r="F137" s="126"/>
      <c r="G137" s="126"/>
      <c r="H137" s="126"/>
      <c r="I137" s="126"/>
      <c r="J137" s="126"/>
      <c r="K137" s="130"/>
      <c r="L137" s="83"/>
      <c r="M137" s="83"/>
      <c r="N137" s="83"/>
      <c r="O137" s="83"/>
      <c r="P137" s="83"/>
      <c r="Q137" s="83"/>
      <c r="R137" s="83"/>
      <c r="S137" s="83"/>
      <c r="T137" s="83"/>
      <c r="U137" s="83"/>
      <c r="V137" s="83"/>
      <c r="W137" s="83"/>
      <c r="X137" s="83"/>
    </row>
    <row r="138" spans="1:24">
      <c r="A138" s="124"/>
      <c r="C138" s="109"/>
      <c r="D138" s="125"/>
      <c r="E138" s="126"/>
      <c r="F138" s="126"/>
      <c r="G138" s="126"/>
      <c r="H138" s="126"/>
      <c r="I138" s="126"/>
      <c r="J138" s="126"/>
      <c r="K138" s="130"/>
      <c r="L138" s="51"/>
      <c r="M138" s="51"/>
      <c r="N138" s="51"/>
      <c r="O138" s="51"/>
      <c r="P138" s="51"/>
      <c r="Q138" s="55"/>
      <c r="R138" s="83"/>
      <c r="S138" s="83"/>
      <c r="T138" s="83"/>
      <c r="U138" s="83"/>
      <c r="V138" s="83"/>
      <c r="W138" s="83"/>
      <c r="X138" s="83"/>
    </row>
    <row r="139" spans="1:24">
      <c r="A139" s="124"/>
      <c r="C139" s="109"/>
      <c r="D139" s="125"/>
      <c r="E139" s="126"/>
      <c r="F139" s="126"/>
      <c r="G139" s="126"/>
      <c r="H139" s="126"/>
      <c r="I139" s="126"/>
      <c r="J139" s="126"/>
      <c r="K139" s="130"/>
      <c r="L139" s="83"/>
      <c r="M139" s="83"/>
      <c r="N139" s="83"/>
      <c r="O139" s="83"/>
      <c r="P139" s="83"/>
      <c r="Q139" s="54"/>
      <c r="R139" s="51"/>
      <c r="S139" s="83"/>
      <c r="T139" s="83"/>
      <c r="U139" s="83"/>
      <c r="V139" s="83"/>
      <c r="W139" s="83"/>
      <c r="X139" s="83"/>
    </row>
    <row r="140" spans="1:24">
      <c r="A140" s="124"/>
      <c r="C140" s="109"/>
      <c r="D140" s="125"/>
      <c r="E140" s="126"/>
      <c r="F140" s="126"/>
      <c r="G140" s="126"/>
      <c r="H140" s="126"/>
      <c r="I140" s="126"/>
      <c r="J140" s="126"/>
      <c r="K140" s="130"/>
      <c r="L140" s="83"/>
      <c r="M140" s="83"/>
      <c r="N140" s="83"/>
      <c r="O140" s="83"/>
      <c r="P140" s="83"/>
      <c r="Q140" s="54"/>
      <c r="R140" s="83"/>
      <c r="S140" s="83"/>
      <c r="T140" s="83"/>
      <c r="U140" s="83"/>
      <c r="V140" s="83"/>
      <c r="W140" s="83"/>
      <c r="X140" s="83"/>
    </row>
    <row r="141" spans="1:24">
      <c r="A141" s="124"/>
      <c r="C141" s="109"/>
      <c r="D141" s="125"/>
      <c r="E141" s="126"/>
      <c r="F141" s="126"/>
      <c r="G141" s="126"/>
      <c r="H141" s="126"/>
      <c r="I141" s="126"/>
      <c r="J141" s="126"/>
      <c r="K141" s="130"/>
      <c r="L141" s="83"/>
      <c r="M141" s="83"/>
      <c r="N141" s="83"/>
      <c r="O141" s="83"/>
      <c r="P141" s="83"/>
      <c r="Q141" s="54"/>
      <c r="R141" s="83"/>
      <c r="S141" s="83"/>
      <c r="T141" s="83"/>
      <c r="U141" s="83"/>
      <c r="V141" s="83"/>
      <c r="W141" s="83"/>
      <c r="X141" s="83"/>
    </row>
    <row r="142" spans="1:24">
      <c r="A142" s="124"/>
      <c r="C142" s="109"/>
      <c r="D142" s="125"/>
      <c r="E142" s="126"/>
      <c r="F142" s="126"/>
      <c r="G142" s="126"/>
      <c r="H142" s="126"/>
      <c r="I142" s="126"/>
      <c r="J142" s="126"/>
      <c r="K142" s="130"/>
      <c r="L142" s="83"/>
      <c r="M142" s="83"/>
      <c r="N142" s="83"/>
      <c r="O142" s="83"/>
      <c r="P142" s="83"/>
      <c r="Q142" s="54"/>
      <c r="R142" s="83"/>
      <c r="S142" s="83"/>
      <c r="T142" s="83"/>
      <c r="U142" s="83"/>
      <c r="V142" s="83"/>
      <c r="W142" s="83"/>
      <c r="X142" s="83"/>
    </row>
    <row r="143" spans="1:24">
      <c r="A143" s="124"/>
      <c r="C143" s="109"/>
      <c r="D143" s="125"/>
      <c r="E143" s="126"/>
      <c r="F143" s="126"/>
      <c r="G143" s="126"/>
      <c r="H143" s="126"/>
      <c r="I143" s="126"/>
      <c r="J143" s="126"/>
      <c r="K143" s="130"/>
      <c r="L143" s="83"/>
      <c r="M143" s="83"/>
      <c r="N143" s="83"/>
      <c r="O143" s="83"/>
      <c r="P143" s="83"/>
      <c r="Q143" s="54"/>
      <c r="R143" s="83"/>
      <c r="S143" s="83"/>
      <c r="T143" s="83"/>
      <c r="U143" s="83"/>
      <c r="V143" s="83"/>
      <c r="W143" s="83"/>
      <c r="X143" s="83"/>
    </row>
    <row r="144" spans="1:24">
      <c r="A144" s="124"/>
      <c r="C144" s="109"/>
      <c r="D144" s="125"/>
      <c r="E144" s="126"/>
      <c r="F144" s="126"/>
      <c r="G144" s="126"/>
      <c r="H144" s="126"/>
      <c r="I144" s="126"/>
      <c r="J144" s="126"/>
      <c r="K144" s="130"/>
      <c r="L144" s="83"/>
      <c r="M144" s="83"/>
      <c r="N144" s="83"/>
      <c r="O144" s="83"/>
      <c r="P144" s="83"/>
      <c r="Q144" s="54"/>
      <c r="R144" s="83"/>
      <c r="S144" s="83"/>
      <c r="T144" s="83"/>
      <c r="U144" s="83"/>
      <c r="V144" s="83"/>
      <c r="W144" s="83"/>
      <c r="X144" s="83"/>
    </row>
    <row r="145" spans="1:24">
      <c r="A145" s="124"/>
      <c r="C145" s="109"/>
      <c r="D145" s="125"/>
      <c r="E145" s="126"/>
      <c r="F145" s="126"/>
      <c r="G145" s="126"/>
      <c r="H145" s="126"/>
      <c r="I145" s="126"/>
      <c r="J145" s="126"/>
      <c r="K145" s="130"/>
      <c r="L145" s="83"/>
      <c r="M145" s="83"/>
      <c r="N145" s="83"/>
      <c r="O145" s="83"/>
      <c r="P145" s="83"/>
      <c r="Q145" s="54"/>
      <c r="R145" s="83"/>
      <c r="S145" s="83"/>
      <c r="T145" s="83"/>
      <c r="U145" s="83"/>
      <c r="V145" s="83"/>
      <c r="W145" s="83"/>
      <c r="X145" s="83"/>
    </row>
    <row r="146" spans="1:24">
      <c r="A146" s="124"/>
      <c r="C146" s="109"/>
      <c r="D146" s="125"/>
      <c r="E146" s="126"/>
      <c r="F146" s="126"/>
      <c r="G146" s="126"/>
      <c r="H146" s="126"/>
      <c r="I146" s="126"/>
      <c r="J146" s="126"/>
      <c r="K146" s="130"/>
      <c r="L146" s="83"/>
      <c r="M146" s="83"/>
      <c r="N146" s="83"/>
      <c r="O146" s="83"/>
      <c r="P146" s="83"/>
      <c r="Q146" s="54"/>
      <c r="R146" s="83"/>
      <c r="S146" s="83"/>
      <c r="T146" s="83"/>
      <c r="U146" s="83"/>
      <c r="V146" s="83"/>
      <c r="W146" s="83"/>
      <c r="X146" s="83"/>
    </row>
    <row r="147" spans="1:24">
      <c r="A147" s="124"/>
      <c r="C147" s="109"/>
      <c r="D147" s="125"/>
      <c r="E147" s="126"/>
      <c r="F147" s="126"/>
      <c r="G147" s="126"/>
      <c r="H147" s="126"/>
      <c r="I147" s="126"/>
      <c r="J147" s="126"/>
      <c r="K147" s="130"/>
      <c r="L147" s="83"/>
      <c r="M147" s="83"/>
      <c r="N147" s="83"/>
      <c r="O147" s="83"/>
      <c r="P147" s="83"/>
      <c r="Q147" s="54"/>
      <c r="R147" s="83"/>
      <c r="S147" s="83"/>
      <c r="T147" s="83"/>
      <c r="U147" s="83"/>
      <c r="V147" s="83"/>
      <c r="W147" s="83"/>
      <c r="X147" s="83"/>
    </row>
    <row r="148" spans="1:24">
      <c r="A148" s="124"/>
      <c r="C148" s="90"/>
      <c r="D148" s="115"/>
      <c r="E148" s="125"/>
      <c r="F148" s="125"/>
      <c r="G148" s="131"/>
      <c r="H148" s="131"/>
      <c r="I148" s="131"/>
      <c r="J148" s="131"/>
      <c r="K148" s="132"/>
      <c r="L148" s="83"/>
      <c r="M148" s="83"/>
      <c r="N148" s="83"/>
      <c r="O148" s="83"/>
      <c r="P148" s="83"/>
      <c r="Q148" s="54"/>
      <c r="R148" s="83"/>
      <c r="S148" s="83"/>
      <c r="T148" s="83"/>
      <c r="U148" s="83"/>
      <c r="V148" s="83"/>
      <c r="W148" s="83"/>
      <c r="X148" s="83"/>
    </row>
    <row r="149" spans="1:24">
      <c r="A149" s="83"/>
      <c r="B149" s="83"/>
      <c r="C149" s="82"/>
      <c r="D149" s="82"/>
      <c r="E149" s="82"/>
      <c r="F149" s="82"/>
      <c r="G149" s="82"/>
      <c r="H149" s="82"/>
      <c r="I149" s="82"/>
      <c r="J149" s="82"/>
      <c r="K149" s="54"/>
      <c r="L149" s="83"/>
      <c r="M149" s="83"/>
      <c r="N149" s="83"/>
      <c r="O149" s="83"/>
      <c r="P149" s="83"/>
      <c r="Q149" s="54"/>
      <c r="R149" s="83"/>
      <c r="S149" s="83"/>
      <c r="T149" s="83"/>
      <c r="U149" s="83"/>
      <c r="V149" s="83"/>
      <c r="W149" s="83"/>
      <c r="X149" s="83"/>
    </row>
    <row r="150" spans="1:24">
      <c r="A150" s="83"/>
      <c r="B150" s="83"/>
      <c r="C150" s="82"/>
      <c r="D150" s="82"/>
      <c r="E150" s="82"/>
      <c r="F150" s="82"/>
      <c r="G150" s="82"/>
      <c r="H150" s="82"/>
      <c r="I150" s="82"/>
      <c r="J150" s="82"/>
      <c r="K150" s="54"/>
      <c r="L150" s="83"/>
      <c r="M150" s="83"/>
      <c r="N150" s="83"/>
      <c r="O150" s="83"/>
      <c r="P150" s="83"/>
      <c r="Q150" s="54"/>
      <c r="R150" s="83"/>
      <c r="S150" s="83"/>
      <c r="T150" s="83"/>
      <c r="U150" s="83"/>
      <c r="V150" s="83"/>
      <c r="W150" s="83"/>
      <c r="X150" s="83"/>
    </row>
    <row r="151" spans="1:24">
      <c r="A151" s="83"/>
      <c r="B151" s="83"/>
      <c r="C151" s="82"/>
      <c r="D151" s="82"/>
      <c r="E151" s="82"/>
      <c r="F151" s="82"/>
      <c r="G151" s="82"/>
      <c r="H151" s="82"/>
      <c r="I151" s="82"/>
      <c r="J151" s="82"/>
      <c r="K151" s="54"/>
      <c r="L151" s="83"/>
      <c r="M151" s="83"/>
      <c r="N151" s="83"/>
      <c r="O151" s="83"/>
      <c r="P151" s="83"/>
      <c r="Q151" s="54"/>
      <c r="R151" s="83"/>
      <c r="S151" s="83"/>
      <c r="T151" s="83"/>
      <c r="U151" s="83"/>
      <c r="V151" s="83"/>
      <c r="W151" s="83"/>
      <c r="X151" s="83"/>
    </row>
    <row r="152" spans="1:24">
      <c r="A152" s="83"/>
      <c r="B152" s="83"/>
      <c r="C152" s="82"/>
      <c r="D152" s="82"/>
      <c r="E152" s="82"/>
      <c r="F152" s="82"/>
      <c r="G152" s="82"/>
      <c r="H152" s="82"/>
      <c r="I152" s="82"/>
      <c r="J152" s="82"/>
      <c r="K152" s="54"/>
      <c r="L152" s="83"/>
      <c r="M152" s="83"/>
      <c r="N152" s="83"/>
      <c r="O152" s="83"/>
      <c r="P152" s="83"/>
      <c r="Q152" s="54"/>
      <c r="R152" s="83"/>
      <c r="S152" s="83"/>
      <c r="T152" s="83"/>
      <c r="U152" s="83"/>
      <c r="V152" s="83"/>
      <c r="W152" s="83"/>
      <c r="X152" s="83"/>
    </row>
    <row r="153" spans="1:24">
      <c r="A153" s="83"/>
      <c r="B153" s="83"/>
      <c r="C153" s="82"/>
      <c r="D153" s="82"/>
      <c r="E153" s="82"/>
      <c r="F153" s="82"/>
      <c r="G153" s="82"/>
      <c r="H153" s="82"/>
      <c r="I153" s="82"/>
      <c r="J153" s="82"/>
      <c r="K153" s="54"/>
      <c r="L153" s="83"/>
      <c r="M153" s="83"/>
      <c r="N153" s="83"/>
      <c r="O153" s="83"/>
      <c r="P153" s="83"/>
      <c r="Q153" s="54"/>
      <c r="R153" s="83"/>
      <c r="S153" s="83"/>
      <c r="T153" s="83"/>
      <c r="U153" s="83"/>
      <c r="V153" s="83"/>
      <c r="W153" s="83"/>
      <c r="X153" s="83"/>
    </row>
    <row r="154" spans="1:24">
      <c r="A154" s="83"/>
      <c r="B154" s="83"/>
      <c r="C154" s="82"/>
      <c r="D154" s="82"/>
      <c r="E154" s="82"/>
      <c r="F154" s="82"/>
      <c r="G154" s="82"/>
      <c r="H154" s="82"/>
      <c r="I154" s="82"/>
      <c r="J154" s="82"/>
      <c r="K154" s="54"/>
      <c r="L154" s="83"/>
      <c r="M154" s="83"/>
      <c r="N154" s="83"/>
      <c r="O154" s="83"/>
      <c r="P154" s="83"/>
      <c r="Q154" s="54"/>
      <c r="R154" s="83"/>
      <c r="S154" s="83"/>
      <c r="T154" s="83"/>
      <c r="U154" s="83"/>
      <c r="V154" s="83"/>
      <c r="W154" s="83"/>
      <c r="X154" s="83"/>
    </row>
    <row r="155" spans="1:24">
      <c r="A155" s="83"/>
      <c r="B155" s="51"/>
      <c r="C155" s="54"/>
      <c r="D155" s="54"/>
      <c r="E155" s="54"/>
      <c r="F155" s="54"/>
      <c r="G155" s="54"/>
      <c r="H155" s="54"/>
      <c r="I155" s="54"/>
      <c r="J155" s="54"/>
      <c r="K155" s="54"/>
      <c r="L155" s="83"/>
      <c r="M155" s="83"/>
      <c r="N155" s="83"/>
      <c r="O155" s="83"/>
      <c r="P155" s="83"/>
      <c r="Q155" s="54"/>
      <c r="R155" s="83"/>
      <c r="S155" s="83"/>
      <c r="T155" s="83"/>
      <c r="U155" s="83"/>
      <c r="V155" s="83"/>
      <c r="W155" s="83"/>
      <c r="X155" s="83"/>
    </row>
    <row r="156" spans="1:24">
      <c r="A156" s="83"/>
      <c r="B156" s="83"/>
      <c r="C156" s="82"/>
      <c r="D156" s="82"/>
      <c r="E156" s="82"/>
      <c r="F156" s="82"/>
      <c r="G156" s="82"/>
      <c r="H156" s="82"/>
      <c r="I156" s="82"/>
      <c r="J156" s="82"/>
      <c r="K156" s="54"/>
      <c r="L156" s="83"/>
      <c r="M156" s="83"/>
      <c r="N156" s="83"/>
      <c r="O156" s="83"/>
      <c r="P156" s="83"/>
      <c r="Q156" s="54"/>
      <c r="R156" s="83"/>
      <c r="S156" s="83"/>
      <c r="T156" s="83"/>
      <c r="U156" s="83"/>
      <c r="V156" s="83"/>
      <c r="W156" s="83"/>
      <c r="X156" s="83"/>
    </row>
    <row r="157" spans="1:24">
      <c r="A157" s="83"/>
      <c r="B157" s="83"/>
      <c r="C157" s="82"/>
      <c r="D157" s="82"/>
      <c r="E157" s="82"/>
      <c r="F157" s="82"/>
      <c r="G157" s="82"/>
      <c r="H157" s="82"/>
      <c r="I157" s="82"/>
      <c r="J157" s="82"/>
      <c r="K157" s="54"/>
      <c r="L157" s="83"/>
      <c r="M157" s="83"/>
      <c r="N157" s="83"/>
      <c r="O157" s="83"/>
      <c r="P157" s="83"/>
      <c r="Q157" s="54"/>
      <c r="R157" s="83"/>
      <c r="S157" s="83"/>
      <c r="T157" s="83"/>
      <c r="U157" s="83"/>
      <c r="V157" s="83"/>
      <c r="W157" s="83"/>
      <c r="X157" s="83"/>
    </row>
    <row r="158" spans="1:24">
      <c r="A158" s="83"/>
      <c r="B158" s="83"/>
      <c r="C158" s="82"/>
      <c r="D158" s="82"/>
      <c r="E158" s="82"/>
      <c r="F158" s="82"/>
      <c r="G158" s="82"/>
      <c r="H158" s="82"/>
      <c r="I158" s="82"/>
      <c r="J158" s="82"/>
      <c r="K158" s="54"/>
      <c r="L158" s="83"/>
      <c r="M158" s="83"/>
      <c r="N158" s="83"/>
      <c r="O158" s="83"/>
      <c r="P158" s="83"/>
      <c r="Q158" s="54"/>
      <c r="R158" s="83"/>
      <c r="S158" s="83"/>
      <c r="T158" s="83"/>
      <c r="U158" s="83"/>
      <c r="V158" s="83"/>
      <c r="W158" s="83"/>
      <c r="X158" s="83"/>
    </row>
    <row r="159" spans="1:24">
      <c r="A159" s="83"/>
      <c r="B159" s="83"/>
      <c r="C159" s="82"/>
      <c r="D159" s="82"/>
      <c r="E159" s="82"/>
      <c r="F159" s="82"/>
      <c r="G159" s="82"/>
      <c r="H159" s="82"/>
      <c r="I159" s="82"/>
      <c r="J159" s="82"/>
      <c r="K159" s="54"/>
      <c r="L159" s="83"/>
      <c r="M159" s="83"/>
      <c r="N159" s="83"/>
      <c r="O159" s="83"/>
      <c r="P159" s="83"/>
      <c r="Q159" s="54"/>
      <c r="R159" s="83"/>
      <c r="S159" s="83"/>
      <c r="T159" s="83"/>
      <c r="U159" s="83"/>
      <c r="V159" s="83"/>
      <c r="W159" s="83"/>
      <c r="X159" s="83"/>
    </row>
    <row r="160" spans="1:24">
      <c r="A160" s="83"/>
      <c r="B160" s="83"/>
      <c r="C160" s="82"/>
      <c r="D160" s="82"/>
      <c r="E160" s="82"/>
      <c r="F160" s="82"/>
      <c r="G160" s="82"/>
      <c r="H160" s="82"/>
      <c r="I160" s="82"/>
      <c r="J160" s="82"/>
      <c r="K160" s="54"/>
      <c r="L160" s="83"/>
      <c r="M160" s="83"/>
      <c r="N160" s="83"/>
      <c r="O160" s="83"/>
      <c r="P160" s="83"/>
      <c r="Q160" s="54"/>
      <c r="R160" s="83"/>
      <c r="S160" s="83"/>
      <c r="T160" s="83"/>
      <c r="U160" s="83"/>
      <c r="V160" s="83"/>
      <c r="W160" s="83"/>
      <c r="X160" s="83"/>
    </row>
    <row r="161" spans="1:24">
      <c r="A161" s="83"/>
      <c r="B161" s="51"/>
      <c r="C161" s="54"/>
      <c r="D161" s="54"/>
      <c r="E161" s="54"/>
      <c r="F161" s="54"/>
      <c r="G161" s="54"/>
      <c r="H161" s="54"/>
      <c r="I161" s="54"/>
      <c r="J161" s="54"/>
      <c r="K161" s="54"/>
      <c r="L161" s="83"/>
      <c r="M161" s="83"/>
      <c r="N161" s="83"/>
      <c r="O161" s="83"/>
      <c r="P161" s="83"/>
      <c r="Q161" s="54"/>
      <c r="R161" s="83"/>
      <c r="S161" s="83"/>
      <c r="T161" s="83"/>
      <c r="U161" s="83"/>
      <c r="V161" s="83"/>
      <c r="W161" s="83"/>
      <c r="X161" s="83"/>
    </row>
    <row r="162" spans="1:24">
      <c r="A162" s="83"/>
      <c r="B162" s="83"/>
      <c r="C162" s="82"/>
      <c r="D162" s="82"/>
      <c r="E162" s="82"/>
      <c r="F162" s="82"/>
      <c r="G162" s="82"/>
      <c r="H162" s="82"/>
      <c r="I162" s="82"/>
      <c r="J162" s="82"/>
      <c r="K162" s="54"/>
      <c r="L162" s="83"/>
      <c r="M162" s="83"/>
      <c r="N162" s="83"/>
      <c r="O162" s="83"/>
      <c r="P162" s="83"/>
      <c r="Q162" s="54"/>
      <c r="R162" s="83"/>
      <c r="S162" s="83"/>
      <c r="T162" s="83"/>
      <c r="U162" s="83"/>
      <c r="V162" s="83"/>
      <c r="W162" s="83"/>
      <c r="X162" s="83"/>
    </row>
    <row r="163" spans="1:24">
      <c r="A163" s="83"/>
      <c r="B163" s="83"/>
      <c r="C163" s="82"/>
      <c r="D163" s="82"/>
      <c r="E163" s="82"/>
      <c r="F163" s="82"/>
      <c r="G163" s="82"/>
      <c r="H163" s="82"/>
      <c r="I163" s="82"/>
      <c r="J163" s="82"/>
      <c r="K163" s="54"/>
      <c r="L163" s="83"/>
      <c r="M163" s="83"/>
      <c r="N163" s="83"/>
      <c r="O163" s="83"/>
      <c r="P163" s="83"/>
      <c r="Q163" s="54"/>
      <c r="R163" s="83"/>
      <c r="S163" s="83"/>
      <c r="T163" s="83"/>
      <c r="U163" s="83"/>
      <c r="V163" s="83"/>
      <c r="W163" s="83"/>
      <c r="X163" s="83"/>
    </row>
    <row r="164" spans="1:24">
      <c r="A164" s="83"/>
      <c r="B164" s="83"/>
      <c r="C164" s="82"/>
      <c r="D164" s="82"/>
      <c r="E164" s="82"/>
      <c r="F164" s="82"/>
      <c r="G164" s="82"/>
      <c r="H164" s="82"/>
      <c r="I164" s="82"/>
      <c r="J164" s="82"/>
      <c r="K164" s="54"/>
      <c r="L164" s="83"/>
      <c r="M164" s="83"/>
      <c r="N164" s="83"/>
      <c r="O164" s="83"/>
      <c r="P164" s="83"/>
      <c r="Q164" s="54"/>
      <c r="R164" s="83"/>
      <c r="S164" s="83"/>
      <c r="T164" s="83"/>
      <c r="U164" s="83"/>
      <c r="V164" s="83"/>
      <c r="W164" s="83"/>
      <c r="X164" s="83"/>
    </row>
    <row r="165" spans="1:24">
      <c r="A165" s="83"/>
      <c r="B165" s="51"/>
      <c r="C165" s="54"/>
      <c r="D165" s="54"/>
      <c r="E165" s="54"/>
      <c r="F165" s="54"/>
      <c r="G165" s="54"/>
      <c r="H165" s="54"/>
      <c r="I165" s="54"/>
      <c r="J165" s="54"/>
      <c r="K165" s="54"/>
      <c r="L165" s="83"/>
      <c r="M165" s="83"/>
      <c r="N165" s="83"/>
      <c r="O165" s="83"/>
      <c r="P165" s="83"/>
      <c r="Q165" s="54"/>
      <c r="R165" s="83"/>
      <c r="S165" s="83"/>
      <c r="T165" s="83"/>
      <c r="U165" s="83"/>
      <c r="V165" s="83"/>
      <c r="W165" s="83"/>
      <c r="X165" s="83"/>
    </row>
    <row r="166" spans="1:24">
      <c r="A166" s="83"/>
      <c r="B166" s="83"/>
      <c r="C166" s="82"/>
      <c r="D166" s="82"/>
      <c r="E166" s="82"/>
      <c r="F166" s="82"/>
      <c r="G166" s="82"/>
      <c r="H166" s="82"/>
      <c r="I166" s="82"/>
      <c r="J166" s="82"/>
      <c r="K166" s="82"/>
      <c r="L166" s="83"/>
      <c r="M166" s="83"/>
      <c r="N166" s="83"/>
      <c r="O166" s="83"/>
      <c r="P166" s="83"/>
      <c r="Q166" s="54"/>
      <c r="R166" s="83"/>
      <c r="S166" s="83"/>
      <c r="T166" s="83"/>
      <c r="U166" s="83"/>
      <c r="V166" s="83"/>
      <c r="W166" s="83"/>
      <c r="X166" s="83"/>
    </row>
    <row r="167" spans="1:24">
      <c r="A167" s="83"/>
      <c r="B167" s="51"/>
      <c r="C167" s="54"/>
      <c r="D167" s="54"/>
      <c r="E167" s="54"/>
      <c r="F167" s="54"/>
      <c r="G167" s="54"/>
      <c r="H167" s="54"/>
      <c r="I167" s="54"/>
      <c r="J167" s="54"/>
      <c r="K167" s="54"/>
      <c r="L167" s="83"/>
      <c r="M167" s="83"/>
      <c r="N167" s="83"/>
      <c r="O167" s="83"/>
      <c r="P167" s="83"/>
      <c r="Q167" s="82"/>
      <c r="R167" s="83"/>
      <c r="S167" s="83"/>
      <c r="T167" s="83"/>
      <c r="U167" s="83"/>
      <c r="V167" s="83"/>
      <c r="W167" s="83"/>
      <c r="X167" s="83"/>
    </row>
    <row r="168" spans="1:24">
      <c r="A168" s="83"/>
      <c r="B168" s="83"/>
      <c r="C168" s="83"/>
      <c r="D168" s="83"/>
      <c r="E168" s="83"/>
      <c r="F168" s="83"/>
      <c r="G168" s="83"/>
      <c r="H168" s="83"/>
      <c r="I168" s="83"/>
      <c r="J168" s="83"/>
      <c r="K168" s="83"/>
      <c r="L168" s="83"/>
      <c r="M168" s="83"/>
      <c r="N168" s="83"/>
      <c r="O168" s="83"/>
      <c r="P168" s="83"/>
      <c r="Q168" s="54"/>
      <c r="R168" s="83"/>
      <c r="T168" s="83"/>
      <c r="U168" s="83"/>
      <c r="V168" s="83"/>
      <c r="W168" s="83"/>
      <c r="X168" s="83"/>
    </row>
    <row r="169" spans="1:24">
      <c r="A169" s="83"/>
      <c r="B169" s="83"/>
      <c r="C169" s="83"/>
      <c r="D169" s="83"/>
      <c r="E169" s="83"/>
      <c r="F169" s="83"/>
      <c r="G169" s="83"/>
      <c r="H169" s="83"/>
      <c r="I169" s="83"/>
      <c r="J169" s="83"/>
      <c r="K169" s="83"/>
      <c r="L169" s="83"/>
      <c r="M169" s="83"/>
      <c r="N169" s="83"/>
      <c r="O169" s="83"/>
      <c r="P169" s="83"/>
      <c r="Q169" s="83"/>
      <c r="R169" s="83"/>
      <c r="T169" s="83"/>
      <c r="U169" s="83"/>
      <c r="V169" s="83"/>
      <c r="W169" s="83"/>
      <c r="X169" s="83"/>
    </row>
    <row r="170" spans="1:24">
      <c r="A170" s="83"/>
      <c r="B170" s="83"/>
      <c r="C170" s="53"/>
      <c r="D170" s="55"/>
      <c r="E170" s="53"/>
      <c r="F170" s="55"/>
      <c r="G170" s="55"/>
      <c r="H170" s="55"/>
      <c r="I170" s="55"/>
      <c r="J170" s="55"/>
      <c r="K170" s="55"/>
      <c r="L170" s="83"/>
      <c r="M170" s="83"/>
      <c r="N170" s="83"/>
      <c r="O170" s="83"/>
      <c r="P170" s="83"/>
      <c r="Q170" s="83"/>
      <c r="R170" s="83"/>
    </row>
    <row r="171" spans="1:24">
      <c r="A171" s="107"/>
      <c r="B171" s="83"/>
      <c r="C171" s="82"/>
      <c r="D171" s="82"/>
      <c r="E171" s="82"/>
      <c r="F171" s="82"/>
      <c r="G171" s="82"/>
      <c r="H171" s="82"/>
      <c r="I171" s="82"/>
      <c r="J171" s="82"/>
      <c r="K171" s="82"/>
      <c r="L171" s="83"/>
      <c r="M171" s="83"/>
      <c r="N171" s="83"/>
      <c r="O171" s="83"/>
      <c r="P171" s="83"/>
      <c r="Q171" s="55"/>
      <c r="R171" s="83"/>
    </row>
    <row r="172" spans="1:24">
      <c r="A172" s="107"/>
      <c r="B172" s="108"/>
      <c r="C172" s="82"/>
      <c r="D172" s="82"/>
      <c r="E172" s="82"/>
      <c r="F172" s="82"/>
      <c r="G172" s="82"/>
      <c r="H172" s="82"/>
      <c r="I172" s="82"/>
      <c r="J172" s="82"/>
      <c r="K172" s="82"/>
      <c r="L172" s="83"/>
      <c r="M172" s="83"/>
      <c r="N172" s="83"/>
      <c r="O172" s="83"/>
      <c r="P172" s="83"/>
      <c r="Q172" s="82"/>
      <c r="R172" s="83"/>
    </row>
    <row r="173" spans="1:24">
      <c r="A173" s="107"/>
      <c r="B173" s="108"/>
      <c r="C173" s="82"/>
      <c r="D173" s="82"/>
      <c r="E173" s="82"/>
      <c r="F173" s="82"/>
      <c r="G173" s="82"/>
      <c r="H173" s="82"/>
      <c r="I173" s="82"/>
      <c r="J173" s="82"/>
      <c r="K173" s="82"/>
      <c r="L173" s="83"/>
      <c r="M173" s="83"/>
      <c r="N173" s="83"/>
      <c r="O173" s="83"/>
      <c r="P173" s="83"/>
      <c r="Q173" s="82"/>
      <c r="R173" s="83"/>
    </row>
    <row r="174" spans="1:24">
      <c r="A174" s="107"/>
      <c r="B174" s="108"/>
      <c r="C174" s="82"/>
      <c r="D174" s="82"/>
      <c r="E174" s="82"/>
      <c r="F174" s="82"/>
      <c r="G174" s="82"/>
      <c r="H174" s="82"/>
      <c r="I174" s="82"/>
      <c r="J174" s="82"/>
      <c r="K174" s="82"/>
      <c r="L174" s="83"/>
      <c r="M174" s="83"/>
      <c r="N174" s="83"/>
      <c r="O174" s="83"/>
      <c r="P174" s="83"/>
      <c r="Q174" s="82"/>
      <c r="R174" s="83"/>
    </row>
    <row r="175" spans="1:24">
      <c r="A175" s="107"/>
      <c r="B175" s="108"/>
      <c r="C175" s="82"/>
      <c r="D175" s="82"/>
      <c r="E175" s="82"/>
      <c r="F175" s="82"/>
      <c r="G175" s="82"/>
      <c r="H175" s="82"/>
      <c r="I175" s="82"/>
      <c r="J175" s="82"/>
      <c r="K175" s="82"/>
      <c r="L175" s="83"/>
      <c r="M175" s="83"/>
      <c r="N175" s="83"/>
      <c r="O175" s="83"/>
      <c r="P175" s="83"/>
      <c r="Q175" s="82"/>
      <c r="R175" s="83"/>
    </row>
    <row r="176" spans="1:24">
      <c r="A176" s="107"/>
      <c r="B176" s="108"/>
      <c r="C176" s="82"/>
      <c r="D176" s="82"/>
      <c r="E176" s="82"/>
      <c r="F176" s="82"/>
      <c r="G176" s="82"/>
      <c r="H176" s="82"/>
      <c r="I176" s="82"/>
      <c r="J176" s="82"/>
      <c r="K176" s="82"/>
      <c r="L176" s="83"/>
      <c r="M176" s="83"/>
      <c r="N176" s="83"/>
      <c r="O176" s="83"/>
      <c r="P176" s="83"/>
      <c r="Q176" s="82"/>
      <c r="R176" s="83"/>
    </row>
    <row r="177" spans="1:18">
      <c r="A177" s="107"/>
      <c r="B177" s="83"/>
      <c r="C177" s="54"/>
      <c r="D177" s="54"/>
      <c r="E177" s="54"/>
      <c r="F177" s="54"/>
      <c r="G177" s="54"/>
      <c r="H177" s="54"/>
      <c r="I177" s="54"/>
      <c r="J177" s="54"/>
      <c r="K177" s="54"/>
      <c r="L177" s="83"/>
      <c r="M177" s="83"/>
      <c r="N177" s="83"/>
      <c r="O177" s="83"/>
      <c r="P177" s="83"/>
      <c r="Q177" s="82"/>
      <c r="R177" s="83"/>
    </row>
    <row r="178" spans="1:18">
      <c r="A178" s="107"/>
      <c r="B178" s="83"/>
      <c r="C178" s="82"/>
      <c r="D178" s="82"/>
      <c r="E178" s="82"/>
      <c r="F178" s="82"/>
      <c r="G178" s="82"/>
      <c r="H178" s="82"/>
      <c r="I178" s="82"/>
      <c r="J178" s="82"/>
      <c r="K178" s="82"/>
      <c r="L178" s="83"/>
      <c r="M178" s="83"/>
      <c r="N178" s="83"/>
      <c r="O178" s="83"/>
      <c r="P178" s="83"/>
      <c r="Q178" s="54"/>
      <c r="R178" s="83"/>
    </row>
    <row r="179" spans="1:18">
      <c r="A179" s="107"/>
      <c r="B179" s="109"/>
      <c r="C179" s="54"/>
      <c r="D179" s="54"/>
      <c r="E179" s="54"/>
      <c r="F179" s="54"/>
      <c r="G179" s="54"/>
      <c r="H179" s="54"/>
      <c r="I179" s="54"/>
      <c r="J179" s="54"/>
      <c r="K179" s="54"/>
      <c r="L179" s="83"/>
      <c r="M179" s="83"/>
      <c r="N179" s="83"/>
      <c r="O179" s="83"/>
      <c r="P179" s="83"/>
      <c r="Q179" s="82"/>
      <c r="R179" s="83"/>
    </row>
    <row r="180" spans="1:18">
      <c r="A180" s="107"/>
      <c r="B180" s="109"/>
      <c r="C180" s="83"/>
      <c r="D180" s="83"/>
      <c r="E180" s="83"/>
      <c r="F180" s="83"/>
      <c r="G180" s="83"/>
      <c r="H180" s="83"/>
      <c r="I180" s="83"/>
      <c r="J180" s="83"/>
      <c r="K180" s="83"/>
      <c r="L180" s="83"/>
      <c r="M180" s="83"/>
      <c r="N180" s="83"/>
      <c r="O180" s="83"/>
      <c r="P180" s="83"/>
      <c r="Q180" s="54"/>
      <c r="R180" s="83"/>
    </row>
    <row r="181" spans="1:18">
      <c r="A181" s="107"/>
      <c r="B181" s="109"/>
      <c r="C181" s="83"/>
      <c r="D181" s="83"/>
      <c r="E181" s="83"/>
      <c r="F181" s="83"/>
      <c r="G181" s="83"/>
      <c r="H181" s="83"/>
      <c r="I181" s="83"/>
      <c r="J181" s="83"/>
      <c r="K181" s="83"/>
      <c r="L181" s="83"/>
      <c r="M181" s="83"/>
      <c r="N181" s="83"/>
      <c r="O181" s="83"/>
      <c r="P181" s="83"/>
      <c r="Q181" s="83"/>
      <c r="R181" s="83"/>
    </row>
    <row r="182" spans="1:18">
      <c r="Q182" s="83"/>
      <c r="R182" s="83"/>
    </row>
  </sheetData>
  <mergeCells count="44">
    <mergeCell ref="AD94:AD95"/>
    <mergeCell ref="Y94:Y95"/>
    <mergeCell ref="B10:B11"/>
    <mergeCell ref="T47:AC47"/>
    <mergeCell ref="D10:D11"/>
    <mergeCell ref="E10:E11"/>
    <mergeCell ref="F10:F11"/>
    <mergeCell ref="G10:G11"/>
    <mergeCell ref="H10:H11"/>
    <mergeCell ref="I10:I11"/>
    <mergeCell ref="J10:J11"/>
    <mergeCell ref="K10:K11"/>
    <mergeCell ref="L10:L11"/>
    <mergeCell ref="M10:M11"/>
    <mergeCell ref="N10:N11"/>
    <mergeCell ref="G26:G28"/>
    <mergeCell ref="T1:AC1"/>
    <mergeCell ref="U2:W2"/>
    <mergeCell ref="X2:Z2"/>
    <mergeCell ref="AA2:AC2"/>
    <mergeCell ref="M26:M28"/>
    <mergeCell ref="N26:N28"/>
    <mergeCell ref="O26:O28"/>
    <mergeCell ref="D26:D28"/>
    <mergeCell ref="E26:E28"/>
    <mergeCell ref="F26:F28"/>
    <mergeCell ref="K26:K28"/>
    <mergeCell ref="L26:L28"/>
    <mergeCell ref="I26:I28"/>
    <mergeCell ref="J26:J28"/>
    <mergeCell ref="V94:V95"/>
    <mergeCell ref="W94:W95"/>
    <mergeCell ref="U94:U95"/>
    <mergeCell ref="S94:S95"/>
    <mergeCell ref="O10:O11"/>
    <mergeCell ref="P10:P11"/>
    <mergeCell ref="T84:AC84"/>
    <mergeCell ref="T57:AC57"/>
    <mergeCell ref="T81:W82"/>
    <mergeCell ref="X81:X82"/>
    <mergeCell ref="X94:X95"/>
    <mergeCell ref="AA94:AA95"/>
    <mergeCell ref="AB94:AB95"/>
    <mergeCell ref="AC94:AC95"/>
  </mergeCells>
  <conditionalFormatting sqref="I36:N56 I74:N74 I77:N77 I75:O76 I65:N65 I57:O57 I63:N63 M62:N62 I59:N61 I67:O71 I79:N91 D81:F89">
    <cfRule type="cellIs" dxfId="5" priority="4" operator="greaterThan">
      <formula>0</formula>
    </cfRule>
  </conditionalFormatting>
  <conditionalFormatting sqref="C96:C117">
    <cfRule type="cellIs" dxfId="4" priority="3" operator="equal">
      <formula>1</formula>
    </cfRule>
  </conditionalFormatting>
  <conditionalFormatting sqref="C136:C147">
    <cfRule type="cellIs" dxfId="3" priority="2" operator="equal">
      <formula>1</formula>
    </cfRule>
  </conditionalFormatting>
  <pageMargins left="0" right="0" top="0" bottom="0" header="0" footer="0"/>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62"/>
  <sheetViews>
    <sheetView workbookViewId="0">
      <selection activeCell="F21" sqref="F21"/>
    </sheetView>
  </sheetViews>
  <sheetFormatPr baseColWidth="10" defaultRowHeight="15.75"/>
  <cols>
    <col min="2" max="2" width="40.625" customWidth="1"/>
    <col min="3" max="3" width="16.5" bestFit="1" customWidth="1"/>
    <col min="4" max="4" width="12.625" customWidth="1"/>
    <col min="6" max="6" width="11.125" bestFit="1" customWidth="1"/>
    <col min="7" max="7" width="13.625" customWidth="1"/>
    <col min="11" max="11" width="17.125" customWidth="1"/>
  </cols>
  <sheetData>
    <row r="1" spans="1:16">
      <c r="A1" s="112"/>
      <c r="B1" s="112"/>
      <c r="C1" s="112"/>
      <c r="D1" s="112"/>
      <c r="E1" s="112"/>
      <c r="F1" s="112"/>
      <c r="G1" s="112"/>
      <c r="H1" s="112"/>
      <c r="I1" s="112"/>
      <c r="J1" s="112"/>
      <c r="K1" s="112"/>
      <c r="L1" s="112"/>
      <c r="M1" s="112"/>
      <c r="N1" s="112"/>
      <c r="O1" s="112"/>
      <c r="P1" s="112"/>
    </row>
    <row r="2" spans="1:16">
      <c r="A2" s="112"/>
      <c r="B2" s="120" t="s">
        <v>172</v>
      </c>
      <c r="C2" s="112"/>
      <c r="D2" s="112"/>
      <c r="E2" s="112"/>
      <c r="F2" s="112"/>
      <c r="G2" s="112"/>
      <c r="H2" s="112"/>
      <c r="I2" s="112"/>
      <c r="J2" s="112"/>
      <c r="K2" s="120" t="s">
        <v>397</v>
      </c>
      <c r="L2" s="120"/>
      <c r="M2" s="120"/>
      <c r="N2" s="112"/>
      <c r="O2" s="112"/>
      <c r="P2" s="112"/>
    </row>
    <row r="3" spans="1:16" ht="16.5" thickBot="1">
      <c r="A3" s="112"/>
      <c r="B3" s="112"/>
      <c r="C3" s="366" t="s">
        <v>396</v>
      </c>
      <c r="D3" s="366"/>
      <c r="E3" s="366"/>
      <c r="F3" s="112"/>
      <c r="G3" s="112"/>
      <c r="H3" s="112"/>
      <c r="I3" s="112"/>
      <c r="J3" s="112"/>
      <c r="K3" s="112"/>
      <c r="L3" s="112"/>
      <c r="M3" s="112"/>
      <c r="N3" s="112"/>
      <c r="O3" s="112"/>
      <c r="P3" s="112"/>
    </row>
    <row r="4" spans="1:16" ht="47.25">
      <c r="A4" s="112"/>
      <c r="B4" s="121"/>
      <c r="C4" s="122" t="s">
        <v>736</v>
      </c>
      <c r="D4" s="123" t="s">
        <v>393</v>
      </c>
      <c r="E4" s="133" t="s">
        <v>733</v>
      </c>
      <c r="F4" s="112"/>
      <c r="G4" s="112"/>
      <c r="H4" s="112"/>
      <c r="I4" s="112"/>
      <c r="J4" s="112"/>
      <c r="K4" s="112"/>
      <c r="L4" s="112"/>
      <c r="M4" s="351" t="s">
        <v>734</v>
      </c>
      <c r="N4" s="112"/>
      <c r="O4" s="112"/>
      <c r="P4" s="112"/>
    </row>
    <row r="5" spans="1:16">
      <c r="A5" s="112"/>
      <c r="B5" s="346" t="s">
        <v>226</v>
      </c>
      <c r="C5" s="113">
        <f>Step2!AC35</f>
        <v>3008.931</v>
      </c>
      <c r="D5" s="136">
        <f>Step2!F67/'Resumen electricidad '!$C$30</f>
        <v>10285.555555555557</v>
      </c>
      <c r="E5" s="134">
        <f>(C5/D5)*100</f>
        <v>29.253947283137084</v>
      </c>
      <c r="F5" s="112"/>
      <c r="G5" s="112"/>
      <c r="H5" s="112"/>
      <c r="I5" s="112"/>
      <c r="J5" s="112"/>
      <c r="K5" s="116" t="s">
        <v>7</v>
      </c>
      <c r="L5" s="117"/>
      <c r="M5" s="118">
        <v>152.71</v>
      </c>
      <c r="N5" s="112"/>
      <c r="O5" s="112"/>
      <c r="P5" s="112"/>
    </row>
    <row r="6" spans="1:16">
      <c r="A6" s="112"/>
      <c r="B6" s="347" t="s">
        <v>387</v>
      </c>
      <c r="C6" s="113">
        <f>Step2!AC36</f>
        <v>167104.78286286767</v>
      </c>
      <c r="D6" s="136">
        <f>Step2!F68/'Resumen electricidad '!$C$30</f>
        <v>147495.55555555556</v>
      </c>
      <c r="E6" s="134">
        <f t="shared" ref="E6:E11" si="0">(C6/D6)*100</f>
        <v>113.2947919911567</v>
      </c>
      <c r="F6" s="112"/>
      <c r="G6" s="112"/>
      <c r="H6" s="112"/>
      <c r="I6" s="112"/>
      <c r="J6" s="112"/>
      <c r="K6" s="119" t="s">
        <v>281</v>
      </c>
      <c r="L6" s="117"/>
      <c r="M6" s="118">
        <v>116.015</v>
      </c>
      <c r="N6" s="112"/>
      <c r="O6" s="112"/>
      <c r="P6" s="112"/>
    </row>
    <row r="7" spans="1:16">
      <c r="A7" s="112"/>
      <c r="B7" s="647" t="s">
        <v>571</v>
      </c>
      <c r="C7" s="113">
        <f>Step2!AC37</f>
        <v>4109.6010000000006</v>
      </c>
      <c r="D7" s="136">
        <f>Step2!F69/'Resumen electricidad '!$C$30</f>
        <v>7003.3891912024737</v>
      </c>
      <c r="E7" s="134">
        <f t="shared" si="0"/>
        <v>58.680174524106185</v>
      </c>
      <c r="F7" s="112"/>
      <c r="G7" s="112"/>
      <c r="H7" s="112"/>
      <c r="I7" s="112"/>
      <c r="J7" s="112"/>
      <c r="K7" s="119" t="s">
        <v>398</v>
      </c>
      <c r="L7" s="117"/>
      <c r="M7" s="118">
        <v>225.904</v>
      </c>
      <c r="N7" s="112"/>
      <c r="O7" s="112"/>
      <c r="P7" s="112"/>
    </row>
    <row r="8" spans="1:16">
      <c r="A8" s="112"/>
      <c r="B8" s="348" t="s">
        <v>214</v>
      </c>
      <c r="C8" s="113">
        <f>Step2!AC38</f>
        <v>85201.579000000056</v>
      </c>
      <c r="D8" s="136">
        <f>Step2!F70/'Resumen electricidad '!$C$30</f>
        <v>14694.444444444447</v>
      </c>
      <c r="E8" s="134">
        <f t="shared" si="0"/>
        <v>579.82170964083207</v>
      </c>
      <c r="F8" s="112"/>
      <c r="G8" s="112"/>
      <c r="H8" s="112"/>
      <c r="I8" s="112"/>
      <c r="J8" s="112"/>
      <c r="K8" s="119" t="s">
        <v>298</v>
      </c>
      <c r="L8" s="117"/>
      <c r="M8" s="118">
        <v>294.60199999999998</v>
      </c>
      <c r="N8" s="112"/>
      <c r="O8" s="112"/>
      <c r="P8" s="112"/>
    </row>
    <row r="9" spans="1:16">
      <c r="A9" s="112"/>
      <c r="B9" s="348" t="s">
        <v>215</v>
      </c>
      <c r="C9" s="113">
        <f>Step2!AC39</f>
        <v>14538.358</v>
      </c>
      <c r="D9" s="136">
        <f>Step2!F71/'Resumen electricidad '!$C$30</f>
        <v>9285.2777777777774</v>
      </c>
      <c r="E9" s="134">
        <f t="shared" si="0"/>
        <v>156.5742926376881</v>
      </c>
      <c r="F9" s="112"/>
      <c r="G9" s="112"/>
      <c r="H9" s="112"/>
      <c r="I9" s="112"/>
      <c r="J9" s="112"/>
      <c r="K9" s="119" t="s">
        <v>399</v>
      </c>
      <c r="L9" s="117"/>
      <c r="M9" s="118">
        <v>53.658000000000001</v>
      </c>
      <c r="N9" s="112"/>
      <c r="O9" s="112"/>
      <c r="P9" s="112"/>
    </row>
    <row r="10" spans="1:16" s="112" customFormat="1">
      <c r="B10" s="648" t="s">
        <v>543</v>
      </c>
      <c r="C10" s="113">
        <f>Step2!AC40</f>
        <v>37854.733</v>
      </c>
      <c r="D10" s="136">
        <f>Step2!F72/'Resumen electricidad '!$C$30</f>
        <v>54215.277777777781</v>
      </c>
      <c r="E10" s="134">
        <f t="shared" si="0"/>
        <v>69.822999257076972</v>
      </c>
      <c r="K10" s="116" t="s">
        <v>47</v>
      </c>
      <c r="L10" s="117"/>
      <c r="M10" s="118">
        <v>155.19</v>
      </c>
    </row>
    <row r="11" spans="1:16" s="112" customFormat="1">
      <c r="B11" s="348" t="s">
        <v>388</v>
      </c>
      <c r="C11" s="113">
        <f>Step2!AC41</f>
        <v>3883.6251371323192</v>
      </c>
      <c r="D11" s="136">
        <f>Step2!F75/'Resumen electricidad '!$C$30</f>
        <v>3396.7968713668133</v>
      </c>
      <c r="E11" s="134">
        <f t="shared" si="0"/>
        <v>114.33198051579735</v>
      </c>
      <c r="K11" s="119" t="s">
        <v>400</v>
      </c>
      <c r="L11" s="117"/>
      <c r="M11" s="118">
        <v>168.56</v>
      </c>
    </row>
    <row r="12" spans="1:16" s="112" customFormat="1">
      <c r="B12" s="112" t="s">
        <v>421</v>
      </c>
      <c r="C12" s="113">
        <f>Step2!AC42</f>
        <v>1387.2729999999999</v>
      </c>
      <c r="D12" s="136">
        <f>Step2!F76/'Resumen electricidad '!$C$30</f>
        <v>10147.371134103018</v>
      </c>
      <c r="E12" s="134">
        <f>(C12/D12)*100</f>
        <v>13.671255162213289</v>
      </c>
      <c r="K12" s="119" t="s">
        <v>401</v>
      </c>
      <c r="L12" s="117"/>
      <c r="M12" s="118">
        <v>132.13999999999999</v>
      </c>
    </row>
    <row r="13" spans="1:16" s="112" customFormat="1">
      <c r="B13" s="120" t="s">
        <v>911</v>
      </c>
      <c r="C13" s="114">
        <f>SUM(C5:C12)</f>
        <v>317088.88300000003</v>
      </c>
      <c r="D13" s="114">
        <f t="shared" ref="D13" si="1">SUM(D5:D12)</f>
        <v>256523.66830778343</v>
      </c>
      <c r="E13" s="134">
        <f>(C13/D13)*100</f>
        <v>123.60999087988598</v>
      </c>
      <c r="K13" s="112" t="s">
        <v>416</v>
      </c>
    </row>
    <row r="14" spans="1:16" s="112" customFormat="1">
      <c r="E14" s="357"/>
    </row>
    <row r="15" spans="1:16" s="112" customFormat="1">
      <c r="B15" s="112" t="s">
        <v>218</v>
      </c>
      <c r="C15" s="355">
        <f>$C$12*'Step1-electricity '!E34</f>
        <v>131.21508971180305</v>
      </c>
      <c r="D15" s="353">
        <f>'Step1-electricity '!E4/$C$30</f>
        <v>959.78816981249406</v>
      </c>
      <c r="E15" s="358">
        <f>IF(D15=0,"-",C15/D15*100)</f>
        <v>13.671255162213289</v>
      </c>
    </row>
    <row r="16" spans="1:16" s="112" customFormat="1">
      <c r="B16" s="112" t="s">
        <v>219</v>
      </c>
      <c r="C16" s="355">
        <f>$C$12*'Step1-electricity '!E35</f>
        <v>19.58944771188391</v>
      </c>
      <c r="D16" s="353">
        <f>'Step1-electricity '!E5/$C$30</f>
        <v>143.289313815371</v>
      </c>
      <c r="E16" s="358">
        <f t="shared" ref="E16:E26" si="2">IF(D16=0,"-",C16/D16*100)</f>
        <v>13.671255162213292</v>
      </c>
    </row>
    <row r="17" spans="1:7" s="112" customFormat="1">
      <c r="B17" s="112" t="s">
        <v>171</v>
      </c>
      <c r="C17" s="355">
        <f>$C$12*'Step1-electricity '!E36</f>
        <v>28.414663789278951</v>
      </c>
      <c r="D17" s="353">
        <f>'Step1-electricity '!E6/$C$30</f>
        <v>207.84239231973191</v>
      </c>
      <c r="E17" s="358">
        <f t="shared" si="2"/>
        <v>13.671255162213292</v>
      </c>
    </row>
    <row r="18" spans="1:7" s="112" customFormat="1">
      <c r="B18" s="112" t="s">
        <v>11</v>
      </c>
      <c r="C18" s="355">
        <f>$C$12*'Step1-electricity '!E37</f>
        <v>9.1250715751548028E-2</v>
      </c>
      <c r="D18" s="353">
        <f>'Step1-electricity '!E7/$C$30</f>
        <v>0.66746406726253449</v>
      </c>
      <c r="E18" s="358">
        <f t="shared" si="2"/>
        <v>13.671255162213289</v>
      </c>
    </row>
    <row r="19" spans="1:7" s="112" customFormat="1">
      <c r="B19" s="112" t="s">
        <v>220</v>
      </c>
      <c r="C19" s="355">
        <f>$C$12*'Step1-electricity '!E38</f>
        <v>10.419426767031585</v>
      </c>
      <c r="D19" s="353">
        <f>'Step1-electricity '!E8/$C$30</f>
        <v>76.214119650333146</v>
      </c>
      <c r="E19" s="358">
        <f t="shared" si="2"/>
        <v>13.671255162213292</v>
      </c>
    </row>
    <row r="20" spans="1:7" s="112" customFormat="1">
      <c r="B20" s="112" t="s">
        <v>365</v>
      </c>
      <c r="C20" s="355">
        <f>$C$12*'Step1-electricity '!E39</f>
        <v>6.1321256422688535</v>
      </c>
      <c r="D20" s="353">
        <f>'Step1-electricity '!E9/$C$30</f>
        <v>44.854152523008729</v>
      </c>
      <c r="E20" s="358">
        <f t="shared" si="2"/>
        <v>13.671255162213289</v>
      </c>
    </row>
    <row r="21" spans="1:7" s="112" customFormat="1">
      <c r="A21" s="352"/>
      <c r="B21" s="112" t="s">
        <v>366</v>
      </c>
      <c r="C21" s="355">
        <f>$C$12*'Step1-electricity '!E40</f>
        <v>2.6856326346854074E-3</v>
      </c>
      <c r="D21" s="353">
        <f>'Step1-electricity '!E10/$C$30</f>
        <v>1.9644375024967495E-2</v>
      </c>
      <c r="E21" s="358">
        <f t="shared" si="2"/>
        <v>13.671255162213292</v>
      </c>
      <c r="G21" s="6"/>
    </row>
    <row r="22" spans="1:7" s="112" customFormat="1">
      <c r="A22" s="352"/>
      <c r="B22" s="112" t="s">
        <v>187</v>
      </c>
      <c r="C22" s="355">
        <f>$C$12*'Step1-electricity '!E41</f>
        <v>55.239694202682649</v>
      </c>
      <c r="D22" s="353">
        <f>'Step1-electricity '!E11/$C$30</f>
        <v>404.05722479207753</v>
      </c>
      <c r="E22" s="358">
        <f t="shared" si="2"/>
        <v>13.671255162213289</v>
      </c>
      <c r="F22" s="136"/>
      <c r="G22" s="359"/>
    </row>
    <row r="23" spans="1:7" s="112" customFormat="1">
      <c r="A23" s="352"/>
      <c r="B23" s="111" t="s">
        <v>222</v>
      </c>
      <c r="C23" s="355">
        <f>$C$12*'Step1-electricity '!E42</f>
        <v>168.0181034179237</v>
      </c>
      <c r="D23" s="353">
        <f>'Step1-electricity '!E12/$C$30</f>
        <v>1228.9881318455518</v>
      </c>
      <c r="E23" s="358">
        <f t="shared" si="2"/>
        <v>13.671255162213292</v>
      </c>
      <c r="F23" s="136"/>
      <c r="G23" s="359"/>
    </row>
    <row r="24" spans="1:7" s="112" customFormat="1">
      <c r="A24" s="352"/>
      <c r="B24" s="111" t="s">
        <v>224</v>
      </c>
      <c r="C24" s="355">
        <f>$C$12*'Step1-electricity '!E43</f>
        <v>717.21360528061825</v>
      </c>
      <c r="D24" s="353">
        <f>'Step1-electricity '!E13/$C$30</f>
        <v>5246.1430700449737</v>
      </c>
      <c r="E24" s="358">
        <f t="shared" si="2"/>
        <v>13.671255162213292</v>
      </c>
      <c r="F24" s="136"/>
      <c r="G24" s="359"/>
    </row>
    <row r="25" spans="1:7" s="112" customFormat="1">
      <c r="A25" s="352"/>
      <c r="B25" s="111" t="s">
        <v>223</v>
      </c>
      <c r="C25" s="355">
        <f>$C$12*'Step1-electricity '!E44</f>
        <v>10.423013291089154</v>
      </c>
      <c r="D25" s="353">
        <f>'Step1-electricity '!E14/$C$30</f>
        <v>76.240353701376847</v>
      </c>
      <c r="E25" s="358">
        <f t="shared" si="2"/>
        <v>13.671255162213292</v>
      </c>
      <c r="F25" s="136"/>
      <c r="G25" s="359"/>
    </row>
    <row r="26" spans="1:7" s="112" customFormat="1">
      <c r="A26" s="352"/>
      <c r="B26" s="111" t="s">
        <v>221</v>
      </c>
      <c r="C26" s="355">
        <f>$C$12*'Step1-electricity '!E45</f>
        <v>240.51389383703375</v>
      </c>
      <c r="D26" s="353">
        <f>'Step1-electricity '!E15/$C$30</f>
        <v>1759.2670971558114</v>
      </c>
      <c r="E26" s="358">
        <f t="shared" si="2"/>
        <v>13.671255162213289</v>
      </c>
      <c r="F26" s="136"/>
      <c r="G26" s="359"/>
    </row>
    <row r="27" spans="1:7" s="112" customFormat="1" ht="16.5" thickBot="1">
      <c r="A27" s="352"/>
      <c r="B27" s="356" t="s">
        <v>735</v>
      </c>
      <c r="C27" s="114">
        <f>SUM(C15:C26)</f>
        <v>1387.2729999999999</v>
      </c>
      <c r="D27" s="137">
        <f>SUM(D15:D26)</f>
        <v>10147.371134103016</v>
      </c>
      <c r="E27" s="367">
        <f>IF(D27=0,"-",C27/D27*100)</f>
        <v>13.671255162213292</v>
      </c>
      <c r="F27" s="136"/>
      <c r="G27" s="359"/>
    </row>
    <row r="28" spans="1:7" s="112" customFormat="1">
      <c r="A28" s="352"/>
      <c r="B28" s="111"/>
      <c r="C28" s="353"/>
      <c r="D28" s="354"/>
      <c r="E28" s="113"/>
      <c r="F28" s="136"/>
      <c r="G28" s="359"/>
    </row>
    <row r="29" spans="1:7" s="112" customFormat="1">
      <c r="A29" s="352"/>
      <c r="B29" s="360" t="s">
        <v>394</v>
      </c>
      <c r="C29" s="361"/>
      <c r="D29" s="361"/>
      <c r="E29" s="362"/>
      <c r="F29" s="136"/>
      <c r="G29" s="359"/>
    </row>
    <row r="30" spans="1:7" s="112" customFormat="1">
      <c r="B30" s="363" t="s">
        <v>395</v>
      </c>
      <c r="C30" s="364">
        <v>3.5999999999999999E-3</v>
      </c>
      <c r="D30" s="364" t="s">
        <v>390</v>
      </c>
      <c r="E30" s="365"/>
      <c r="F30" s="136"/>
      <c r="G30" s="359"/>
    </row>
    <row r="31" spans="1:7" s="112" customFormat="1" ht="16.5" thickBot="1"/>
    <row r="32" spans="1:7" s="112" customFormat="1" ht="47.25">
      <c r="C32" s="122" t="s">
        <v>736</v>
      </c>
      <c r="D32" s="123" t="s">
        <v>393</v>
      </c>
      <c r="E32" s="133" t="s">
        <v>737</v>
      </c>
    </row>
    <row r="33" spans="1:5" s="112" customFormat="1">
      <c r="A33" s="112">
        <v>1</v>
      </c>
      <c r="B33" s="111" t="s">
        <v>197</v>
      </c>
      <c r="C33" s="113">
        <f>Step2!AC4</f>
        <v>2867.1179999999999</v>
      </c>
      <c r="D33" s="113">
        <f>Step2!F36/$C$30</f>
        <v>9800.7902053364924</v>
      </c>
      <c r="E33" s="134">
        <f>(C33/D33)*100</f>
        <v>29.253947283137084</v>
      </c>
    </row>
    <row r="34" spans="1:5" s="112" customFormat="1">
      <c r="A34" s="112">
        <v>2</v>
      </c>
      <c r="B34" s="111" t="s">
        <v>198</v>
      </c>
      <c r="C34" s="113">
        <f>Step2!AC5</f>
        <v>141.81300000000002</v>
      </c>
      <c r="D34" s="113">
        <f>Step2!F37/$C$30</f>
        <v>484.7653502190646</v>
      </c>
      <c r="E34" s="134">
        <f t="shared" ref="E34:E54" si="3">(C34/D34)*100</f>
        <v>29.253947283137084</v>
      </c>
    </row>
    <row r="35" spans="1:5" s="112" customFormat="1">
      <c r="A35" s="112">
        <v>3</v>
      </c>
      <c r="B35" s="111" t="s">
        <v>199</v>
      </c>
      <c r="C35" s="113">
        <f>Step2!AC6</f>
        <v>26863.08</v>
      </c>
      <c r="D35" s="113">
        <f>Step2!F38/$C$30</f>
        <v>3092.2222222222226</v>
      </c>
      <c r="E35" s="134">
        <f t="shared" si="3"/>
        <v>868.73057851239662</v>
      </c>
    </row>
    <row r="36" spans="1:5" s="112" customFormat="1">
      <c r="A36" s="112">
        <v>4</v>
      </c>
      <c r="B36" s="111" t="s">
        <v>200</v>
      </c>
      <c r="C36" s="113">
        <f>Step2!AC7</f>
        <v>5779.8659999999991</v>
      </c>
      <c r="D36" s="113">
        <f>Step2!F39/$C$30</f>
        <v>2860</v>
      </c>
      <c r="E36" s="134">
        <f>(C36/D36)*100</f>
        <v>202.09321678321675</v>
      </c>
    </row>
    <row r="37" spans="1:5" s="112" customFormat="1">
      <c r="A37" s="112">
        <v>5</v>
      </c>
      <c r="B37" s="111" t="s">
        <v>201</v>
      </c>
      <c r="C37" s="113">
        <f>Step2!AC8</f>
        <v>7063.810862867681</v>
      </c>
      <c r="D37" s="113">
        <f>Step2!F40/$C$30</f>
        <v>6178.3333333333339</v>
      </c>
      <c r="E37" s="134">
        <f t="shared" si="3"/>
        <v>114.33198051579735</v>
      </c>
    </row>
    <row r="38" spans="1:5" s="112" customFormat="1">
      <c r="A38" s="112">
        <v>6</v>
      </c>
      <c r="B38" s="111" t="s">
        <v>202</v>
      </c>
      <c r="C38" s="113">
        <f>Step2!AC9</f>
        <v>11485.351000000001</v>
      </c>
      <c r="D38" s="113">
        <f>Step2!F41/$C$30</f>
        <v>10036.944444444445</v>
      </c>
      <c r="E38" s="134">
        <f t="shared" si="3"/>
        <v>114.43075194420614</v>
      </c>
    </row>
    <row r="39" spans="1:5" s="112" customFormat="1">
      <c r="A39" s="112">
        <v>7</v>
      </c>
      <c r="B39" s="111" t="s">
        <v>203</v>
      </c>
      <c r="C39" s="113">
        <f>Step2!AC10</f>
        <v>6423.6389999999992</v>
      </c>
      <c r="D39" s="113">
        <f>Step2!F42/$C$30</f>
        <v>5995</v>
      </c>
      <c r="E39" s="134">
        <f t="shared" si="3"/>
        <v>107.14994161801501</v>
      </c>
    </row>
    <row r="40" spans="1:5" s="112" customFormat="1">
      <c r="A40" s="112">
        <v>8</v>
      </c>
      <c r="B40" s="111" t="s">
        <v>204</v>
      </c>
      <c r="C40" s="113">
        <f>Step2!AC11</f>
        <v>29739.377999999993</v>
      </c>
      <c r="D40" s="113">
        <f>Step2!F43/$C$30</f>
        <v>32769.732296616639</v>
      </c>
      <c r="E40" s="134">
        <f t="shared" si="3"/>
        <v>90.752581470036858</v>
      </c>
    </row>
    <row r="41" spans="1:5" s="112" customFormat="1">
      <c r="A41" s="112">
        <v>9</v>
      </c>
      <c r="B41" s="111" t="s">
        <v>205</v>
      </c>
      <c r="C41" s="113">
        <f>Step2!AC12</f>
        <v>1706.7860000000001</v>
      </c>
      <c r="D41" s="113">
        <f>Step2!F44/$C$30</f>
        <v>1492.8334069785242</v>
      </c>
      <c r="E41" s="134">
        <f t="shared" si="3"/>
        <v>114.33198051579735</v>
      </c>
    </row>
    <row r="42" spans="1:5" s="112" customFormat="1">
      <c r="A42" s="112">
        <v>10</v>
      </c>
      <c r="B42" s="111" t="s">
        <v>206</v>
      </c>
      <c r="C42" s="113">
        <f>Step2!AC13</f>
        <v>1638.164</v>
      </c>
      <c r="D42" s="113">
        <f>Step2!F45/$C$30</f>
        <v>492.5</v>
      </c>
      <c r="E42" s="134">
        <f>(C42/D42)*100</f>
        <v>332.62213197969544</v>
      </c>
    </row>
    <row r="43" spans="1:5" s="112" customFormat="1">
      <c r="A43" s="112">
        <v>11</v>
      </c>
      <c r="B43" s="111" t="s">
        <v>207</v>
      </c>
      <c r="C43" s="113">
        <f>Step2!AC14</f>
        <v>78111.493999999977</v>
      </c>
      <c r="D43" s="113">
        <f>Step2!F46/$C$30</f>
        <v>86070.823258938923</v>
      </c>
      <c r="E43" s="134">
        <f t="shared" si="3"/>
        <v>90.752581470036858</v>
      </c>
    </row>
    <row r="44" spans="1:5" s="112" customFormat="1">
      <c r="A44" s="112">
        <v>12</v>
      </c>
      <c r="B44" s="111" t="s">
        <v>208</v>
      </c>
      <c r="C44" s="113">
        <f>Step2!AC15</f>
        <v>729.98800000000006</v>
      </c>
      <c r="D44" s="113">
        <f>Step2!F47/$C$30</f>
        <v>1045.4835910332388</v>
      </c>
      <c r="E44" s="134">
        <f t="shared" si="3"/>
        <v>69.822999257076972</v>
      </c>
    </row>
    <row r="45" spans="1:5" s="112" customFormat="1">
      <c r="A45" s="112">
        <v>13</v>
      </c>
      <c r="B45" s="111" t="s">
        <v>209</v>
      </c>
      <c r="C45" s="113">
        <f>Step2!AC16</f>
        <v>39.463000000000001</v>
      </c>
      <c r="D45" s="113">
        <f>Step2!F48/$C$30</f>
        <v>1174.1666666666665</v>
      </c>
      <c r="E45" s="134">
        <f>(C45/D45)*100</f>
        <v>3.3609368346344932</v>
      </c>
    </row>
    <row r="46" spans="1:5" s="112" customFormat="1">
      <c r="A46" s="112">
        <v>14</v>
      </c>
      <c r="B46" s="111" t="s">
        <v>210</v>
      </c>
      <c r="C46" s="113">
        <f>Step2!AC17</f>
        <v>104.48899999999999</v>
      </c>
      <c r="D46" s="113">
        <f>Step2!F49/$C$30</f>
        <v>149.64839825239875</v>
      </c>
      <c r="E46" s="134">
        <f t="shared" si="3"/>
        <v>69.822999257076987</v>
      </c>
    </row>
    <row r="47" spans="1:5" s="112" customFormat="1">
      <c r="A47" s="112">
        <v>15</v>
      </c>
      <c r="B47" s="111" t="s">
        <v>211</v>
      </c>
      <c r="C47" s="113">
        <f>Step2!AC18</f>
        <v>1343.6690000000001</v>
      </c>
      <c r="D47" s="113">
        <f>Step2!F50/$C$30</f>
        <v>1924.3931287638165</v>
      </c>
      <c r="E47" s="134">
        <f t="shared" si="3"/>
        <v>69.822999257076972</v>
      </c>
    </row>
    <row r="48" spans="1:5" s="112" customFormat="1">
      <c r="A48" s="112">
        <v>16</v>
      </c>
      <c r="B48" s="111" t="s">
        <v>212</v>
      </c>
      <c r="C48" s="113">
        <f>Step2!AC19</f>
        <v>1722.75</v>
      </c>
      <c r="D48" s="113">
        <f>Step2!F51/$C$30</f>
        <v>2467.3102248975488</v>
      </c>
      <c r="E48" s="134">
        <f>(C48/D48)*100</f>
        <v>69.822999257076987</v>
      </c>
    </row>
    <row r="49" spans="1:7" s="112" customFormat="1">
      <c r="A49" s="112">
        <v>17</v>
      </c>
      <c r="B49" s="111" t="s">
        <v>213</v>
      </c>
      <c r="C49" s="113">
        <f>Step2!AC20</f>
        <v>169.24199999999999</v>
      </c>
      <c r="D49" s="113">
        <f>Step2!F52/$C$30</f>
        <v>242.38718158880334</v>
      </c>
      <c r="E49" s="134">
        <f t="shared" si="3"/>
        <v>69.822999257076972</v>
      </c>
    </row>
    <row r="50" spans="1:7" s="112" customFormat="1">
      <c r="A50" s="112">
        <v>18</v>
      </c>
      <c r="B50" s="111" t="s">
        <v>214</v>
      </c>
      <c r="C50" s="113">
        <f>Step2!AC21</f>
        <v>85201.579000000056</v>
      </c>
      <c r="D50" s="113">
        <f>Step2!F53/$C$30</f>
        <v>14694.444444444447</v>
      </c>
      <c r="E50" s="134">
        <f t="shared" si="3"/>
        <v>579.82170964083207</v>
      </c>
    </row>
    <row r="51" spans="1:7" s="112" customFormat="1">
      <c r="A51" s="112">
        <v>19</v>
      </c>
      <c r="B51" s="111" t="s">
        <v>215</v>
      </c>
      <c r="C51" s="113">
        <f>Step2!AC22</f>
        <v>14538.358</v>
      </c>
      <c r="D51" s="113">
        <f>Step2!F54/$C$30</f>
        <v>9285.2777777777774</v>
      </c>
      <c r="E51" s="134">
        <f t="shared" si="3"/>
        <v>156.5742926376881</v>
      </c>
    </row>
    <row r="52" spans="1:7" s="112" customFormat="1">
      <c r="A52" s="112">
        <v>20</v>
      </c>
      <c r="B52" s="111" t="s">
        <v>216</v>
      </c>
      <c r="C52" s="113">
        <f>Step2!AC23</f>
        <v>757.60900000000004</v>
      </c>
      <c r="D52" s="113">
        <f>Step2!F55/$C$30</f>
        <v>662.63961892562554</v>
      </c>
      <c r="E52" s="134">
        <f t="shared" si="3"/>
        <v>114.33198051579735</v>
      </c>
    </row>
    <row r="53" spans="1:7" s="112" customFormat="1">
      <c r="A53" s="112">
        <v>21</v>
      </c>
      <c r="B53" s="111" t="s">
        <v>217</v>
      </c>
      <c r="C53" s="113">
        <f>Step2!AC24</f>
        <v>1419.2301371323192</v>
      </c>
      <c r="D53" s="113">
        <f>Step2!F56/$C$30</f>
        <v>1241.3238454626637</v>
      </c>
      <c r="E53" s="134">
        <f t="shared" si="3"/>
        <v>114.33198051579735</v>
      </c>
    </row>
    <row r="54" spans="1:7" s="112" customFormat="1">
      <c r="A54" s="112">
        <v>22</v>
      </c>
      <c r="B54" s="348" t="s">
        <v>418</v>
      </c>
      <c r="C54" s="113">
        <f>Step2!AC25</f>
        <v>1387.2729999999999</v>
      </c>
      <c r="D54" s="113">
        <f>Step2!F57/$C$30</f>
        <v>10147.371134103018</v>
      </c>
      <c r="E54" s="134">
        <f t="shared" si="3"/>
        <v>13.671255162213289</v>
      </c>
    </row>
    <row r="55" spans="1:7" s="112" customFormat="1" ht="16.5" thickBot="1">
      <c r="B55" s="120" t="s">
        <v>537</v>
      </c>
      <c r="C55" s="114">
        <f>SUM(C33:C54)</f>
        <v>279234.15000000002</v>
      </c>
      <c r="D55" s="114">
        <f>SUM(D33:D54)</f>
        <v>202308.39053000565</v>
      </c>
      <c r="E55" s="135">
        <f>(C55/D55)*100</f>
        <v>138.02400843013231</v>
      </c>
    </row>
    <row r="56" spans="1:7" s="112" customFormat="1" ht="16.5" thickBot="1"/>
    <row r="57" spans="1:7" s="112" customFormat="1">
      <c r="B57" s="348"/>
      <c r="C57" s="113"/>
      <c r="D57" s="113"/>
      <c r="E57" s="368"/>
    </row>
    <row r="58" spans="1:7" s="112" customFormat="1">
      <c r="B58" s="348"/>
      <c r="C58" s="113"/>
      <c r="D58" s="113"/>
      <c r="E58" s="134"/>
    </row>
    <row r="59" spans="1:7" s="112" customFormat="1" ht="16.5" thickBot="1">
      <c r="B59" s="120" t="s">
        <v>738</v>
      </c>
      <c r="C59" s="114">
        <f>Step2!AC31</f>
        <v>317088.88300000003</v>
      </c>
      <c r="D59" s="113">
        <f>Step2!F60/$C$30</f>
        <v>54215.277777777781</v>
      </c>
      <c r="E59" s="135">
        <f>(C59/D59)*100</f>
        <v>584.86997760983741</v>
      </c>
    </row>
    <row r="60" spans="1:7" s="112" customFormat="1" ht="16.5" thickBot="1"/>
    <row r="61" spans="1:7" s="112" customFormat="1">
      <c r="B61" s="120" t="s">
        <v>911</v>
      </c>
      <c r="C61" s="114">
        <f>C55+C59</f>
        <v>596323.03300000005</v>
      </c>
      <c r="D61" s="114">
        <f>D55+D59</f>
        <v>256523.66830778343</v>
      </c>
      <c r="E61" s="368">
        <f>(C61/D61)*100</f>
        <v>232.46316292519134</v>
      </c>
    </row>
    <row r="62" spans="1:7">
      <c r="B62" s="112"/>
      <c r="C62" s="112"/>
      <c r="D62" s="112"/>
      <c r="E62" s="112"/>
      <c r="F62" s="112"/>
      <c r="G62" s="112"/>
    </row>
  </sheetData>
  <conditionalFormatting sqref="D33:D54">
    <cfRule type="cellIs" dxfId="2" priority="3" operator="lessThanOrEqual">
      <formula>0</formula>
    </cfRule>
  </conditionalFormatting>
  <conditionalFormatting sqref="D57:D58">
    <cfRule type="cellIs" dxfId="1" priority="2" operator="lessThanOrEqual">
      <formula>0</formula>
    </cfRule>
  </conditionalFormatting>
  <conditionalFormatting sqref="D59">
    <cfRule type="cellIs" dxfId="0" priority="1" operator="lessThanOrEqual">
      <formula>0</formula>
    </cfRule>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Q62"/>
  <sheetViews>
    <sheetView topLeftCell="A31" workbookViewId="0">
      <selection activeCell="G62" sqref="G62"/>
    </sheetView>
  </sheetViews>
  <sheetFormatPr baseColWidth="10" defaultRowHeight="15.75"/>
  <cols>
    <col min="2" max="2" width="40.625" customWidth="1"/>
    <col min="3" max="3" width="16.5" bestFit="1" customWidth="1"/>
    <col min="4" max="4" width="12.625" customWidth="1"/>
    <col min="6" max="6" width="11.125" bestFit="1" customWidth="1"/>
    <col min="7" max="7" width="11.125" customWidth="1"/>
    <col min="8" max="8" width="13.625" customWidth="1"/>
    <col min="12" max="12" width="17.125" customWidth="1"/>
  </cols>
  <sheetData>
    <row r="1" spans="1:17">
      <c r="A1" s="112"/>
      <c r="B1" s="112"/>
      <c r="C1" s="112"/>
      <c r="D1" s="112"/>
      <c r="E1" s="112"/>
      <c r="F1" s="112"/>
      <c r="G1" s="112"/>
      <c r="H1" s="112"/>
      <c r="I1" s="112"/>
      <c r="J1" s="112"/>
      <c r="K1" s="112"/>
      <c r="L1" s="112"/>
      <c r="M1" s="112"/>
      <c r="N1" s="112"/>
      <c r="O1" s="112"/>
      <c r="P1" s="112"/>
      <c r="Q1" s="112"/>
    </row>
    <row r="2" spans="1:17">
      <c r="A2" s="112"/>
      <c r="B2" s="120" t="s">
        <v>739</v>
      </c>
      <c r="C2" s="112"/>
      <c r="D2" s="112"/>
      <c r="E2" s="112"/>
      <c r="F2" s="112"/>
      <c r="G2" s="112"/>
      <c r="H2" s="112"/>
      <c r="I2" s="112"/>
      <c r="J2" s="112"/>
      <c r="K2" s="112"/>
      <c r="L2" s="120"/>
      <c r="M2" s="120"/>
      <c r="N2" s="120"/>
      <c r="O2" s="112"/>
      <c r="P2" s="112"/>
      <c r="Q2" s="112"/>
    </row>
    <row r="3" spans="1:17" ht="30">
      <c r="A3" s="112"/>
      <c r="B3" s="112"/>
      <c r="C3" s="376" t="s">
        <v>419</v>
      </c>
      <c r="D3" s="376" t="s">
        <v>384</v>
      </c>
      <c r="E3" s="376" t="s">
        <v>172</v>
      </c>
      <c r="F3" s="383" t="s">
        <v>386</v>
      </c>
      <c r="G3" s="376" t="s">
        <v>7</v>
      </c>
      <c r="H3" s="112"/>
      <c r="I3" s="149" t="s">
        <v>740</v>
      </c>
      <c r="J3" s="149" t="s">
        <v>385</v>
      </c>
      <c r="K3" s="149" t="s">
        <v>219</v>
      </c>
      <c r="L3" s="149" t="s">
        <v>11</v>
      </c>
      <c r="M3" s="149" t="s">
        <v>218</v>
      </c>
      <c r="N3" s="149" t="s">
        <v>171</v>
      </c>
      <c r="O3" s="149" t="s">
        <v>187</v>
      </c>
      <c r="P3" s="112"/>
      <c r="Q3" s="112"/>
    </row>
    <row r="4" spans="1:17">
      <c r="A4" s="112"/>
      <c r="B4" s="121"/>
      <c r="C4" s="377"/>
      <c r="D4" s="378"/>
      <c r="E4" s="379"/>
      <c r="F4" s="380"/>
      <c r="G4" s="380"/>
      <c r="H4" s="6"/>
      <c r="I4" s="651"/>
      <c r="J4" s="112"/>
      <c r="K4" s="112"/>
      <c r="L4" s="112"/>
      <c r="M4" s="112"/>
      <c r="N4" s="351"/>
      <c r="O4" s="112"/>
      <c r="P4" s="112"/>
      <c r="Q4" s="112"/>
    </row>
    <row r="5" spans="1:17">
      <c r="A5" s="112"/>
      <c r="B5" s="346" t="s">
        <v>226</v>
      </c>
      <c r="C5" s="381">
        <f>SUM(C33:C34)</f>
        <v>121.58713299999999</v>
      </c>
      <c r="D5" s="381">
        <f t="shared" ref="D5:E5" si="0">SUM(D33:D34)</f>
        <v>7.5365014935901156E-2</v>
      </c>
      <c r="E5" s="381">
        <f t="shared" si="0"/>
        <v>37.028000000000006</v>
      </c>
      <c r="F5" s="381">
        <f>SUM(F33:F34)</f>
        <v>0</v>
      </c>
      <c r="G5" s="375">
        <f>SUM(C5:F5)</f>
        <v>158.69049801493588</v>
      </c>
      <c r="H5" s="6"/>
      <c r="I5" s="372">
        <f>SUM(I33:I34)</f>
        <v>0</v>
      </c>
      <c r="J5" s="372"/>
      <c r="K5" s="372"/>
      <c r="L5" s="372"/>
      <c r="M5" s="372"/>
      <c r="N5" s="372"/>
      <c r="O5" s="372"/>
      <c r="P5" s="112"/>
      <c r="Q5" s="112"/>
    </row>
    <row r="6" spans="1:17">
      <c r="A6" s="112"/>
      <c r="B6" s="347" t="s">
        <v>387</v>
      </c>
      <c r="C6" s="381">
        <f>SUM(C35:C40,C42:C43)</f>
        <v>411.05060299999991</v>
      </c>
      <c r="D6" s="381">
        <f t="shared" ref="D6:F6" si="1">SUM(D35:D40,D42:D43)</f>
        <v>594.81225350263162</v>
      </c>
      <c r="E6" s="381">
        <f t="shared" si="1"/>
        <v>530.98400000000004</v>
      </c>
      <c r="F6" s="381">
        <f t="shared" si="1"/>
        <v>63.782443000000001</v>
      </c>
      <c r="G6" s="375">
        <f t="shared" ref="G6:G11" si="2">SUM(C6:F6)</f>
        <v>1600.6292995026315</v>
      </c>
      <c r="H6" s="6"/>
      <c r="I6" s="372">
        <f>SUM(I35:I40,I42:I43)</f>
        <v>63.782443000000001</v>
      </c>
      <c r="J6" s="372"/>
      <c r="K6" s="372"/>
      <c r="L6" s="372"/>
      <c r="M6" s="372"/>
      <c r="N6" s="372"/>
      <c r="O6" s="372"/>
      <c r="P6" s="112"/>
      <c r="Q6" s="112"/>
    </row>
    <row r="7" spans="1:17">
      <c r="A7" s="112"/>
      <c r="B7" s="647" t="s">
        <v>949</v>
      </c>
      <c r="C7" s="381">
        <f>SUM(C44:C49)</f>
        <v>1245.3447022115167</v>
      </c>
      <c r="D7" s="381">
        <f t="shared" ref="D7:F7" si="3">SUM(D44:D49)</f>
        <v>1.1275404571068952</v>
      </c>
      <c r="E7" s="381">
        <f t="shared" si="3"/>
        <v>25.212201088328904</v>
      </c>
      <c r="F7" s="381">
        <f t="shared" si="3"/>
        <v>0</v>
      </c>
      <c r="G7" s="375">
        <f t="shared" si="2"/>
        <v>1271.6844437569525</v>
      </c>
      <c r="H7" s="6"/>
      <c r="I7" s="372">
        <f>SUM(I44:I49)</f>
        <v>0</v>
      </c>
      <c r="J7" s="372"/>
      <c r="K7" s="372"/>
      <c r="L7" s="372"/>
      <c r="M7" s="372"/>
      <c r="N7" s="372"/>
      <c r="O7" s="372"/>
      <c r="P7" s="112"/>
      <c r="Q7" s="112"/>
    </row>
    <row r="8" spans="1:17">
      <c r="A8" s="112"/>
      <c r="B8" s="348" t="s">
        <v>214</v>
      </c>
      <c r="C8" s="381">
        <f>C50</f>
        <v>69.427137000000002</v>
      </c>
      <c r="D8" s="381">
        <f t="shared" ref="D8:F9" si="4">D50</f>
        <v>11.097</v>
      </c>
      <c r="E8" s="381">
        <f t="shared" si="4"/>
        <v>52.900000000000006</v>
      </c>
      <c r="F8" s="381">
        <f t="shared" si="4"/>
        <v>0</v>
      </c>
      <c r="G8" s="375">
        <f t="shared" si="2"/>
        <v>133.424137</v>
      </c>
      <c r="H8" s="6"/>
      <c r="I8" s="372">
        <f>I50</f>
        <v>0</v>
      </c>
      <c r="J8" s="372"/>
      <c r="K8" s="372"/>
      <c r="L8" s="372"/>
      <c r="M8" s="372"/>
      <c r="N8" s="372"/>
      <c r="O8" s="372"/>
      <c r="P8" s="112"/>
      <c r="Q8" s="112"/>
    </row>
    <row r="9" spans="1:17">
      <c r="A9" s="112"/>
      <c r="B9" s="348" t="s">
        <v>215</v>
      </c>
      <c r="C9" s="381">
        <f>C51</f>
        <v>13.57178738301335</v>
      </c>
      <c r="D9" s="381">
        <f t="shared" si="4"/>
        <v>0</v>
      </c>
      <c r="E9" s="381">
        <f t="shared" si="4"/>
        <v>33.427</v>
      </c>
      <c r="F9" s="381">
        <f t="shared" si="4"/>
        <v>0</v>
      </c>
      <c r="G9" s="375">
        <f t="shared" si="2"/>
        <v>46.998787383013351</v>
      </c>
      <c r="H9" s="6"/>
      <c r="I9" s="372">
        <f>I51</f>
        <v>0</v>
      </c>
      <c r="J9" s="372"/>
      <c r="K9" s="372"/>
      <c r="L9" s="372"/>
      <c r="M9" s="372"/>
      <c r="N9" s="372"/>
      <c r="O9" s="372"/>
      <c r="P9" s="112"/>
      <c r="Q9" s="112"/>
    </row>
    <row r="10" spans="1:17" s="112" customFormat="1">
      <c r="B10" s="648" t="s">
        <v>543</v>
      </c>
      <c r="C10" s="381">
        <f>C57</f>
        <v>1269.6992751605353</v>
      </c>
      <c r="D10" s="381">
        <f t="shared" ref="D10:F10" si="5">D57</f>
        <v>33.802999999999997</v>
      </c>
      <c r="E10" s="381">
        <f t="shared" si="5"/>
        <v>195.17500000000001</v>
      </c>
      <c r="F10" s="381">
        <f t="shared" si="5"/>
        <v>255.42239699999999</v>
      </c>
      <c r="G10" s="375">
        <f t="shared" si="2"/>
        <v>1754.0996721605352</v>
      </c>
      <c r="H10" s="6"/>
      <c r="I10" s="372">
        <f>I57</f>
        <v>255.42239699999999</v>
      </c>
      <c r="J10" s="372"/>
      <c r="K10" s="372"/>
      <c r="L10" s="372"/>
      <c r="M10" s="372"/>
      <c r="N10" s="372"/>
      <c r="O10" s="372"/>
    </row>
    <row r="11" spans="1:17" s="112" customFormat="1">
      <c r="B11" s="348" t="s">
        <v>388</v>
      </c>
      <c r="C11" s="381">
        <f>SUM(C41,C52:C53)</f>
        <v>92.751619486664239</v>
      </c>
      <c r="D11" s="381">
        <f t="shared" ref="D11:F11" si="6">SUM(D41,D52:D53)</f>
        <v>609.29035965471849</v>
      </c>
      <c r="E11" s="381">
        <f t="shared" si="6"/>
        <v>12.228468736920528</v>
      </c>
      <c r="F11" s="381">
        <f t="shared" si="6"/>
        <v>0</v>
      </c>
      <c r="G11" s="375">
        <f t="shared" si="2"/>
        <v>714.27044787830323</v>
      </c>
      <c r="H11" s="6"/>
      <c r="I11" s="372">
        <f>SUM(I41,I52:I53)</f>
        <v>0</v>
      </c>
      <c r="J11" s="372"/>
      <c r="K11" s="372"/>
      <c r="L11" s="372"/>
      <c r="M11" s="372"/>
      <c r="N11" s="372"/>
      <c r="O11" s="372"/>
    </row>
    <row r="12" spans="1:17" s="112" customFormat="1">
      <c r="B12" s="112" t="s">
        <v>421</v>
      </c>
      <c r="C12" s="381">
        <f>SUM(C54)</f>
        <v>828.16699999999992</v>
      </c>
      <c r="D12" s="381">
        <f t="shared" ref="D12:F12" si="7">SUM(D54)</f>
        <v>1303.69</v>
      </c>
      <c r="E12" s="381">
        <f t="shared" si="7"/>
        <v>36.530536082770865</v>
      </c>
      <c r="F12" s="381">
        <f t="shared" si="7"/>
        <v>60.542000000000002</v>
      </c>
      <c r="G12" s="375">
        <f>SUM(C12:F12)</f>
        <v>2228.9295360827709</v>
      </c>
      <c r="H12" s="6"/>
      <c r="I12" s="372">
        <f>I54</f>
        <v>60.542000000000002</v>
      </c>
      <c r="J12" s="372">
        <f t="shared" ref="J12:O12" si="8">J54</f>
        <v>0</v>
      </c>
      <c r="K12" s="372">
        <f t="shared" si="8"/>
        <v>15.064</v>
      </c>
      <c r="L12" s="372">
        <f t="shared" si="8"/>
        <v>0.36</v>
      </c>
      <c r="M12" s="372">
        <f t="shared" si="8"/>
        <v>100.87700000000001</v>
      </c>
      <c r="N12" s="372">
        <f t="shared" si="8"/>
        <v>131.316</v>
      </c>
      <c r="O12" s="372">
        <f t="shared" si="8"/>
        <v>122.598</v>
      </c>
    </row>
    <row r="13" spans="1:17" s="112" customFormat="1">
      <c r="B13" s="112" t="s">
        <v>7</v>
      </c>
      <c r="C13" s="375">
        <f>SUM(C5:C12)</f>
        <v>4051.5992572417294</v>
      </c>
      <c r="D13" s="375">
        <f t="shared" ref="D13:F13" si="9">SUM(D5:D12)</f>
        <v>2553.8955186293929</v>
      </c>
      <c r="E13" s="375">
        <f t="shared" si="9"/>
        <v>923.48520590802025</v>
      </c>
      <c r="F13" s="375">
        <f t="shared" si="9"/>
        <v>379.74684000000002</v>
      </c>
      <c r="G13" s="375">
        <f>SUM(C13:F13)</f>
        <v>7908.7268217791425</v>
      </c>
      <c r="H13" s="6"/>
      <c r="I13" s="373">
        <f t="shared" ref="I13" si="10">SUM(I5:I12)</f>
        <v>379.74684000000002</v>
      </c>
      <c r="J13" s="373">
        <f t="shared" ref="J13" si="11">SUM(J5:J12)</f>
        <v>0</v>
      </c>
      <c r="K13" s="373">
        <f t="shared" ref="K13" si="12">SUM(K5:K12)</f>
        <v>15.064</v>
      </c>
      <c r="L13" s="373">
        <f t="shared" ref="L13" si="13">SUM(L5:L12)</f>
        <v>0.36</v>
      </c>
      <c r="M13" s="373">
        <f t="shared" ref="M13" si="14">SUM(M5:M12)</f>
        <v>100.87700000000001</v>
      </c>
      <c r="N13" s="373">
        <f t="shared" ref="N13" si="15">SUM(N5:N12)</f>
        <v>131.316</v>
      </c>
      <c r="O13" s="373">
        <f t="shared" ref="O13" si="16">SUM(O5:O12)</f>
        <v>122.598</v>
      </c>
    </row>
    <row r="14" spans="1:17" s="112" customFormat="1">
      <c r="C14" s="380"/>
      <c r="D14" s="380"/>
      <c r="E14" s="380"/>
      <c r="F14" s="380"/>
      <c r="G14" s="380"/>
      <c r="H14" s="6"/>
    </row>
    <row r="15" spans="1:17" s="112" customFormat="1">
      <c r="B15" s="112" t="s">
        <v>218</v>
      </c>
      <c r="C15" s="649">
        <f>'Step1-electricity '!C4</f>
        <v>0</v>
      </c>
      <c r="D15" s="649">
        <f>'Step1-electricity '!D4</f>
        <v>0</v>
      </c>
      <c r="E15" s="649">
        <f>'Step1-electricity '!E4</f>
        <v>3.4552374113249784</v>
      </c>
      <c r="F15" s="381">
        <f>I15</f>
        <v>0</v>
      </c>
      <c r="G15" s="375">
        <f>SUM(C15:F15)</f>
        <v>3.4552374113249784</v>
      </c>
      <c r="H15" s="6"/>
      <c r="I15" s="372">
        <f>'Step1-electricity '!H4</f>
        <v>0</v>
      </c>
      <c r="J15" s="372">
        <f>J$12*'Step1-electricity '!$E4/'Step1-electricity '!$E$16</f>
        <v>0</v>
      </c>
      <c r="K15" s="372">
        <f>K$12*'Step1-electricity '!$E4/'Step1-electricity '!$E$16</f>
        <v>1.4248270610172626</v>
      </c>
      <c r="L15" s="372">
        <f>L$12*'Step1-electricity '!$E4/'Step1-electricity '!$E$16</f>
        <v>3.4050567045022205E-2</v>
      </c>
      <c r="M15" s="372">
        <f>M$12*'Step1-electricity '!$E4/'Step1-electricity '!$E$16</f>
        <v>9.5414418105575152</v>
      </c>
      <c r="N15" s="372">
        <f>N$12*'Step1-electricity '!$E4/'Step1-electricity '!$E$16</f>
        <v>12.4205118391226</v>
      </c>
      <c r="O15" s="372">
        <f>O$12*'Step1-electricity '!$E4/'Step1-electricity '!$E$16</f>
        <v>11.595920607182313</v>
      </c>
    </row>
    <row r="16" spans="1:17" s="112" customFormat="1">
      <c r="B16" s="112" t="s">
        <v>219</v>
      </c>
      <c r="C16" s="649">
        <f>'Step1-electricity '!C5</f>
        <v>0</v>
      </c>
      <c r="D16" s="649">
        <f>'Step1-electricity '!D5</f>
        <v>0</v>
      </c>
      <c r="E16" s="649">
        <f>'Step1-electricity '!E5</f>
        <v>0.51584152973533559</v>
      </c>
      <c r="F16" s="381">
        <f t="shared" ref="F16:F26" si="17">I16</f>
        <v>0</v>
      </c>
      <c r="G16" s="375">
        <f t="shared" ref="G16:G26" si="18">SUM(C16:F16)</f>
        <v>0.51584152973533559</v>
      </c>
      <c r="H16" s="6"/>
      <c r="I16" s="372">
        <f>'Step1-electricity '!H5</f>
        <v>0</v>
      </c>
      <c r="J16" s="372">
        <f>J$12*'Step1-electricity '!$E5/'Step1-electricity '!$E$16</f>
        <v>0</v>
      </c>
      <c r="K16" s="372">
        <f>K$12*'Step1-electricity '!$E5/'Step1-electricity '!$E$16</f>
        <v>0.21271619957414234</v>
      </c>
      <c r="L16" s="372">
        <f>L$12*'Step1-electricity '!$E5/'Step1-electricity '!$E$16</f>
        <v>5.0834991932216704E-3</v>
      </c>
      <c r="M16" s="372">
        <f>M$12*'Step1-electricity '!$E5/'Step1-electricity '!$E$16</f>
        <v>1.4244670780961737</v>
      </c>
      <c r="N16" s="372">
        <f>N$12*'Step1-electricity '!$E5/'Step1-electricity '!$E$16</f>
        <v>1.8542910557141581</v>
      </c>
      <c r="O16" s="372">
        <f>O$12*'Step1-electricity '!$E5/'Step1-electricity '!$E$16</f>
        <v>1.7311856502516398</v>
      </c>
    </row>
    <row r="17" spans="1:15" s="112" customFormat="1">
      <c r="B17" s="112" t="s">
        <v>171</v>
      </c>
      <c r="C17" s="649">
        <f>'Step1-electricity '!C6</f>
        <v>0</v>
      </c>
      <c r="D17" s="649">
        <f>'Step1-electricity '!D6</f>
        <v>0</v>
      </c>
      <c r="E17" s="649">
        <f>'Step1-electricity '!E6</f>
        <v>0.74823261235103489</v>
      </c>
      <c r="F17" s="381">
        <f t="shared" si="17"/>
        <v>0</v>
      </c>
      <c r="G17" s="375">
        <f t="shared" si="18"/>
        <v>0.74823261235103489</v>
      </c>
      <c r="H17" s="6"/>
      <c r="I17" s="372">
        <f>'Step1-electricity '!H6</f>
        <v>0</v>
      </c>
      <c r="J17" s="372">
        <f>J$12*'Step1-electricity '!$E6/'Step1-electricity '!$E$16</f>
        <v>0</v>
      </c>
      <c r="K17" s="372">
        <f>K$12*'Step1-electricity '!$E6/'Step1-electricity '!$E$16</f>
        <v>0.30854669219519015</v>
      </c>
      <c r="L17" s="372">
        <f>L$12*'Step1-electricity '!$E6/'Step1-electricity '!$E$16</f>
        <v>7.3736596647814958E-3</v>
      </c>
      <c r="M17" s="372">
        <f>M$12*'Step1-electricity '!$E6/'Step1-electricity '!$E$16</f>
        <v>2.0662018500115638</v>
      </c>
      <c r="N17" s="372">
        <f>N$12*'Step1-electricity '!$E6/'Step1-electricity '!$E$16</f>
        <v>2.6896652570567969</v>
      </c>
      <c r="O17" s="372">
        <f>O$12*'Step1-electricity '!$E6/'Step1-electricity '!$E$16</f>
        <v>2.5110997988413386</v>
      </c>
    </row>
    <row r="18" spans="1:15" s="112" customFormat="1">
      <c r="B18" s="112" t="s">
        <v>11</v>
      </c>
      <c r="C18" s="649">
        <f>'Step1-electricity '!C7</f>
        <v>0</v>
      </c>
      <c r="D18" s="649">
        <f>'Step1-electricity '!D7</f>
        <v>0</v>
      </c>
      <c r="E18" s="649">
        <f>'Step1-electricity '!E7</f>
        <v>2.4028706421451241E-3</v>
      </c>
      <c r="F18" s="381">
        <f t="shared" si="17"/>
        <v>0</v>
      </c>
      <c r="G18" s="375">
        <f t="shared" si="18"/>
        <v>2.4028706421451241E-3</v>
      </c>
      <c r="H18" s="6"/>
      <c r="I18" s="372">
        <f>'Step1-electricity '!H7</f>
        <v>0</v>
      </c>
      <c r="J18" s="372">
        <f>J$12*'Step1-electricity '!$E7/'Step1-electricity '!$E$16</f>
        <v>0</v>
      </c>
      <c r="K18" s="372">
        <f>K$12*'Step1-electricity '!$E7/'Step1-electricity '!$E$16</f>
        <v>9.9086537551103466E-4</v>
      </c>
      <c r="L18" s="372">
        <f>L$12*'Step1-electricity '!$E7/'Step1-electricity '!$E$16</f>
        <v>2.3679735474241396E-5</v>
      </c>
      <c r="M18" s="372">
        <f>M$12*'Step1-electricity '!$E7/'Step1-electricity '!$E$16</f>
        <v>6.6353907650973602E-3</v>
      </c>
      <c r="N18" s="372">
        <f>N$12*'Step1-electricity '!$E7/'Step1-electricity '!$E$16</f>
        <v>8.6375781764874548E-3</v>
      </c>
      <c r="O18" s="372">
        <f>O$12*'Step1-electricity '!$E7/'Step1-electricity '!$E$16</f>
        <v>8.0641339157529086E-3</v>
      </c>
    </row>
    <row r="19" spans="1:15" s="112" customFormat="1">
      <c r="B19" s="112" t="s">
        <v>220</v>
      </c>
      <c r="C19" s="649">
        <f>'Step1-electricity '!C8</f>
        <v>0</v>
      </c>
      <c r="D19" s="649">
        <f>'Step1-electricity '!D8</f>
        <v>18.512329646008801</v>
      </c>
      <c r="E19" s="649">
        <f>'Step1-electricity '!E8</f>
        <v>0.27437083074119933</v>
      </c>
      <c r="F19" s="381">
        <f t="shared" si="17"/>
        <v>0</v>
      </c>
      <c r="G19" s="375">
        <f t="shared" si="18"/>
        <v>18.786700476749999</v>
      </c>
      <c r="H19" s="6"/>
      <c r="I19" s="372">
        <f>'Step1-electricity '!H8</f>
        <v>0</v>
      </c>
      <c r="J19" s="372">
        <f>J$12*'Step1-electricity '!$E8/'Step1-electricity '!$E$16</f>
        <v>0</v>
      </c>
      <c r="K19" s="372">
        <f>K$12*'Step1-electricity '!$E8/'Step1-electricity '!$E$16</f>
        <v>0.11314156969721445</v>
      </c>
      <c r="L19" s="372">
        <f>L$12*'Step1-electricity '!$E8/'Step1-electricity '!$E$16</f>
        <v>2.7038611982871216E-3</v>
      </c>
      <c r="M19" s="372">
        <f>M$12*'Step1-electricity '!$E8/'Step1-electricity '!$E$16</f>
        <v>0.75765946138780549</v>
      </c>
      <c r="N19" s="372">
        <f>N$12*'Step1-electricity '!$E8/'Step1-electricity '!$E$16</f>
        <v>0.98627843642853241</v>
      </c>
      <c r="O19" s="372">
        <f>O$12*'Step1-electricity '!$E8/'Step1-electricity '!$E$16</f>
        <v>0.92079993107667912</v>
      </c>
    </row>
    <row r="20" spans="1:15" s="112" customFormat="1">
      <c r="B20" s="112" t="s">
        <v>365</v>
      </c>
      <c r="C20" s="649">
        <f>'Step1-electricity '!C9</f>
        <v>0</v>
      </c>
      <c r="D20" s="649">
        <f>'Step1-electricity '!D9</f>
        <v>10.895026555550661</v>
      </c>
      <c r="E20" s="649">
        <f>'Step1-electricity '!E9</f>
        <v>0.16147494908283141</v>
      </c>
      <c r="F20" s="381">
        <f t="shared" si="17"/>
        <v>60.542000000000002</v>
      </c>
      <c r="G20" s="375">
        <f t="shared" si="18"/>
        <v>71.598501504633489</v>
      </c>
      <c r="H20" s="6"/>
      <c r="I20" s="372">
        <f>'Step1-electricity '!H9</f>
        <v>60.542000000000002</v>
      </c>
      <c r="J20" s="372">
        <f>J$12*'Step1-electricity '!$E9/'Step1-electricity '!$E$16</f>
        <v>0</v>
      </c>
      <c r="K20" s="372">
        <f>K$12*'Step1-electricity '!$E9/'Step1-electricity '!$E$16</f>
        <v>6.6586995259864501E-2</v>
      </c>
      <c r="L20" s="372">
        <f>L$12*'Step1-electricity '!$E9/'Step1-electricity '!$E$16</f>
        <v>1.5912983466244833E-3</v>
      </c>
      <c r="M20" s="372">
        <f>M$12*'Step1-electricity '!$E9/'Step1-electricity '!$E$16</f>
        <v>0.44590389809010567</v>
      </c>
      <c r="N20" s="372">
        <f>N$12*'Step1-electricity '!$E9/'Step1-electricity '!$E$16</f>
        <v>0.58045259357039081</v>
      </c>
      <c r="O20" s="372">
        <f>O$12*'Step1-electricity '!$E9/'Step1-electricity '!$E$16</f>
        <v>0.54191665194296779</v>
      </c>
    </row>
    <row r="21" spans="1:15" s="112" customFormat="1">
      <c r="B21" s="112" t="s">
        <v>366</v>
      </c>
      <c r="C21" s="649">
        <f>'Step1-electricity '!C10</f>
        <v>0</v>
      </c>
      <c r="D21" s="649">
        <f>'Step1-electricity '!D10</f>
        <v>0</v>
      </c>
      <c r="E21" s="649">
        <f>'Step1-electricity '!E10</f>
        <v>7.0719750089882986E-5</v>
      </c>
      <c r="F21" s="381">
        <f t="shared" si="17"/>
        <v>0</v>
      </c>
      <c r="G21" s="375">
        <f t="shared" si="18"/>
        <v>7.0719750089882986E-5</v>
      </c>
      <c r="H21" s="6"/>
      <c r="I21" s="372">
        <f>'Step1-electricity '!H10</f>
        <v>0</v>
      </c>
      <c r="J21" s="372">
        <f>J$12*'Step1-electricity '!$E10/'Step1-electricity '!$E$16</f>
        <v>0</v>
      </c>
      <c r="K21" s="372">
        <f>K$12*'Step1-electricity '!$E10/'Step1-electricity '!$E$16</f>
        <v>2.9162515243143181E-5</v>
      </c>
      <c r="L21" s="372">
        <f>L$12*'Step1-electricity '!$E10/'Step1-electricity '!$E$16</f>
        <v>6.9692681143995908E-7</v>
      </c>
      <c r="M21" s="372">
        <f>M$12*'Step1-electricity '!$E10/'Step1-electricity '!$E$16</f>
        <v>1.9528857210452435E-4</v>
      </c>
      <c r="N21" s="372">
        <f>N$12*'Step1-electricity '!$E10/'Step1-electricity '!$E$16</f>
        <v>2.5421566991958245E-4</v>
      </c>
      <c r="O21" s="372">
        <f>O$12*'Step1-electricity '!$E10/'Step1-electricity '!$E$16</f>
        <v>2.3733842563587808E-4</v>
      </c>
    </row>
    <row r="22" spans="1:15" s="112" customFormat="1">
      <c r="A22" s="352"/>
      <c r="B22" s="112" t="s">
        <v>187</v>
      </c>
      <c r="C22" s="649">
        <f>'Step1-electricity '!C11</f>
        <v>0</v>
      </c>
      <c r="D22" s="649">
        <f>'Step1-electricity '!D11</f>
        <v>0</v>
      </c>
      <c r="E22" s="649">
        <f>'Step1-electricity '!E11</f>
        <v>1.454606009251479</v>
      </c>
      <c r="F22" s="381">
        <f t="shared" si="17"/>
        <v>0</v>
      </c>
      <c r="G22" s="375">
        <f t="shared" si="18"/>
        <v>1.454606009251479</v>
      </c>
      <c r="H22" s="359"/>
      <c r="I22" s="372">
        <f>'Step1-electricity '!H11</f>
        <v>0</v>
      </c>
      <c r="J22" s="372">
        <f>J$12*'Step1-electricity '!$E11/'Step1-electricity '!$E$16</f>
        <v>0</v>
      </c>
      <c r="K22" s="372">
        <f>K$12*'Step1-electricity '!$E11/'Step1-electricity '!$E$16</f>
        <v>0.5998320110527714</v>
      </c>
      <c r="L22" s="372">
        <f>L$12*'Step1-electricity '!$E11/'Step1-electricity '!$E$16</f>
        <v>1.4334806424521887E-2</v>
      </c>
      <c r="M22" s="372">
        <f>M$12*'Step1-electricity '!$E11/'Step1-electricity '!$E$16</f>
        <v>4.0168118546847067</v>
      </c>
      <c r="N22" s="372">
        <f>N$12*'Step1-electricity '!$E11/'Step1-electricity '!$E$16</f>
        <v>5.2288595567847675</v>
      </c>
      <c r="O22" s="372">
        <f>O$12*'Step1-electricity '!$E11/'Step1-electricity '!$E$16</f>
        <v>4.8817183278709289</v>
      </c>
    </row>
    <row r="23" spans="1:15" s="112" customFormat="1">
      <c r="A23" s="352"/>
      <c r="B23" s="111" t="s">
        <v>222</v>
      </c>
      <c r="C23" s="649">
        <f>'Step1-electricity '!C12</f>
        <v>339.90100000000001</v>
      </c>
      <c r="D23" s="649">
        <f>'Step1-electricity '!D12</f>
        <v>0</v>
      </c>
      <c r="E23" s="649">
        <f>'Step1-electricity '!E12</f>
        <v>4.4243572746439863</v>
      </c>
      <c r="F23" s="381">
        <f t="shared" si="17"/>
        <v>0</v>
      </c>
      <c r="G23" s="375">
        <f t="shared" si="18"/>
        <v>344.32535727464398</v>
      </c>
      <c r="H23" s="359"/>
      <c r="I23" s="372">
        <f>'Step1-electricity '!H12</f>
        <v>0</v>
      </c>
      <c r="J23" s="372">
        <f>J$12*'Step1-electricity '!$E12/'Step1-electricity '!$E$16</f>
        <v>0</v>
      </c>
      <c r="K23" s="372">
        <f>K$12*'Step1-electricity '!$E12/'Step1-electricity '!$E$16</f>
        <v>1.8244604413749865</v>
      </c>
      <c r="L23" s="372">
        <f>L$12*'Step1-electricity '!$E12/'Step1-electricity '!$E$16</f>
        <v>4.360101957614148E-2</v>
      </c>
      <c r="M23" s="372">
        <f>M$12*'Step1-electricity '!$E12/'Step1-electricity '!$E$16</f>
        <v>12.217611254951178</v>
      </c>
      <c r="N23" s="372">
        <f>N$12*'Step1-electricity '!$E12/'Step1-electricity '!$E$16</f>
        <v>15.904198574057206</v>
      </c>
      <c r="O23" s="372">
        <f>O$12*'Step1-electricity '!$E12/'Step1-electricity '!$E$16</f>
        <v>14.84832721665498</v>
      </c>
    </row>
    <row r="24" spans="1:15" s="112" customFormat="1">
      <c r="A24" s="352"/>
      <c r="B24" s="111" t="s">
        <v>224</v>
      </c>
      <c r="C24" s="649">
        <f>'Step1-electricity '!C13</f>
        <v>361.71133899901304</v>
      </c>
      <c r="D24" s="649">
        <f>'Step1-electricity '!D13</f>
        <v>1274.2826437984406</v>
      </c>
      <c r="E24" s="649">
        <f>'Step1-electricity '!E13</f>
        <v>18.886115052161905</v>
      </c>
      <c r="F24" s="381">
        <f t="shared" si="17"/>
        <v>0</v>
      </c>
      <c r="G24" s="375">
        <f t="shared" si="18"/>
        <v>1654.8800978496154</v>
      </c>
      <c r="H24" s="359"/>
      <c r="I24" s="372">
        <f>'Step1-electricity '!H13</f>
        <v>0</v>
      </c>
      <c r="J24" s="372">
        <f>J$12*'Step1-electricity '!$E13/'Step1-electricity '!$E$16</f>
        <v>0</v>
      </c>
      <c r="K24" s="372">
        <f>K$12*'Step1-electricity '!$E13/'Step1-electricity '!$E$16</f>
        <v>7.7880170304959684</v>
      </c>
      <c r="L24" s="372">
        <f>L$12*'Step1-electricity '!$E13/'Step1-electricity '!$E$16</f>
        <v>0.18611830396830509</v>
      </c>
      <c r="M24" s="372">
        <f>M$12*'Step1-electricity '!$E13/'Step1-electricity '!$E$16</f>
        <v>52.152933748363104</v>
      </c>
      <c r="N24" s="372">
        <f>N$12*'Step1-electricity '!$E13/'Step1-electricity '!$E$16</f>
        <v>67.889753344172092</v>
      </c>
      <c r="O24" s="372">
        <f>O$12*'Step1-electricity '!$E13/'Step1-electricity '!$E$16</f>
        <v>63.382588416406307</v>
      </c>
    </row>
    <row r="25" spans="1:15" s="112" customFormat="1">
      <c r="A25" s="352"/>
      <c r="B25" s="111" t="s">
        <v>223</v>
      </c>
      <c r="C25" s="649">
        <f>'Step1-electricity '!C14</f>
        <v>5.2566237814873338</v>
      </c>
      <c r="D25" s="649">
        <f>'Step1-electricity '!D14</f>
        <v>0</v>
      </c>
      <c r="E25" s="649">
        <f>'Step1-electricity '!E14</f>
        <v>0.27446527332495663</v>
      </c>
      <c r="F25" s="381">
        <f t="shared" si="17"/>
        <v>0</v>
      </c>
      <c r="G25" s="375">
        <f t="shared" si="18"/>
        <v>5.5310890548122904</v>
      </c>
      <c r="H25" s="359"/>
      <c r="I25" s="372">
        <f>'Step1-electricity '!H14</f>
        <v>0</v>
      </c>
      <c r="J25" s="372">
        <f>J$12*'Step1-electricity '!$E14/'Step1-electricity '!$E$16</f>
        <v>0</v>
      </c>
      <c r="K25" s="372">
        <f>K$12*'Step1-electricity '!$E14/'Step1-electricity '!$E$16</f>
        <v>0.11318051473427868</v>
      </c>
      <c r="L25" s="372">
        <f>L$12*'Step1-electricity '!$E14/'Step1-electricity '!$E$16</f>
        <v>2.7047919081479234E-3</v>
      </c>
      <c r="M25" s="372">
        <f>M$12*'Step1-electricity '!$E14/'Step1-electricity '!$E$16</f>
        <v>0.7579202592173282</v>
      </c>
      <c r="N25" s="372">
        <f>N$12*'Step1-electricity '!$E14/'Step1-electricity '!$E$16</f>
        <v>0.98661792836209095</v>
      </c>
      <c r="O25" s="372">
        <f>O$12*'Step1-electricity '!$E14/'Step1-electricity '!$E$16</f>
        <v>0.92111688431977545</v>
      </c>
    </row>
    <row r="26" spans="1:15" s="112" customFormat="1">
      <c r="A26" s="352"/>
      <c r="B26" s="111" t="s">
        <v>221</v>
      </c>
      <c r="C26" s="649">
        <f>'Step1-electricity '!C15</f>
        <v>121.29803721949962</v>
      </c>
      <c r="D26" s="649">
        <f>'Step1-electricity '!D15</f>
        <v>0</v>
      </c>
      <c r="E26" s="649">
        <f>'Step1-electricity '!E15</f>
        <v>6.3333615497609204</v>
      </c>
      <c r="F26" s="381">
        <f t="shared" si="17"/>
        <v>0</v>
      </c>
      <c r="G26" s="375">
        <f t="shared" si="18"/>
        <v>127.63139876926054</v>
      </c>
      <c r="H26" s="359"/>
      <c r="I26" s="372">
        <f>'Step1-electricity '!H15</f>
        <v>0</v>
      </c>
      <c r="J26" s="372">
        <f>J$12*'Step1-electricity '!$E15/'Step1-electricity '!$E$16</f>
        <v>0</v>
      </c>
      <c r="K26" s="372">
        <f>K$12*'Step1-electricity '!$E15/'Step1-electricity '!$E$16</f>
        <v>2.6116714567075663</v>
      </c>
      <c r="L26" s="372">
        <f>L$12*'Step1-electricity '!$E15/'Step1-electricity '!$E$16</f>
        <v>6.2413816012660904E-2</v>
      </c>
      <c r="M26" s="372">
        <f>M$12*'Step1-electricity '!$E15/'Step1-electricity '!$E$16</f>
        <v>17.489218105303319</v>
      </c>
      <c r="N26" s="372">
        <f>N$12*'Step1-electricity '!$E15/'Step1-electricity '!$E$16</f>
        <v>22.766479620884944</v>
      </c>
      <c r="O26" s="372">
        <f>O$12*'Step1-electricity '!$E15/'Step1-electricity '!$E$16</f>
        <v>21.255025043111672</v>
      </c>
    </row>
    <row r="27" spans="1:15" s="112" customFormat="1">
      <c r="A27" s="352"/>
      <c r="B27" s="356" t="s">
        <v>735</v>
      </c>
      <c r="C27" s="375">
        <f>SUM(C15:C26)</f>
        <v>828.16699999999992</v>
      </c>
      <c r="D27" s="375">
        <f>SUM(D15:D26)</f>
        <v>1303.69</v>
      </c>
      <c r="E27" s="375">
        <f>SUM(E15:E26)</f>
        <v>36.530536082770865</v>
      </c>
      <c r="F27" s="375">
        <f>SUM(F15:F26)</f>
        <v>60.542000000000002</v>
      </c>
      <c r="G27" s="375">
        <f>SUM(G15:G26)</f>
        <v>2228.9295360827705</v>
      </c>
      <c r="H27" s="359"/>
      <c r="I27" s="373">
        <f>SUM(I15:I26)</f>
        <v>60.542000000000002</v>
      </c>
      <c r="J27" s="373">
        <f t="shared" ref="J27:O27" si="19">SUM(J15:J26)</f>
        <v>0</v>
      </c>
      <c r="K27" s="373">
        <f t="shared" si="19"/>
        <v>15.064</v>
      </c>
      <c r="L27" s="373">
        <f t="shared" si="19"/>
        <v>0.35999999999999993</v>
      </c>
      <c r="M27" s="373">
        <f t="shared" si="19"/>
        <v>100.87700000000001</v>
      </c>
      <c r="N27" s="373">
        <f t="shared" si="19"/>
        <v>131.31599999999997</v>
      </c>
      <c r="O27" s="373">
        <f t="shared" si="19"/>
        <v>122.59799999999998</v>
      </c>
    </row>
    <row r="28" spans="1:15" s="112" customFormat="1">
      <c r="A28" s="352"/>
      <c r="B28" s="111"/>
      <c r="C28" s="353"/>
      <c r="D28" s="354"/>
      <c r="E28" s="113"/>
      <c r="F28" s="136"/>
      <c r="G28" s="136"/>
      <c r="H28" s="359"/>
    </row>
    <row r="29" spans="1:15" s="112" customFormat="1">
      <c r="A29" s="352"/>
      <c r="B29" s="6"/>
      <c r="C29" s="6"/>
      <c r="D29" s="6"/>
      <c r="E29" s="369"/>
      <c r="F29" s="370"/>
      <c r="G29" s="136"/>
      <c r="H29" s="359"/>
    </row>
    <row r="30" spans="1:15" s="112" customFormat="1">
      <c r="A30" s="352"/>
      <c r="B30" s="6"/>
      <c r="C30" s="6"/>
      <c r="D30" s="6"/>
      <c r="E30" s="369"/>
      <c r="F30" s="370"/>
      <c r="G30" s="136"/>
      <c r="H30" s="359"/>
    </row>
    <row r="31" spans="1:15" s="112" customFormat="1"/>
    <row r="32" spans="1:15" s="112" customFormat="1" ht="30">
      <c r="C32" s="376" t="s">
        <v>419</v>
      </c>
      <c r="D32" s="376" t="s">
        <v>384</v>
      </c>
      <c r="E32" s="376" t="s">
        <v>172</v>
      </c>
      <c r="F32" s="384" t="s">
        <v>386</v>
      </c>
      <c r="G32" s="376" t="s">
        <v>7</v>
      </c>
      <c r="H32" s="382"/>
      <c r="I32" s="149" t="s">
        <v>740</v>
      </c>
      <c r="J32" s="149" t="s">
        <v>385</v>
      </c>
      <c r="K32" s="149" t="s">
        <v>219</v>
      </c>
      <c r="L32" s="149" t="s">
        <v>11</v>
      </c>
      <c r="M32" s="149" t="s">
        <v>218</v>
      </c>
      <c r="N32" s="149" t="s">
        <v>171</v>
      </c>
      <c r="O32" s="149" t="s">
        <v>187</v>
      </c>
    </row>
    <row r="33" spans="1:15" s="112" customFormat="1">
      <c r="A33" s="112">
        <v>1</v>
      </c>
      <c r="B33" s="111" t="s">
        <v>197</v>
      </c>
      <c r="C33" s="369">
        <f>Step2!D36</f>
        <v>117.85555327330248</v>
      </c>
      <c r="D33" s="369">
        <f>Step2!E36</f>
        <v>7.5365014935901156E-2</v>
      </c>
      <c r="E33" s="369">
        <f>Step2!F36</f>
        <v>35.28284473921137</v>
      </c>
      <c r="F33" s="355">
        <f>I33</f>
        <v>0</v>
      </c>
      <c r="G33" s="113">
        <f>SUM(C33:F33)</f>
        <v>153.21376302744974</v>
      </c>
      <c r="I33" s="355">
        <f>Step2!I36</f>
        <v>0</v>
      </c>
      <c r="J33" s="355"/>
      <c r="K33" s="355"/>
      <c r="L33" s="355"/>
      <c r="M33" s="355"/>
      <c r="N33" s="355"/>
      <c r="O33" s="355"/>
    </row>
    <row r="34" spans="1:15" s="112" customFormat="1">
      <c r="A34" s="112">
        <v>2</v>
      </c>
      <c r="B34" s="111" t="s">
        <v>198</v>
      </c>
      <c r="C34" s="369">
        <f>Step2!D37</f>
        <v>3.7315797266975155</v>
      </c>
      <c r="D34" s="369">
        <f>Step2!E37</f>
        <v>0</v>
      </c>
      <c r="E34" s="369">
        <f>Step2!F37</f>
        <v>1.7451552607886325</v>
      </c>
      <c r="F34" s="355">
        <f t="shared" ref="F34:F54" si="20">I34</f>
        <v>0</v>
      </c>
      <c r="G34" s="113">
        <f t="shared" ref="G34:G54" si="21">SUM(C34:F34)</f>
        <v>5.4767349874861484</v>
      </c>
      <c r="I34" s="355">
        <f>Step2!I37</f>
        <v>0</v>
      </c>
      <c r="J34" s="355"/>
      <c r="K34" s="355"/>
      <c r="L34" s="355"/>
      <c r="M34" s="355"/>
      <c r="N34" s="355"/>
      <c r="O34" s="355"/>
    </row>
    <row r="35" spans="1:15" s="112" customFormat="1">
      <c r="A35" s="112">
        <v>3</v>
      </c>
      <c r="B35" s="111" t="s">
        <v>199</v>
      </c>
      <c r="C35" s="369">
        <f>Step2!D38</f>
        <v>12.032577</v>
      </c>
      <c r="D35" s="369">
        <f>Step2!E38</f>
        <v>16.489000000000001</v>
      </c>
      <c r="E35" s="369">
        <f>Step2!F38</f>
        <v>11.132000000000001</v>
      </c>
      <c r="F35" s="355">
        <f>I35</f>
        <v>59.526828000000002</v>
      </c>
      <c r="G35" s="113">
        <f t="shared" si="21"/>
        <v>99.180405000000007</v>
      </c>
      <c r="I35" s="355">
        <f>Step2!I38</f>
        <v>59.526828000000002</v>
      </c>
      <c r="J35" s="355"/>
      <c r="K35" s="355"/>
      <c r="L35" s="355"/>
      <c r="M35" s="355"/>
      <c r="N35" s="355"/>
      <c r="O35" s="355"/>
    </row>
    <row r="36" spans="1:15" s="112" customFormat="1">
      <c r="A36" s="112">
        <v>4</v>
      </c>
      <c r="B36" s="111" t="s">
        <v>200</v>
      </c>
      <c r="C36" s="369">
        <f>Step2!D39</f>
        <v>6.8570200000000003</v>
      </c>
      <c r="D36" s="369">
        <f>Step2!E39</f>
        <v>32.664000000000001</v>
      </c>
      <c r="E36" s="369">
        <f>Step2!F39</f>
        <v>10.295999999999999</v>
      </c>
      <c r="F36" s="355">
        <f t="shared" si="20"/>
        <v>0</v>
      </c>
      <c r="G36" s="113">
        <f t="shared" si="21"/>
        <v>49.817019999999999</v>
      </c>
      <c r="I36" s="355">
        <f>Step2!I39</f>
        <v>0</v>
      </c>
      <c r="J36" s="355"/>
      <c r="K36" s="355"/>
      <c r="L36" s="355"/>
      <c r="M36" s="355"/>
      <c r="N36" s="355"/>
      <c r="O36" s="355"/>
    </row>
    <row r="37" spans="1:15" s="112" customFormat="1">
      <c r="A37" s="112">
        <v>5</v>
      </c>
      <c r="B37" s="111" t="s">
        <v>201</v>
      </c>
      <c r="C37" s="369">
        <f>Step2!D40</f>
        <v>10.844181000000001</v>
      </c>
      <c r="D37" s="369">
        <f>Step2!E40</f>
        <v>177.06700000000001</v>
      </c>
      <c r="E37" s="369">
        <f>Step2!F40</f>
        <v>22.242000000000001</v>
      </c>
      <c r="F37" s="355">
        <f t="shared" si="20"/>
        <v>0</v>
      </c>
      <c r="G37" s="113">
        <f t="shared" si="21"/>
        <v>210.15318099999999</v>
      </c>
      <c r="I37" s="355">
        <f>Step2!I40</f>
        <v>0</v>
      </c>
      <c r="J37" s="355"/>
      <c r="K37" s="355"/>
      <c r="L37" s="355"/>
      <c r="M37" s="355"/>
      <c r="N37" s="355"/>
      <c r="O37" s="355"/>
    </row>
    <row r="38" spans="1:15" s="112" customFormat="1">
      <c r="A38" s="112">
        <v>6</v>
      </c>
      <c r="B38" s="111" t="s">
        <v>202</v>
      </c>
      <c r="C38" s="369">
        <f>Step2!D41</f>
        <v>108.61128500000001</v>
      </c>
      <c r="D38" s="369">
        <f>Step2!E41</f>
        <v>4.4249999999999998</v>
      </c>
      <c r="E38" s="369">
        <f>Step2!F41</f>
        <v>36.133000000000003</v>
      </c>
      <c r="F38" s="355">
        <f t="shared" si="20"/>
        <v>0</v>
      </c>
      <c r="G38" s="113">
        <f t="shared" si="21"/>
        <v>149.169285</v>
      </c>
      <c r="I38" s="355">
        <f>Step2!I41</f>
        <v>0</v>
      </c>
      <c r="J38" s="355"/>
      <c r="K38" s="355"/>
      <c r="L38" s="355"/>
      <c r="M38" s="355"/>
      <c r="N38" s="355"/>
      <c r="O38" s="355"/>
    </row>
    <row r="39" spans="1:15" s="112" customFormat="1">
      <c r="A39" s="112">
        <v>7</v>
      </c>
      <c r="B39" s="111" t="s">
        <v>203</v>
      </c>
      <c r="C39" s="369">
        <f>Step2!D42</f>
        <v>71.210695000000001</v>
      </c>
      <c r="D39" s="369">
        <f>Step2!E42</f>
        <v>115.285</v>
      </c>
      <c r="E39" s="369">
        <f>Step2!F42</f>
        <v>21.582000000000001</v>
      </c>
      <c r="F39" s="355">
        <f t="shared" si="20"/>
        <v>0</v>
      </c>
      <c r="G39" s="113">
        <f t="shared" si="21"/>
        <v>208.07769500000001</v>
      </c>
      <c r="I39" s="355">
        <f>Step2!I42</f>
        <v>0</v>
      </c>
      <c r="J39" s="355"/>
      <c r="K39" s="355"/>
      <c r="L39" s="355"/>
      <c r="M39" s="355"/>
      <c r="N39" s="355"/>
      <c r="O39" s="355"/>
    </row>
    <row r="40" spans="1:15" s="112" customFormat="1">
      <c r="A40" s="112">
        <v>8</v>
      </c>
      <c r="B40" s="111" t="s">
        <v>204</v>
      </c>
      <c r="C40" s="369">
        <f>Step2!D43</f>
        <v>24.733881096929654</v>
      </c>
      <c r="D40" s="369">
        <f>Step2!E43</f>
        <v>28.706752980998399</v>
      </c>
      <c r="E40" s="369">
        <f>Step2!F43</f>
        <v>117.9710362678199</v>
      </c>
      <c r="F40" s="355">
        <f t="shared" si="20"/>
        <v>0</v>
      </c>
      <c r="G40" s="113">
        <f t="shared" si="21"/>
        <v>171.41167034574795</v>
      </c>
      <c r="I40" s="355">
        <f>Step2!I43</f>
        <v>0</v>
      </c>
      <c r="J40" s="355"/>
      <c r="K40" s="355"/>
      <c r="L40" s="355"/>
      <c r="M40" s="355"/>
      <c r="N40" s="355"/>
      <c r="O40" s="355"/>
    </row>
    <row r="41" spans="1:15" s="112" customFormat="1">
      <c r="A41" s="112">
        <v>9</v>
      </c>
      <c r="B41" s="111" t="s">
        <v>205</v>
      </c>
      <c r="C41" s="369">
        <f>Step2!D44</f>
        <v>3.7859602451219474</v>
      </c>
      <c r="D41" s="369">
        <f>Step2!E44</f>
        <v>148.57849322623136</v>
      </c>
      <c r="E41" s="369">
        <f>Step2!F44</f>
        <v>5.3742002651226866</v>
      </c>
      <c r="F41" s="355">
        <f t="shared" si="20"/>
        <v>0</v>
      </c>
      <c r="G41" s="113">
        <f t="shared" si="21"/>
        <v>157.73865373647598</v>
      </c>
      <c r="I41" s="355">
        <f>Step2!I44</f>
        <v>0</v>
      </c>
      <c r="J41" s="355"/>
      <c r="K41" s="355"/>
      <c r="L41" s="355"/>
      <c r="M41" s="355"/>
      <c r="N41" s="355"/>
      <c r="O41" s="355"/>
    </row>
    <row r="42" spans="1:15" s="112" customFormat="1">
      <c r="A42" s="112">
        <v>10</v>
      </c>
      <c r="B42" s="111" t="s">
        <v>206</v>
      </c>
      <c r="C42" s="369">
        <f>Step2!D45</f>
        <v>10.947546000000001</v>
      </c>
      <c r="D42" s="369">
        <f>Step2!E45</f>
        <v>1.6292535026314869</v>
      </c>
      <c r="E42" s="369">
        <f>Step2!F45</f>
        <v>1.7729999999999999</v>
      </c>
      <c r="F42" s="355">
        <f t="shared" si="20"/>
        <v>0</v>
      </c>
      <c r="G42" s="113">
        <f t="shared" si="21"/>
        <v>14.349799502631488</v>
      </c>
      <c r="I42" s="355">
        <f>Step2!I45</f>
        <v>0</v>
      </c>
      <c r="J42" s="355"/>
      <c r="K42" s="355"/>
      <c r="L42" s="355"/>
      <c r="M42" s="355"/>
      <c r="N42" s="355"/>
      <c r="O42" s="355"/>
    </row>
    <row r="43" spans="1:15" s="112" customFormat="1">
      <c r="A43" s="112">
        <v>11</v>
      </c>
      <c r="B43" s="111" t="s">
        <v>207</v>
      </c>
      <c r="C43" s="369">
        <f>Step2!D46</f>
        <v>165.81341790307027</v>
      </c>
      <c r="D43" s="369">
        <f>Step2!E46</f>
        <v>218.54624701900161</v>
      </c>
      <c r="E43" s="369">
        <f>Step2!F46</f>
        <v>309.85496373218012</v>
      </c>
      <c r="F43" s="355">
        <f t="shared" si="20"/>
        <v>4.2556149999999988</v>
      </c>
      <c r="G43" s="113">
        <f t="shared" si="21"/>
        <v>698.47024365425204</v>
      </c>
      <c r="I43" s="355">
        <f>Step2!I46</f>
        <v>4.2556149999999988</v>
      </c>
      <c r="J43" s="355"/>
      <c r="K43" s="355"/>
      <c r="L43" s="355"/>
      <c r="M43" s="355"/>
      <c r="N43" s="355"/>
      <c r="O43" s="355"/>
    </row>
    <row r="44" spans="1:15" s="112" customFormat="1">
      <c r="A44" s="112">
        <v>12</v>
      </c>
      <c r="B44" s="111" t="s">
        <v>208</v>
      </c>
      <c r="C44" s="369">
        <f>Step2!D47</f>
        <v>127.186144</v>
      </c>
      <c r="D44" s="369">
        <f>Step2!E47</f>
        <v>7.051032023618066E-2</v>
      </c>
      <c r="E44" s="369">
        <f>Step2!F47</f>
        <v>3.7637409277196596</v>
      </c>
      <c r="F44" s="355">
        <f t="shared" si="20"/>
        <v>0</v>
      </c>
      <c r="G44" s="113">
        <f t="shared" si="21"/>
        <v>131.02039524795583</v>
      </c>
      <c r="I44" s="355">
        <f>Step2!I47</f>
        <v>0</v>
      </c>
      <c r="J44" s="355"/>
      <c r="K44" s="355"/>
      <c r="L44" s="355"/>
      <c r="M44" s="355"/>
      <c r="N44" s="355"/>
      <c r="O44" s="355"/>
    </row>
    <row r="45" spans="1:15" s="112" customFormat="1">
      <c r="A45" s="112">
        <v>13</v>
      </c>
      <c r="B45" s="111" t="s">
        <v>209</v>
      </c>
      <c r="C45" s="369">
        <f>Step2!D48</f>
        <v>26.448539</v>
      </c>
      <c r="D45" s="369">
        <f>Step2!E48</f>
        <v>0</v>
      </c>
      <c r="E45" s="369">
        <f>Step2!F48</f>
        <v>4.2269999999999994</v>
      </c>
      <c r="F45" s="355">
        <f t="shared" si="20"/>
        <v>0</v>
      </c>
      <c r="G45" s="113">
        <f t="shared" si="21"/>
        <v>30.675539000000001</v>
      </c>
      <c r="I45" s="355">
        <f>Step2!I48</f>
        <v>0</v>
      </c>
      <c r="J45" s="355"/>
      <c r="K45" s="355"/>
      <c r="L45" s="355"/>
      <c r="M45" s="355"/>
      <c r="N45" s="355"/>
      <c r="O45" s="355"/>
    </row>
    <row r="46" spans="1:15" s="112" customFormat="1">
      <c r="A46" s="112">
        <v>14</v>
      </c>
      <c r="B46" s="111" t="s">
        <v>210</v>
      </c>
      <c r="C46" s="369">
        <f>Step2!D49</f>
        <v>28.755616999999997</v>
      </c>
      <c r="D46" s="369">
        <f>Step2!E49</f>
        <v>2.6763625993386064E-2</v>
      </c>
      <c r="E46" s="369">
        <f>Step2!F49</f>
        <v>0.53873423370863549</v>
      </c>
      <c r="F46" s="355">
        <f t="shared" si="20"/>
        <v>0</v>
      </c>
      <c r="G46" s="113">
        <f t="shared" si="21"/>
        <v>29.321114859702018</v>
      </c>
      <c r="I46" s="355">
        <f>Step2!I49</f>
        <v>0</v>
      </c>
      <c r="J46" s="355"/>
      <c r="K46" s="355"/>
      <c r="L46" s="355"/>
      <c r="M46" s="355"/>
      <c r="N46" s="355"/>
      <c r="O46" s="355"/>
    </row>
    <row r="47" spans="1:15" s="112" customFormat="1">
      <c r="A47" s="112">
        <v>15</v>
      </c>
      <c r="B47" s="111" t="s">
        <v>211</v>
      </c>
      <c r="C47" s="369">
        <f>Step2!D50</f>
        <v>950.45751023019739</v>
      </c>
      <c r="D47" s="369">
        <f>Step2!E50</f>
        <v>0.42433590642746566</v>
      </c>
      <c r="E47" s="369">
        <f>Step2!F50</f>
        <v>6.9278152635497392</v>
      </c>
      <c r="F47" s="355">
        <f t="shared" si="20"/>
        <v>0</v>
      </c>
      <c r="G47" s="113">
        <f t="shared" si="21"/>
        <v>957.8096614001746</v>
      </c>
      <c r="I47" s="355">
        <f>Step2!I50</f>
        <v>0</v>
      </c>
      <c r="J47" s="355"/>
      <c r="K47" s="355"/>
      <c r="L47" s="355"/>
      <c r="M47" s="355"/>
      <c r="N47" s="355"/>
      <c r="O47" s="355"/>
    </row>
    <row r="48" spans="1:15" s="112" customFormat="1">
      <c r="A48" s="112">
        <v>16</v>
      </c>
      <c r="B48" s="111" t="s">
        <v>212</v>
      </c>
      <c r="C48" s="369">
        <f>Step2!D51</f>
        <v>111.93394060926774</v>
      </c>
      <c r="D48" s="369">
        <f>Step2!E51</f>
        <v>0.5902687489971129</v>
      </c>
      <c r="E48" s="369">
        <f>Step2!F51</f>
        <v>8.8823168096311758</v>
      </c>
      <c r="F48" s="355">
        <f t="shared" si="20"/>
        <v>0</v>
      </c>
      <c r="G48" s="113">
        <f t="shared" si="21"/>
        <v>121.40652616789603</v>
      </c>
      <c r="I48" s="355">
        <f>Step2!I51</f>
        <v>0</v>
      </c>
      <c r="J48" s="355"/>
      <c r="K48" s="355"/>
      <c r="L48" s="355"/>
      <c r="M48" s="355"/>
      <c r="N48" s="355"/>
      <c r="O48" s="355"/>
    </row>
    <row r="49" spans="1:16" s="112" customFormat="1">
      <c r="A49" s="112">
        <v>17</v>
      </c>
      <c r="B49" s="111" t="s">
        <v>213</v>
      </c>
      <c r="C49" s="369">
        <f>Step2!D52</f>
        <v>0.56295137205172163</v>
      </c>
      <c r="D49" s="369">
        <f>Step2!E52</f>
        <v>1.5661855452749989E-2</v>
      </c>
      <c r="E49" s="369">
        <f>Step2!F52</f>
        <v>0.872593853719692</v>
      </c>
      <c r="F49" s="355">
        <f t="shared" si="20"/>
        <v>0</v>
      </c>
      <c r="G49" s="113">
        <f t="shared" si="21"/>
        <v>1.4512070812241635</v>
      </c>
      <c r="I49" s="355">
        <f>Step2!I52</f>
        <v>0</v>
      </c>
      <c r="J49" s="355"/>
      <c r="K49" s="355"/>
      <c r="L49" s="355"/>
      <c r="M49" s="355"/>
      <c r="N49" s="355"/>
      <c r="O49" s="355"/>
    </row>
    <row r="50" spans="1:16" s="112" customFormat="1">
      <c r="A50" s="112">
        <v>18</v>
      </c>
      <c r="B50" s="111" t="s">
        <v>214</v>
      </c>
      <c r="C50" s="369">
        <f>Step2!D53</f>
        <v>69.427137000000002</v>
      </c>
      <c r="D50" s="369">
        <f>Step2!E53</f>
        <v>11.097</v>
      </c>
      <c r="E50" s="369">
        <f>Step2!F53</f>
        <v>52.900000000000006</v>
      </c>
      <c r="F50" s="355">
        <f t="shared" si="20"/>
        <v>0</v>
      </c>
      <c r="G50" s="113">
        <f t="shared" si="21"/>
        <v>133.424137</v>
      </c>
      <c r="I50" s="355">
        <f>Step2!I53</f>
        <v>0</v>
      </c>
      <c r="J50" s="355"/>
      <c r="K50" s="355"/>
      <c r="L50" s="355"/>
      <c r="M50" s="355"/>
      <c r="N50" s="355"/>
      <c r="O50" s="355"/>
    </row>
    <row r="51" spans="1:16" s="112" customFormat="1">
      <c r="A51" s="112">
        <v>19</v>
      </c>
      <c r="B51" s="111" t="s">
        <v>215</v>
      </c>
      <c r="C51" s="369">
        <f>Step2!D54</f>
        <v>13.57178738301335</v>
      </c>
      <c r="D51" s="369">
        <f>Step2!E54</f>
        <v>0</v>
      </c>
      <c r="E51" s="369">
        <f>Step2!F54</f>
        <v>33.427</v>
      </c>
      <c r="F51" s="355">
        <f t="shared" si="20"/>
        <v>0</v>
      </c>
      <c r="G51" s="113">
        <f t="shared" si="21"/>
        <v>46.998787383013351</v>
      </c>
      <c r="I51" s="355">
        <f>Step2!I54</f>
        <v>0</v>
      </c>
      <c r="J51" s="355"/>
      <c r="K51" s="355"/>
      <c r="L51" s="355"/>
      <c r="M51" s="355"/>
      <c r="N51" s="355"/>
      <c r="O51" s="355"/>
    </row>
    <row r="52" spans="1:16" s="112" customFormat="1">
      <c r="A52" s="112">
        <v>20</v>
      </c>
      <c r="B52" s="111" t="s">
        <v>216</v>
      </c>
      <c r="C52" s="369">
        <f>Step2!D55</f>
        <v>88.959326451679644</v>
      </c>
      <c r="D52" s="369">
        <f>Step2!E55</f>
        <v>275.80302099139669</v>
      </c>
      <c r="E52" s="369">
        <f>Step2!F55</f>
        <v>2.3855026281322518</v>
      </c>
      <c r="F52" s="355">
        <f t="shared" si="20"/>
        <v>0</v>
      </c>
      <c r="G52" s="113">
        <f t="shared" si="21"/>
        <v>367.14785007120861</v>
      </c>
      <c r="I52" s="355">
        <f>Step2!I55</f>
        <v>0</v>
      </c>
      <c r="J52" s="355"/>
      <c r="K52" s="355"/>
      <c r="L52" s="355"/>
      <c r="M52" s="355"/>
      <c r="N52" s="355"/>
      <c r="O52" s="355"/>
    </row>
    <row r="53" spans="1:16" s="112" customFormat="1">
      <c r="A53" s="112">
        <v>21</v>
      </c>
      <c r="B53" s="111" t="s">
        <v>217</v>
      </c>
      <c r="C53" s="369">
        <f>Step2!D56</f>
        <v>6.332789862656998E-3</v>
      </c>
      <c r="D53" s="369">
        <f>Step2!E56</f>
        <v>184.90884543709043</v>
      </c>
      <c r="E53" s="369">
        <f>Step2!F56</f>
        <v>4.4687658436655893</v>
      </c>
      <c r="F53" s="355">
        <f t="shared" si="20"/>
        <v>0</v>
      </c>
      <c r="G53" s="113">
        <f t="shared" si="21"/>
        <v>189.38394407061867</v>
      </c>
      <c r="I53" s="355">
        <f>Step2!I56</f>
        <v>0</v>
      </c>
      <c r="J53" s="355"/>
      <c r="K53" s="355"/>
      <c r="L53" s="355"/>
      <c r="M53" s="355"/>
      <c r="N53" s="355"/>
      <c r="O53" s="355"/>
    </row>
    <row r="54" spans="1:16" s="112" customFormat="1">
      <c r="A54" s="112">
        <v>22</v>
      </c>
      <c r="B54" s="348" t="s">
        <v>418</v>
      </c>
      <c r="C54" s="369">
        <f>Step2!D57</f>
        <v>828.16699999999992</v>
      </c>
      <c r="D54" s="369">
        <f>Step2!E57</f>
        <v>1303.69</v>
      </c>
      <c r="E54" s="369">
        <f>Step2!F57</f>
        <v>36.530536082770865</v>
      </c>
      <c r="F54" s="355">
        <f t="shared" si="20"/>
        <v>60.542000000000002</v>
      </c>
      <c r="G54" s="113">
        <f t="shared" si="21"/>
        <v>2228.9295360827709</v>
      </c>
      <c r="I54" s="355">
        <f>Step2!I57</f>
        <v>60.542000000000002</v>
      </c>
      <c r="J54" s="355">
        <f>Step2!J57</f>
        <v>0</v>
      </c>
      <c r="K54" s="355">
        <f>Step2!K57</f>
        <v>15.064</v>
      </c>
      <c r="L54" s="355">
        <f>Step2!L57</f>
        <v>0.36</v>
      </c>
      <c r="M54" s="355">
        <f>Step2!M57</f>
        <v>100.87700000000001</v>
      </c>
      <c r="N54" s="355">
        <f>Step2!N57</f>
        <v>131.316</v>
      </c>
      <c r="O54" s="355">
        <f>Step2!O57</f>
        <v>122.598</v>
      </c>
    </row>
    <row r="55" spans="1:16" s="112" customFormat="1">
      <c r="B55" s="120" t="s">
        <v>537</v>
      </c>
      <c r="C55" s="371">
        <f>SUM(C33:C54)</f>
        <v>2781.8999820811941</v>
      </c>
      <c r="D55" s="371">
        <f t="shared" ref="D55:E55" si="22">SUM(D33:D54)</f>
        <v>2520.0925186293925</v>
      </c>
      <c r="E55" s="371">
        <f t="shared" si="22"/>
        <v>728.31020590802029</v>
      </c>
      <c r="F55" s="371">
        <f>SUM(F33:F54)</f>
        <v>124.324443</v>
      </c>
      <c r="G55" s="371">
        <f>SUM(G33:G54)</f>
        <v>6154.6271496186073</v>
      </c>
      <c r="I55" s="371">
        <f>SUM(I33:I54)</f>
        <v>124.324443</v>
      </c>
      <c r="J55" s="371">
        <f t="shared" ref="J55" si="23">SUM(J33:J54)</f>
        <v>0</v>
      </c>
      <c r="K55" s="371">
        <f t="shared" ref="K55" si="24">SUM(K33:K54)</f>
        <v>15.064</v>
      </c>
      <c r="L55" s="371">
        <f t="shared" ref="L55" si="25">SUM(L33:L54)</f>
        <v>0.36</v>
      </c>
      <c r="M55" s="371">
        <f t="shared" ref="M55" si="26">SUM(M33:M54)</f>
        <v>100.87700000000001</v>
      </c>
      <c r="N55" s="371">
        <f t="shared" ref="N55" si="27">SUM(N33:N54)</f>
        <v>131.316</v>
      </c>
      <c r="O55" s="371">
        <f t="shared" ref="O55" si="28">SUM(O33:O54)</f>
        <v>122.598</v>
      </c>
    </row>
    <row r="56" spans="1:16" s="112" customFormat="1">
      <c r="C56" s="6"/>
      <c r="D56" s="6"/>
      <c r="E56" s="6"/>
      <c r="F56" s="6"/>
      <c r="G56" s="6"/>
    </row>
    <row r="57" spans="1:16" s="112" customFormat="1">
      <c r="B57" s="120" t="s">
        <v>738</v>
      </c>
      <c r="C57" s="371">
        <f>Step2!D60</f>
        <v>1269.6992751605353</v>
      </c>
      <c r="D57" s="371">
        <f>Step2!E60</f>
        <v>33.802999999999997</v>
      </c>
      <c r="E57" s="371">
        <f>Step2!F60</f>
        <v>195.17500000000001</v>
      </c>
      <c r="F57" s="371">
        <f>I57</f>
        <v>255.42239699999999</v>
      </c>
      <c r="G57" s="371">
        <f>SUM(C57:F57)</f>
        <v>1754.0996721605352</v>
      </c>
      <c r="I57" s="371">
        <f>Step2!I60</f>
        <v>255.42239699999999</v>
      </c>
      <c r="J57" s="371"/>
      <c r="K57" s="371"/>
      <c r="L57" s="371"/>
      <c r="M57" s="371"/>
      <c r="N57" s="371"/>
      <c r="O57" s="371"/>
    </row>
    <row r="58" spans="1:16" s="112" customFormat="1">
      <c r="C58" s="6"/>
      <c r="D58" s="6"/>
      <c r="E58" s="6"/>
      <c r="F58" s="6"/>
      <c r="G58" s="6"/>
      <c r="I58" s="355"/>
      <c r="J58" s="355"/>
      <c r="K58" s="355"/>
      <c r="L58" s="355"/>
      <c r="M58" s="355"/>
      <c r="N58" s="355"/>
      <c r="O58" s="355"/>
      <c r="P58" s="355"/>
    </row>
    <row r="59" spans="1:16" s="112" customFormat="1">
      <c r="B59" s="120" t="s">
        <v>546</v>
      </c>
      <c r="C59" s="371">
        <f>C55+C57</f>
        <v>4051.5992572417294</v>
      </c>
      <c r="D59" s="371">
        <f>D55+D57</f>
        <v>2553.8955186293924</v>
      </c>
      <c r="E59" s="371">
        <f t="shared" ref="E59" si="29">E55+E57</f>
        <v>923.48520590802036</v>
      </c>
      <c r="F59" s="371">
        <f>F55+F57</f>
        <v>379.74684000000002</v>
      </c>
      <c r="G59" s="371">
        <f>G55+G57</f>
        <v>7908.7268217791425</v>
      </c>
      <c r="I59" s="371">
        <f t="shared" ref="I59:O59" si="30">I55+I57</f>
        <v>379.74684000000002</v>
      </c>
      <c r="J59" s="371">
        <f t="shared" si="30"/>
        <v>0</v>
      </c>
      <c r="K59" s="371">
        <f t="shared" si="30"/>
        <v>15.064</v>
      </c>
      <c r="L59" s="371">
        <f t="shared" si="30"/>
        <v>0.36</v>
      </c>
      <c r="M59" s="371">
        <f t="shared" si="30"/>
        <v>100.87700000000001</v>
      </c>
      <c r="N59" s="371">
        <f t="shared" si="30"/>
        <v>131.316</v>
      </c>
      <c r="O59" s="371">
        <f t="shared" si="30"/>
        <v>122.598</v>
      </c>
    </row>
    <row r="60" spans="1:16" s="112" customFormat="1"/>
    <row r="61" spans="1:16" s="112" customFormat="1">
      <c r="A61"/>
      <c r="B61"/>
      <c r="C61"/>
      <c r="D61"/>
      <c r="E61"/>
      <c r="F61"/>
      <c r="G61"/>
      <c r="H61"/>
    </row>
    <row r="62" spans="1:16" s="112" customFormat="1">
      <c r="A62"/>
      <c r="B62"/>
      <c r="C62"/>
      <c r="D62"/>
      <c r="E62"/>
      <c r="F62"/>
      <c r="G62" s="308"/>
      <c r="H62"/>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71"/>
  <sheetViews>
    <sheetView tabSelected="1" topLeftCell="A31" workbookViewId="0">
      <selection activeCell="J41" sqref="J41"/>
    </sheetView>
  </sheetViews>
  <sheetFormatPr baseColWidth="10" defaultRowHeight="15.75"/>
  <cols>
    <col min="2" max="2" width="47.625" customWidth="1"/>
  </cols>
  <sheetData>
    <row r="2" spans="1:7">
      <c r="B2" s="120" t="s">
        <v>390</v>
      </c>
      <c r="C2" s="376" t="s">
        <v>419</v>
      </c>
      <c r="D2" s="376" t="s">
        <v>384</v>
      </c>
      <c r="E2" s="376" t="s">
        <v>172</v>
      </c>
      <c r="F2" s="384" t="s">
        <v>386</v>
      </c>
      <c r="G2" s="376" t="s">
        <v>7</v>
      </c>
    </row>
    <row r="3" spans="1:7">
      <c r="A3">
        <v>1</v>
      </c>
      <c r="B3" s="111" t="s">
        <v>197</v>
      </c>
      <c r="C3" s="369">
        <f>'Resumen all energy'!C33</f>
        <v>117.85555327330248</v>
      </c>
      <c r="D3" s="369">
        <f>'Resumen all energy'!D33</f>
        <v>7.5365014935901156E-2</v>
      </c>
      <c r="E3" s="369">
        <f>'Resumen all energy'!E33</f>
        <v>35.28284473921137</v>
      </c>
      <c r="F3" s="369">
        <f>'Resumen all energy'!F33</f>
        <v>0</v>
      </c>
      <c r="G3" s="113">
        <f>SUM(C3:F3)</f>
        <v>153.21376302744974</v>
      </c>
    </row>
    <row r="4" spans="1:7">
      <c r="A4">
        <v>2</v>
      </c>
      <c r="B4" s="111" t="s">
        <v>198</v>
      </c>
      <c r="C4" s="369">
        <f>'Resumen all energy'!C34</f>
        <v>3.7315797266975155</v>
      </c>
      <c r="D4" s="369">
        <f>'Resumen all energy'!D34</f>
        <v>0</v>
      </c>
      <c r="E4" s="369">
        <f>'Resumen all energy'!E34</f>
        <v>1.7451552607886325</v>
      </c>
      <c r="F4" s="369">
        <f>'Resumen all energy'!F34</f>
        <v>0</v>
      </c>
      <c r="G4" s="113">
        <f t="shared" ref="G4:G35" si="0">SUM(C4:F4)</f>
        <v>5.4767349874861484</v>
      </c>
    </row>
    <row r="5" spans="1:7">
      <c r="A5">
        <v>3</v>
      </c>
      <c r="B5" s="111" t="s">
        <v>199</v>
      </c>
      <c r="C5" s="369">
        <f>'Resumen all energy'!C35</f>
        <v>12.032577</v>
      </c>
      <c r="D5" s="369">
        <f>'Resumen all energy'!D35</f>
        <v>16.489000000000001</v>
      </c>
      <c r="E5" s="369">
        <f>'Resumen all energy'!E35</f>
        <v>11.132000000000001</v>
      </c>
      <c r="F5" s="369">
        <f>'Resumen all energy'!F35</f>
        <v>59.526828000000002</v>
      </c>
      <c r="G5" s="113">
        <f t="shared" si="0"/>
        <v>99.180405000000007</v>
      </c>
    </row>
    <row r="6" spans="1:7">
      <c r="A6">
        <v>4</v>
      </c>
      <c r="B6" s="111" t="s">
        <v>200</v>
      </c>
      <c r="C6" s="369">
        <f>'Resumen all energy'!C36</f>
        <v>6.8570200000000003</v>
      </c>
      <c r="D6" s="369">
        <f>'Resumen all energy'!D36</f>
        <v>32.664000000000001</v>
      </c>
      <c r="E6" s="369">
        <f>'Resumen all energy'!E36</f>
        <v>10.295999999999999</v>
      </c>
      <c r="F6" s="369">
        <f>'Resumen all energy'!F36</f>
        <v>0</v>
      </c>
      <c r="G6" s="113">
        <f t="shared" si="0"/>
        <v>49.817019999999999</v>
      </c>
    </row>
    <row r="7" spans="1:7">
      <c r="A7">
        <v>5</v>
      </c>
      <c r="B7" s="111" t="s">
        <v>201</v>
      </c>
      <c r="C7" s="369">
        <f>'Resumen all energy'!C37</f>
        <v>10.844181000000001</v>
      </c>
      <c r="D7" s="369">
        <f>'Resumen all energy'!D37</f>
        <v>177.06700000000001</v>
      </c>
      <c r="E7" s="369">
        <f>'Resumen all energy'!E37</f>
        <v>22.242000000000001</v>
      </c>
      <c r="F7" s="369">
        <f>'Resumen all energy'!F37</f>
        <v>0</v>
      </c>
      <c r="G7" s="113">
        <f t="shared" si="0"/>
        <v>210.15318099999999</v>
      </c>
    </row>
    <row r="8" spans="1:7">
      <c r="A8">
        <v>6</v>
      </c>
      <c r="B8" s="111" t="s">
        <v>202</v>
      </c>
      <c r="C8" s="369">
        <f>'Resumen all energy'!C38</f>
        <v>108.61128500000001</v>
      </c>
      <c r="D8" s="369">
        <f>'Resumen all energy'!D38</f>
        <v>4.4249999999999998</v>
      </c>
      <c r="E8" s="369">
        <f>'Resumen all energy'!E38</f>
        <v>36.133000000000003</v>
      </c>
      <c r="F8" s="369">
        <f>'Resumen all energy'!F38</f>
        <v>0</v>
      </c>
      <c r="G8" s="113">
        <f t="shared" si="0"/>
        <v>149.169285</v>
      </c>
    </row>
    <row r="9" spans="1:7">
      <c r="A9">
        <v>7</v>
      </c>
      <c r="B9" s="111" t="s">
        <v>203</v>
      </c>
      <c r="C9" s="369">
        <f>'Resumen all energy'!C39</f>
        <v>71.210695000000001</v>
      </c>
      <c r="D9" s="369">
        <f>'Resumen all energy'!D39</f>
        <v>115.285</v>
      </c>
      <c r="E9" s="369">
        <f>'Resumen all energy'!E39</f>
        <v>21.582000000000001</v>
      </c>
      <c r="F9" s="369">
        <f>'Resumen all energy'!F39</f>
        <v>0</v>
      </c>
      <c r="G9" s="113">
        <f t="shared" si="0"/>
        <v>208.07769500000001</v>
      </c>
    </row>
    <row r="10" spans="1:7">
      <c r="A10">
        <v>8</v>
      </c>
      <c r="B10" s="111" t="s">
        <v>204</v>
      </c>
      <c r="C10" s="369">
        <f>'Resumen all energy'!C40</f>
        <v>24.733881096929654</v>
      </c>
      <c r="D10" s="369">
        <f>'Resumen all energy'!D40</f>
        <v>28.706752980998399</v>
      </c>
      <c r="E10" s="369">
        <f>'Resumen all energy'!E40</f>
        <v>117.9710362678199</v>
      </c>
      <c r="F10" s="369">
        <f>'Resumen all energy'!F40</f>
        <v>0</v>
      </c>
      <c r="G10" s="113">
        <f t="shared" si="0"/>
        <v>171.41167034574795</v>
      </c>
    </row>
    <row r="11" spans="1:7">
      <c r="A11">
        <v>9</v>
      </c>
      <c r="B11" s="111" t="s">
        <v>205</v>
      </c>
      <c r="C11" s="369">
        <f>'Resumen all energy'!C41</f>
        <v>3.7859602451219474</v>
      </c>
      <c r="D11" s="369">
        <f>'Resumen all energy'!D41</f>
        <v>148.57849322623136</v>
      </c>
      <c r="E11" s="369">
        <f>'Resumen all energy'!E41</f>
        <v>5.3742002651226866</v>
      </c>
      <c r="F11" s="369">
        <f>'Resumen all energy'!F41</f>
        <v>0</v>
      </c>
      <c r="G11" s="113">
        <f t="shared" si="0"/>
        <v>157.73865373647598</v>
      </c>
    </row>
    <row r="12" spans="1:7">
      <c r="A12">
        <v>10</v>
      </c>
      <c r="B12" s="111" t="s">
        <v>206</v>
      </c>
      <c r="C12" s="369">
        <f>'Resumen all energy'!C42</f>
        <v>10.947546000000001</v>
      </c>
      <c r="D12" s="369">
        <f>'Resumen all energy'!D42</f>
        <v>1.6292535026314869</v>
      </c>
      <c r="E12" s="369">
        <f>'Resumen all energy'!E42</f>
        <v>1.7729999999999999</v>
      </c>
      <c r="F12" s="369">
        <f>'Resumen all energy'!F42</f>
        <v>0</v>
      </c>
      <c r="G12" s="113">
        <f t="shared" si="0"/>
        <v>14.349799502631488</v>
      </c>
    </row>
    <row r="13" spans="1:7">
      <c r="A13">
        <v>11</v>
      </c>
      <c r="B13" s="111" t="s">
        <v>207</v>
      </c>
      <c r="C13" s="369">
        <f>'Resumen all energy'!C43</f>
        <v>165.81341790307027</v>
      </c>
      <c r="D13" s="369">
        <f>'Resumen all energy'!D43</f>
        <v>218.54624701900161</v>
      </c>
      <c r="E13" s="369">
        <f>'Resumen all energy'!E43</f>
        <v>309.85496373218012</v>
      </c>
      <c r="F13" s="369">
        <f>'Resumen all energy'!F43</f>
        <v>4.2556149999999988</v>
      </c>
      <c r="G13" s="113">
        <f t="shared" si="0"/>
        <v>698.47024365425204</v>
      </c>
    </row>
    <row r="14" spans="1:7">
      <c r="A14">
        <v>12</v>
      </c>
      <c r="B14" s="111" t="s">
        <v>208</v>
      </c>
      <c r="C14" s="369">
        <f>'Resumen all energy'!C44</f>
        <v>127.186144</v>
      </c>
      <c r="D14" s="369">
        <f>'Resumen all energy'!D44</f>
        <v>7.051032023618066E-2</v>
      </c>
      <c r="E14" s="369">
        <f>'Resumen all energy'!E44</f>
        <v>3.7637409277196596</v>
      </c>
      <c r="F14" s="369">
        <f>'Resumen all energy'!F44</f>
        <v>0</v>
      </c>
      <c r="G14" s="113">
        <f t="shared" si="0"/>
        <v>131.02039524795583</v>
      </c>
    </row>
    <row r="15" spans="1:7">
      <c r="A15">
        <v>13</v>
      </c>
      <c r="B15" s="111" t="s">
        <v>209</v>
      </c>
      <c r="C15" s="369">
        <f>'Resumen all energy'!C45</f>
        <v>26.448539</v>
      </c>
      <c r="D15" s="369">
        <f>'Resumen all energy'!D45</f>
        <v>0</v>
      </c>
      <c r="E15" s="369">
        <f>'Resumen all energy'!E45</f>
        <v>4.2269999999999994</v>
      </c>
      <c r="F15" s="369">
        <f>'Resumen all energy'!F45</f>
        <v>0</v>
      </c>
      <c r="G15" s="113">
        <f t="shared" si="0"/>
        <v>30.675539000000001</v>
      </c>
    </row>
    <row r="16" spans="1:7">
      <c r="A16">
        <v>14</v>
      </c>
      <c r="B16" s="111" t="s">
        <v>210</v>
      </c>
      <c r="C16" s="369">
        <f>'Resumen all energy'!C46</f>
        <v>28.755616999999997</v>
      </c>
      <c r="D16" s="369">
        <f>'Resumen all energy'!D46</f>
        <v>2.6763625993386064E-2</v>
      </c>
      <c r="E16" s="369">
        <f>'Resumen all energy'!E46</f>
        <v>0.53873423370863549</v>
      </c>
      <c r="F16" s="369">
        <f>'Resumen all energy'!F46</f>
        <v>0</v>
      </c>
      <c r="G16" s="113">
        <f t="shared" si="0"/>
        <v>29.321114859702018</v>
      </c>
    </row>
    <row r="17" spans="1:7">
      <c r="A17">
        <v>15</v>
      </c>
      <c r="B17" s="111" t="s">
        <v>211</v>
      </c>
      <c r="C17" s="369">
        <f>'Resumen all energy'!C47</f>
        <v>950.45751023019739</v>
      </c>
      <c r="D17" s="369">
        <f>'Resumen all energy'!D47</f>
        <v>0.42433590642746566</v>
      </c>
      <c r="E17" s="369">
        <f>'Resumen all energy'!E47</f>
        <v>6.9278152635497392</v>
      </c>
      <c r="F17" s="369">
        <f>'Resumen all energy'!F47</f>
        <v>0</v>
      </c>
      <c r="G17" s="113">
        <f t="shared" si="0"/>
        <v>957.8096614001746</v>
      </c>
    </row>
    <row r="18" spans="1:7">
      <c r="A18">
        <v>16</v>
      </c>
      <c r="B18" s="111" t="s">
        <v>212</v>
      </c>
      <c r="C18" s="369">
        <f>'Resumen all energy'!C48</f>
        <v>111.93394060926774</v>
      </c>
      <c r="D18" s="369">
        <f>'Resumen all energy'!D48</f>
        <v>0.5902687489971129</v>
      </c>
      <c r="E18" s="369">
        <f>'Resumen all energy'!E48</f>
        <v>8.8823168096311758</v>
      </c>
      <c r="F18" s="369">
        <f>'Resumen all energy'!F48</f>
        <v>0</v>
      </c>
      <c r="G18" s="113">
        <f t="shared" si="0"/>
        <v>121.40652616789603</v>
      </c>
    </row>
    <row r="19" spans="1:7">
      <c r="A19">
        <v>17</v>
      </c>
      <c r="B19" s="111" t="s">
        <v>213</v>
      </c>
      <c r="C19" s="369">
        <f>'Resumen all energy'!C49</f>
        <v>0.56295137205172163</v>
      </c>
      <c r="D19" s="369">
        <f>'Resumen all energy'!D49</f>
        <v>1.5661855452749989E-2</v>
      </c>
      <c r="E19" s="369">
        <f>'Resumen all energy'!E49</f>
        <v>0.872593853719692</v>
      </c>
      <c r="F19" s="369">
        <f>'Resumen all energy'!F49</f>
        <v>0</v>
      </c>
      <c r="G19" s="113">
        <f t="shared" si="0"/>
        <v>1.4512070812241635</v>
      </c>
    </row>
    <row r="20" spans="1:7">
      <c r="A20">
        <v>18</v>
      </c>
      <c r="B20" s="111" t="s">
        <v>214</v>
      </c>
      <c r="C20" s="369">
        <f>'Resumen all energy'!C50</f>
        <v>69.427137000000002</v>
      </c>
      <c r="D20" s="369">
        <f>'Resumen all energy'!D50</f>
        <v>11.097</v>
      </c>
      <c r="E20" s="369">
        <f>'Resumen all energy'!E50</f>
        <v>52.900000000000006</v>
      </c>
      <c r="F20" s="369">
        <f>'Resumen all energy'!F50</f>
        <v>0</v>
      </c>
      <c r="G20" s="113">
        <f t="shared" si="0"/>
        <v>133.424137</v>
      </c>
    </row>
    <row r="21" spans="1:7">
      <c r="A21">
        <v>19</v>
      </c>
      <c r="B21" s="111" t="s">
        <v>215</v>
      </c>
      <c r="C21" s="369">
        <f>'Resumen all energy'!C51</f>
        <v>13.57178738301335</v>
      </c>
      <c r="D21" s="369">
        <f>'Resumen all energy'!D51</f>
        <v>0</v>
      </c>
      <c r="E21" s="369">
        <f>'Resumen all energy'!E51</f>
        <v>33.427</v>
      </c>
      <c r="F21" s="369">
        <f>'Resumen all energy'!F51</f>
        <v>0</v>
      </c>
      <c r="G21" s="113">
        <f t="shared" si="0"/>
        <v>46.998787383013351</v>
      </c>
    </row>
    <row r="22" spans="1:7">
      <c r="A22">
        <v>20</v>
      </c>
      <c r="B22" s="111" t="s">
        <v>216</v>
      </c>
      <c r="C22" s="369">
        <f>'Resumen all energy'!C52</f>
        <v>88.959326451679644</v>
      </c>
      <c r="D22" s="369">
        <f>'Resumen all energy'!D52</f>
        <v>275.80302099139669</v>
      </c>
      <c r="E22" s="369">
        <f>'Resumen all energy'!E52</f>
        <v>2.3855026281322518</v>
      </c>
      <c r="F22" s="369">
        <f>'Resumen all energy'!F52</f>
        <v>0</v>
      </c>
      <c r="G22" s="113">
        <f t="shared" si="0"/>
        <v>367.14785007120861</v>
      </c>
    </row>
    <row r="23" spans="1:7">
      <c r="A23">
        <v>21</v>
      </c>
      <c r="B23" s="111" t="s">
        <v>217</v>
      </c>
      <c r="C23" s="369">
        <f>'Resumen all energy'!C53</f>
        <v>6.332789862656998E-3</v>
      </c>
      <c r="D23" s="369">
        <f>'Resumen all energy'!D53</f>
        <v>184.90884543709043</v>
      </c>
      <c r="E23" s="369">
        <f>'Resumen all energy'!E53</f>
        <v>4.4687658436655893</v>
      </c>
      <c r="F23" s="369">
        <f>'Resumen all energy'!F53</f>
        <v>0</v>
      </c>
      <c r="G23" s="113">
        <f t="shared" si="0"/>
        <v>189.38394407061867</v>
      </c>
    </row>
    <row r="24" spans="1:7">
      <c r="A24">
        <v>22</v>
      </c>
      <c r="B24" s="112" t="s">
        <v>218</v>
      </c>
      <c r="C24" s="355">
        <f>'Resumen all energy'!C15</f>
        <v>0</v>
      </c>
      <c r="D24" s="355">
        <f>'Resumen all energy'!D15</f>
        <v>0</v>
      </c>
      <c r="E24" s="355">
        <f>'Resumen all energy'!E15</f>
        <v>3.4552374113249784</v>
      </c>
      <c r="F24" s="355">
        <f>'Resumen all energy'!F15</f>
        <v>0</v>
      </c>
      <c r="G24" s="113">
        <f t="shared" si="0"/>
        <v>3.4552374113249784</v>
      </c>
    </row>
    <row r="25" spans="1:7">
      <c r="A25">
        <v>23</v>
      </c>
      <c r="B25" s="112" t="s">
        <v>219</v>
      </c>
      <c r="C25" s="355">
        <f>'Resumen all energy'!C16</f>
        <v>0</v>
      </c>
      <c r="D25" s="355">
        <f>'Resumen all energy'!D16</f>
        <v>0</v>
      </c>
      <c r="E25" s="355">
        <f>'Resumen all energy'!E16</f>
        <v>0.51584152973533559</v>
      </c>
      <c r="F25" s="355">
        <f>'Resumen all energy'!F16</f>
        <v>0</v>
      </c>
      <c r="G25" s="113">
        <f t="shared" si="0"/>
        <v>0.51584152973533559</v>
      </c>
    </row>
    <row r="26" spans="1:7">
      <c r="A26">
        <v>24</v>
      </c>
      <c r="B26" s="112" t="s">
        <v>171</v>
      </c>
      <c r="C26" s="355">
        <f>'Resumen all energy'!C17</f>
        <v>0</v>
      </c>
      <c r="D26" s="355">
        <f>'Resumen all energy'!D17</f>
        <v>0</v>
      </c>
      <c r="E26" s="355">
        <f>'Resumen all energy'!E17</f>
        <v>0.74823261235103489</v>
      </c>
      <c r="F26" s="355">
        <f>'Resumen all energy'!F17</f>
        <v>0</v>
      </c>
      <c r="G26" s="113">
        <f t="shared" si="0"/>
        <v>0.74823261235103489</v>
      </c>
    </row>
    <row r="27" spans="1:7">
      <c r="A27">
        <v>25</v>
      </c>
      <c r="B27" s="112" t="s">
        <v>11</v>
      </c>
      <c r="C27" s="355">
        <f>'Resumen all energy'!C18</f>
        <v>0</v>
      </c>
      <c r="D27" s="355">
        <f>'Resumen all energy'!D18</f>
        <v>0</v>
      </c>
      <c r="E27" s="355">
        <f>'Resumen all energy'!E18</f>
        <v>2.4028706421451241E-3</v>
      </c>
      <c r="F27" s="355">
        <f>'Resumen all energy'!F18</f>
        <v>0</v>
      </c>
      <c r="G27" s="113">
        <f t="shared" si="0"/>
        <v>2.4028706421451241E-3</v>
      </c>
    </row>
    <row r="28" spans="1:7">
      <c r="A28">
        <v>26</v>
      </c>
      <c r="B28" s="112" t="s">
        <v>220</v>
      </c>
      <c r="C28" s="355">
        <f>'Resumen all energy'!C19</f>
        <v>0</v>
      </c>
      <c r="D28" s="355">
        <f>'Resumen all energy'!D19</f>
        <v>18.512329646008801</v>
      </c>
      <c r="E28" s="355">
        <f>'Resumen all energy'!E19</f>
        <v>0.27437083074119933</v>
      </c>
      <c r="F28" s="355">
        <f>'Resumen all energy'!F19</f>
        <v>0</v>
      </c>
      <c r="G28" s="113">
        <f t="shared" si="0"/>
        <v>18.786700476749999</v>
      </c>
    </row>
    <row r="29" spans="1:7">
      <c r="A29">
        <v>27</v>
      </c>
      <c r="B29" s="112" t="s">
        <v>365</v>
      </c>
      <c r="C29" s="355">
        <f>'Resumen all energy'!C20</f>
        <v>0</v>
      </c>
      <c r="D29" s="355">
        <f>'Resumen all energy'!D20</f>
        <v>10.895026555550661</v>
      </c>
      <c r="E29" s="355">
        <f>'Resumen all energy'!E20</f>
        <v>0.16147494908283141</v>
      </c>
      <c r="F29" s="386">
        <v>0</v>
      </c>
      <c r="G29" s="113">
        <f t="shared" si="0"/>
        <v>11.056501504633493</v>
      </c>
    </row>
    <row r="30" spans="1:7">
      <c r="A30">
        <v>28</v>
      </c>
      <c r="B30" s="112" t="s">
        <v>366</v>
      </c>
      <c r="C30" s="355">
        <f>'Resumen all energy'!C21</f>
        <v>0</v>
      </c>
      <c r="D30" s="355">
        <f>'Resumen all energy'!D21</f>
        <v>0</v>
      </c>
      <c r="E30" s="355">
        <f>'Resumen all energy'!E21</f>
        <v>7.0719750089882986E-5</v>
      </c>
      <c r="F30" s="355">
        <f>'Resumen all energy'!F21</f>
        <v>0</v>
      </c>
      <c r="G30" s="113">
        <f t="shared" si="0"/>
        <v>7.0719750089882986E-5</v>
      </c>
    </row>
    <row r="31" spans="1:7">
      <c r="A31">
        <v>29</v>
      </c>
      <c r="B31" s="112" t="s">
        <v>187</v>
      </c>
      <c r="C31" s="355">
        <f>'Resumen all energy'!C22</f>
        <v>0</v>
      </c>
      <c r="D31" s="355">
        <f>'Resumen all energy'!D22</f>
        <v>0</v>
      </c>
      <c r="E31" s="355">
        <f>'Resumen all energy'!E22</f>
        <v>1.454606009251479</v>
      </c>
      <c r="F31" s="355">
        <f>'Resumen all energy'!F22</f>
        <v>0</v>
      </c>
      <c r="G31" s="113">
        <f t="shared" si="0"/>
        <v>1.454606009251479</v>
      </c>
    </row>
    <row r="32" spans="1:7">
      <c r="A32">
        <v>30</v>
      </c>
      <c r="B32" s="111" t="s">
        <v>222</v>
      </c>
      <c r="C32" s="355">
        <f>'Resumen all energy'!C23</f>
        <v>339.90100000000001</v>
      </c>
      <c r="D32" s="355">
        <f>'Resumen all energy'!D23</f>
        <v>0</v>
      </c>
      <c r="E32" s="355">
        <f>'Resumen all energy'!E23</f>
        <v>4.4243572746439863</v>
      </c>
      <c r="F32" s="355">
        <f>'Resumen all energy'!F23</f>
        <v>0</v>
      </c>
      <c r="G32" s="113">
        <f t="shared" si="0"/>
        <v>344.32535727464398</v>
      </c>
    </row>
    <row r="33" spans="1:9">
      <c r="A33">
        <v>31</v>
      </c>
      <c r="B33" s="111" t="s">
        <v>224</v>
      </c>
      <c r="C33" s="355">
        <f>'Resumen all energy'!C24</f>
        <v>361.71133899901304</v>
      </c>
      <c r="D33" s="355">
        <f>'Resumen all energy'!D24</f>
        <v>1274.2826437984406</v>
      </c>
      <c r="E33" s="355">
        <f>'Resumen all energy'!E24</f>
        <v>18.886115052161905</v>
      </c>
      <c r="F33" s="355">
        <f>'Resumen all energy'!F24</f>
        <v>0</v>
      </c>
      <c r="G33" s="113">
        <f t="shared" si="0"/>
        <v>1654.8800978496154</v>
      </c>
    </row>
    <row r="34" spans="1:9">
      <c r="A34">
        <v>32</v>
      </c>
      <c r="B34" s="111" t="s">
        <v>223</v>
      </c>
      <c r="C34" s="559">
        <f>'Resumen all energy'!C25</f>
        <v>5.2566237814873338</v>
      </c>
      <c r="D34" s="355">
        <f>'Resumen all energy'!D25</f>
        <v>0</v>
      </c>
      <c r="E34" s="355">
        <f>'Resumen all energy'!E25</f>
        <v>0.27446527332495663</v>
      </c>
      <c r="F34" s="355">
        <f>'Resumen all energy'!F25</f>
        <v>0</v>
      </c>
      <c r="G34" s="113">
        <f t="shared" si="0"/>
        <v>5.5310890548122904</v>
      </c>
    </row>
    <row r="35" spans="1:9">
      <c r="A35">
        <v>33</v>
      </c>
      <c r="B35" s="111" t="s">
        <v>221</v>
      </c>
      <c r="C35" s="355">
        <f>'Resumen all energy'!C26</f>
        <v>121.29803721949962</v>
      </c>
      <c r="D35" s="355">
        <f>'Resumen all energy'!D26</f>
        <v>0</v>
      </c>
      <c r="E35" s="355">
        <f>'Resumen all energy'!E26</f>
        <v>6.3333615497609204</v>
      </c>
      <c r="F35" s="355">
        <f>'Resumen all energy'!F26</f>
        <v>0</v>
      </c>
      <c r="G35" s="113">
        <f t="shared" si="0"/>
        <v>127.63139876926054</v>
      </c>
    </row>
    <row r="36" spans="1:9">
      <c r="B36" s="112"/>
      <c r="C36" s="114">
        <f>SUM(C3:C35)</f>
        <v>2781.8999820811941</v>
      </c>
      <c r="D36" s="114">
        <f t="shared" ref="D36:G36" si="1">SUM(D3:D35)</f>
        <v>2520.0925186293925</v>
      </c>
      <c r="E36" s="114">
        <f t="shared" si="1"/>
        <v>728.31020590802029</v>
      </c>
      <c r="F36" s="114">
        <f t="shared" si="1"/>
        <v>63.782443000000001</v>
      </c>
      <c r="G36" s="114">
        <f t="shared" si="1"/>
        <v>6094.0851496186078</v>
      </c>
    </row>
    <row r="37" spans="1:9">
      <c r="B37" s="112"/>
      <c r="C37" s="112"/>
      <c r="D37" s="112"/>
      <c r="E37" s="112"/>
      <c r="F37" s="112"/>
      <c r="G37" s="112"/>
    </row>
    <row r="38" spans="1:9">
      <c r="B38" s="112" t="s">
        <v>543</v>
      </c>
      <c r="C38" s="114">
        <f>'Resumen all energy'!C57</f>
        <v>1269.6992751605353</v>
      </c>
      <c r="D38" s="114">
        <f>'Resumen all energy'!D57</f>
        <v>33.802999999999997</v>
      </c>
      <c r="E38" s="114">
        <f>'Resumen all energy'!E57</f>
        <v>195.17500000000001</v>
      </c>
      <c r="F38" s="114">
        <f>'Resumen all energy'!F57</f>
        <v>255.42239699999999</v>
      </c>
      <c r="G38" s="114">
        <f>SUM(C38:F38)</f>
        <v>1754.0996721605352</v>
      </c>
    </row>
    <row r="39" spans="1:9">
      <c r="B39" s="385"/>
      <c r="C39" s="113"/>
      <c r="D39" s="113"/>
      <c r="E39" s="560"/>
      <c r="F39" s="113"/>
      <c r="G39" s="113"/>
    </row>
    <row r="40" spans="1:9">
      <c r="B40" s="120" t="s">
        <v>7</v>
      </c>
      <c r="C40" s="114">
        <f>C36+C38</f>
        <v>4051.5992572417294</v>
      </c>
      <c r="D40" s="114">
        <f>D36+D38</f>
        <v>2553.8955186293924</v>
      </c>
      <c r="E40" s="561">
        <f>E36+E38</f>
        <v>923.48520590802036</v>
      </c>
      <c r="F40" s="114">
        <f>F36+F38</f>
        <v>319.20483999999999</v>
      </c>
      <c r="G40" s="114">
        <f>G36+G38</f>
        <v>7848.184821779143</v>
      </c>
    </row>
    <row r="41" spans="1:9">
      <c r="B41" s="112"/>
      <c r="C41" s="112"/>
      <c r="D41" s="112"/>
      <c r="E41" s="112"/>
      <c r="F41" s="112"/>
      <c r="G41" s="112"/>
    </row>
    <row r="42" spans="1:9">
      <c r="B42" s="112"/>
      <c r="C42" s="112"/>
      <c r="D42" s="112"/>
      <c r="E42" s="112"/>
      <c r="F42" s="112"/>
      <c r="G42" s="112"/>
      <c r="I42" s="114"/>
    </row>
    <row r="43" spans="1:9">
      <c r="B43" s="112"/>
      <c r="C43" s="112"/>
      <c r="D43" s="112"/>
      <c r="E43" s="112"/>
      <c r="F43" s="112"/>
      <c r="G43" s="112"/>
    </row>
    <row r="44" spans="1:9">
      <c r="B44" s="112"/>
      <c r="C44" s="112"/>
      <c r="D44" s="112"/>
      <c r="E44" s="112"/>
      <c r="F44" s="112"/>
      <c r="G44" s="112"/>
    </row>
    <row r="45" spans="1:9">
      <c r="B45" s="346" t="s">
        <v>226</v>
      </c>
      <c r="C45" s="113">
        <f>SUM(C3:C4)</f>
        <v>121.58713299999999</v>
      </c>
      <c r="D45" s="113">
        <f t="shared" ref="D45:F45" si="2">SUM(D3:D4)</f>
        <v>7.5365014935901156E-2</v>
      </c>
      <c r="E45" s="113">
        <f t="shared" si="2"/>
        <v>37.028000000000006</v>
      </c>
      <c r="F45" s="113">
        <f t="shared" si="2"/>
        <v>0</v>
      </c>
      <c r="G45" s="113">
        <f>SUM(C45:F45)</f>
        <v>158.69049801493588</v>
      </c>
    </row>
    <row r="46" spans="1:9">
      <c r="B46" s="347" t="s">
        <v>387</v>
      </c>
      <c r="C46" s="113">
        <f>SUM(C5:C10,C12:C13)</f>
        <v>411.05060299999991</v>
      </c>
      <c r="D46" s="113">
        <f t="shared" ref="D46:F46" si="3">SUM(D5:D10,D12:D13)</f>
        <v>594.81225350263162</v>
      </c>
      <c r="E46" s="113">
        <f t="shared" si="3"/>
        <v>530.98400000000004</v>
      </c>
      <c r="F46" s="113">
        <f t="shared" si="3"/>
        <v>63.782443000000001</v>
      </c>
      <c r="G46" s="113">
        <f t="shared" ref="G46:G50" si="4">SUM(C46:F46)</f>
        <v>1600.6292995026315</v>
      </c>
    </row>
    <row r="47" spans="1:9">
      <c r="B47" s="647" t="s">
        <v>571</v>
      </c>
      <c r="C47" s="113">
        <f>SUM(C14:C19)</f>
        <v>1245.3447022115167</v>
      </c>
      <c r="D47" s="113">
        <f t="shared" ref="D47:F47" si="5">SUM(D14:D19)</f>
        <v>1.1275404571068952</v>
      </c>
      <c r="E47" s="113">
        <f t="shared" si="5"/>
        <v>25.212201088328904</v>
      </c>
      <c r="F47" s="113">
        <f t="shared" si="5"/>
        <v>0</v>
      </c>
      <c r="G47" s="113">
        <f t="shared" si="4"/>
        <v>1271.6844437569525</v>
      </c>
    </row>
    <row r="48" spans="1:9">
      <c r="B48" s="348" t="s">
        <v>214</v>
      </c>
      <c r="C48" s="113">
        <f>C20</f>
        <v>69.427137000000002</v>
      </c>
      <c r="D48" s="113">
        <f t="shared" ref="D48:F48" si="6">D20</f>
        <v>11.097</v>
      </c>
      <c r="E48" s="113">
        <f t="shared" si="6"/>
        <v>52.900000000000006</v>
      </c>
      <c r="F48" s="113">
        <f t="shared" si="6"/>
        <v>0</v>
      </c>
      <c r="G48" s="113">
        <f t="shared" si="4"/>
        <v>133.424137</v>
      </c>
    </row>
    <row r="49" spans="2:8">
      <c r="B49" s="348" t="s">
        <v>215</v>
      </c>
      <c r="C49" s="113">
        <f>C21</f>
        <v>13.57178738301335</v>
      </c>
      <c r="D49" s="113">
        <f t="shared" ref="D49:F49" si="7">D21</f>
        <v>0</v>
      </c>
      <c r="E49" s="113">
        <f t="shared" si="7"/>
        <v>33.427</v>
      </c>
      <c r="F49" s="113">
        <f t="shared" si="7"/>
        <v>0</v>
      </c>
      <c r="G49" s="113">
        <f t="shared" si="4"/>
        <v>46.998787383013351</v>
      </c>
    </row>
    <row r="50" spans="2:8">
      <c r="B50" s="647" t="s">
        <v>543</v>
      </c>
      <c r="C50" s="308">
        <f>C38</f>
        <v>1269.6992751605353</v>
      </c>
      <c r="D50" s="308">
        <f t="shared" ref="D50:F50" si="8">D38</f>
        <v>33.802999999999997</v>
      </c>
      <c r="E50" s="308">
        <f t="shared" si="8"/>
        <v>195.17500000000001</v>
      </c>
      <c r="F50" s="308">
        <f t="shared" si="8"/>
        <v>255.42239699999999</v>
      </c>
      <c r="G50" s="113">
        <f t="shared" si="4"/>
        <v>1754.0996721605352</v>
      </c>
    </row>
    <row r="51" spans="2:8">
      <c r="B51" s="348" t="s">
        <v>388</v>
      </c>
      <c r="C51" s="113">
        <f>SUM(C11,C22:C23)</f>
        <v>92.751619486664239</v>
      </c>
      <c r="D51" s="113">
        <f>SUM(D11,D22:D23)</f>
        <v>609.29035965471849</v>
      </c>
      <c r="E51" s="113">
        <f>SUM(E11,E22:E23)</f>
        <v>12.228468736920528</v>
      </c>
      <c r="F51" s="113">
        <f>SUM(F11,F22:F23)</f>
        <v>0</v>
      </c>
      <c r="G51" s="113">
        <f>SUM(C51:F51)</f>
        <v>714.27044787830323</v>
      </c>
    </row>
    <row r="52" spans="2:8">
      <c r="B52" s="112" t="s">
        <v>421</v>
      </c>
      <c r="C52" s="355">
        <f>SUM(C24:C35)</f>
        <v>828.16699999999992</v>
      </c>
      <c r="D52" s="355">
        <f>SUM(D24:D35)</f>
        <v>1303.69</v>
      </c>
      <c r="E52" s="355">
        <f>SUM(E24:E35)</f>
        <v>36.530536082770865</v>
      </c>
      <c r="F52" s="355">
        <f>SUM(F24:F35)</f>
        <v>0</v>
      </c>
      <c r="G52" s="113">
        <f>SUM(C52:F52)</f>
        <v>2168.387536082771</v>
      </c>
    </row>
    <row r="53" spans="2:8">
      <c r="B53" s="120" t="s">
        <v>7</v>
      </c>
      <c r="C53" s="114">
        <f>SUM(C45:C52)</f>
        <v>4051.5992572417294</v>
      </c>
      <c r="D53" s="114">
        <f>SUM(D45:D52)</f>
        <v>2553.8955186293929</v>
      </c>
      <c r="E53" s="114">
        <f>SUM(E45:E52)</f>
        <v>923.48520590802025</v>
      </c>
      <c r="F53" s="114">
        <f>SUM(F45:F52)</f>
        <v>319.20483999999999</v>
      </c>
      <c r="G53" s="114">
        <f>SUM(G45:G52)</f>
        <v>7848.184821779143</v>
      </c>
    </row>
    <row r="54" spans="2:8">
      <c r="B54" s="120"/>
      <c r="C54" s="114"/>
      <c r="D54" s="114"/>
      <c r="E54" s="114"/>
      <c r="F54" s="114"/>
      <c r="G54" s="114"/>
    </row>
    <row r="55" spans="2:8">
      <c r="B55" s="5" t="s">
        <v>926</v>
      </c>
      <c r="C55" s="590">
        <f>SUM(C45:C49)/0.0036</f>
        <v>516939.26738736941</v>
      </c>
      <c r="D55" s="590">
        <f>SUM(D45:D49)/0.0036</f>
        <v>168642.26638185399</v>
      </c>
      <c r="E55" s="590">
        <f>SUM(E45:E49)/0.0036</f>
        <v>188764.22252453584</v>
      </c>
      <c r="F55" s="590">
        <f>SUM(F45:F49)/0.0036</f>
        <v>17717.345277777778</v>
      </c>
      <c r="G55" s="590">
        <f>SUM(G45:G49)/0.0036</f>
        <v>892063.10157153697</v>
      </c>
    </row>
    <row r="56" spans="2:8">
      <c r="B56" t="s">
        <v>927</v>
      </c>
      <c r="E56" s="308">
        <f>'Step1-electricity '!T15</f>
        <v>296338.36237880535</v>
      </c>
    </row>
    <row r="57" spans="2:8">
      <c r="B57" t="s">
        <v>928</v>
      </c>
      <c r="E57" s="591">
        <f>(E56-E55)/E55</f>
        <v>0.56988627619986021</v>
      </c>
    </row>
    <row r="59" spans="2:8" ht="16.5" thickBot="1">
      <c r="C59" s="598" t="s">
        <v>419</v>
      </c>
      <c r="D59" s="598" t="s">
        <v>384</v>
      </c>
      <c r="E59" s="376" t="s">
        <v>172</v>
      </c>
      <c r="F59" s="599" t="s">
        <v>386</v>
      </c>
      <c r="G59" s="598" t="s">
        <v>7</v>
      </c>
      <c r="H59" s="599"/>
    </row>
    <row r="60" spans="2:8">
      <c r="B60" s="600" t="s">
        <v>929</v>
      </c>
      <c r="C60" s="601">
        <f>+C3+C4</f>
        <v>121.58713299999999</v>
      </c>
      <c r="D60" s="601">
        <f>+D3+D4</f>
        <v>7.5365014935901156E-2</v>
      </c>
      <c r="E60" s="601">
        <f>+E3+E4</f>
        <v>37.028000000000006</v>
      </c>
      <c r="F60" s="601">
        <f>+F3+F4</f>
        <v>0</v>
      </c>
      <c r="G60" s="602">
        <f>+G3+G4</f>
        <v>158.69049801493588</v>
      </c>
      <c r="H60" s="603"/>
    </row>
    <row r="61" spans="2:8">
      <c r="B61" s="604" t="s">
        <v>274</v>
      </c>
      <c r="C61" s="605">
        <f>+SUM(C5:C10,C12:C13)</f>
        <v>411.05060299999991</v>
      </c>
      <c r="D61" s="605">
        <f>+SUM(D5:D10,D12:D13)</f>
        <v>594.81225350263162</v>
      </c>
      <c r="E61" s="605">
        <f>+SUM(E5:E10,E12:E13)</f>
        <v>530.98400000000004</v>
      </c>
      <c r="F61" s="605">
        <f>+SUM(F5:F10,F12:F13)</f>
        <v>63.782443000000001</v>
      </c>
      <c r="G61" s="606">
        <f>+SUM(G5:G10,G12:G13)</f>
        <v>1600.6292995026315</v>
      </c>
      <c r="H61" s="607"/>
    </row>
    <row r="62" spans="2:8">
      <c r="B62" s="604" t="s">
        <v>930</v>
      </c>
      <c r="C62" s="605">
        <f>+SUM(C14:C19)</f>
        <v>1245.3447022115167</v>
      </c>
      <c r="D62" s="605">
        <f>+SUM(D14:D19)</f>
        <v>1.1275404571068952</v>
      </c>
      <c r="E62" s="605">
        <f>+SUM(E14:E19)</f>
        <v>25.212201088328904</v>
      </c>
      <c r="F62" s="605">
        <f>+SUM(F14:F19)</f>
        <v>0</v>
      </c>
      <c r="G62" s="606">
        <f>+SUM(G14:G19)</f>
        <v>1271.6844437569528</v>
      </c>
      <c r="H62" s="607"/>
    </row>
    <row r="63" spans="2:8">
      <c r="B63" s="608" t="s">
        <v>398</v>
      </c>
      <c r="C63" s="605">
        <f>+C20+C21</f>
        <v>82.998924383013346</v>
      </c>
      <c r="D63" s="605">
        <f>+D20+D21</f>
        <v>11.097</v>
      </c>
      <c r="E63" s="605">
        <f>+E20+E21</f>
        <v>86.326999999999998</v>
      </c>
      <c r="F63" s="605">
        <f>+F20+F21</f>
        <v>0</v>
      </c>
      <c r="G63" s="606">
        <f>+G20+G21</f>
        <v>180.42292438301337</v>
      </c>
      <c r="H63" s="607"/>
    </row>
    <row r="64" spans="2:8">
      <c r="B64" s="608" t="s">
        <v>933</v>
      </c>
      <c r="C64" s="605">
        <f>+C22+C23+C11</f>
        <v>92.751619486664239</v>
      </c>
      <c r="D64" s="605">
        <f>+D22+D23+D11</f>
        <v>609.29035965471849</v>
      </c>
      <c r="E64" s="605">
        <f>+E22+E23+E11</f>
        <v>12.228468736920528</v>
      </c>
      <c r="F64" s="605">
        <f>+F22+F23+F11</f>
        <v>0</v>
      </c>
      <c r="G64" s="606">
        <f>+G22+G23+G11</f>
        <v>714.27044787830323</v>
      </c>
      <c r="H64" s="607"/>
    </row>
    <row r="65" spans="2:8">
      <c r="B65" s="608" t="s">
        <v>931</v>
      </c>
      <c r="C65" s="605">
        <f>+SUM(C24:C35)</f>
        <v>828.16699999999992</v>
      </c>
      <c r="D65" s="605">
        <f>+SUM(D24:D35)</f>
        <v>1303.69</v>
      </c>
      <c r="E65" s="605">
        <f>+SUM(E24:E35)</f>
        <v>36.530536082770865</v>
      </c>
      <c r="F65" s="605">
        <f>+SUM(F24:F35)</f>
        <v>0</v>
      </c>
      <c r="G65" s="606">
        <f>+SUM(G24:G35)</f>
        <v>2168.3875360827706</v>
      </c>
      <c r="H65" s="607"/>
    </row>
    <row r="66" spans="2:8">
      <c r="B66" s="608" t="s">
        <v>932</v>
      </c>
      <c r="C66" s="605">
        <f>+C38</f>
        <v>1269.6992751605353</v>
      </c>
      <c r="D66" s="605">
        <f>+D38</f>
        <v>33.802999999999997</v>
      </c>
      <c r="E66" s="605">
        <f>+E38</f>
        <v>195.17500000000001</v>
      </c>
      <c r="F66" s="605">
        <f>+F38</f>
        <v>255.42239699999999</v>
      </c>
      <c r="G66" s="606">
        <f>+G38</f>
        <v>1754.0996721605352</v>
      </c>
      <c r="H66" s="607"/>
    </row>
    <row r="67" spans="2:8" ht="16.5" thickBot="1">
      <c r="B67" s="609" t="s">
        <v>7</v>
      </c>
      <c r="C67" s="610">
        <f>SUM(C60:C66)</f>
        <v>4051.5992572417294</v>
      </c>
      <c r="D67" s="610">
        <f t="shared" ref="D67" si="9">SUM(D60:D66)</f>
        <v>2553.8955186293929</v>
      </c>
      <c r="E67" s="610">
        <f t="shared" ref="E67" si="10">SUM(E60:E66)</f>
        <v>923.48520590802036</v>
      </c>
      <c r="F67" s="610">
        <f t="shared" ref="F67" si="11">SUM(F60:F66)</f>
        <v>319.20483999999999</v>
      </c>
      <c r="G67" s="610">
        <f t="shared" ref="G67" si="12">SUM(G60:G66)</f>
        <v>7848.1848217791421</v>
      </c>
      <c r="H67" s="611"/>
    </row>
    <row r="69" spans="2:8">
      <c r="C69" s="612">
        <f>+C67/$G$67</f>
        <v>0.51624666712719602</v>
      </c>
      <c r="D69" s="612">
        <f t="shared" ref="D69:F69" si="13">+D67/$G$67</f>
        <v>0.32541225476013169</v>
      </c>
      <c r="E69" s="612">
        <f t="shared" si="13"/>
        <v>0.11766863636357014</v>
      </c>
      <c r="F69" s="612">
        <f t="shared" si="13"/>
        <v>4.0672441749102173E-2</v>
      </c>
    </row>
    <row r="70" spans="2:8">
      <c r="G70" s="308">
        <f>+G66+G65+G61</f>
        <v>5523.1165077459373</v>
      </c>
    </row>
    <row r="71" spans="2:8">
      <c r="G71" s="612">
        <f>+G70/G67</f>
        <v>0.70374444959794868</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Readme</vt:lpstr>
      <vt:lpstr>Segmentation</vt:lpstr>
      <vt:lpstr>(Equivalencias)</vt:lpstr>
      <vt:lpstr>SIE-Balance electricidad</vt:lpstr>
      <vt:lpstr>PRODESEN</vt:lpstr>
      <vt:lpstr>SEC elec-SIE</vt:lpstr>
      <vt:lpstr>DATOS 2013</vt:lpstr>
      <vt:lpstr>Energia PJ</vt:lpstr>
      <vt:lpstr>Usos Propios Sec Elec</vt:lpstr>
      <vt:lpstr>RESUMEN_SEC ELEC_PJ</vt:lpstr>
      <vt:lpstr>PEMEX</vt:lpstr>
      <vt:lpstr>AggrStep1-energy</vt:lpstr>
      <vt:lpstr>Step1-electricity </vt:lpstr>
      <vt:lpstr>Step2</vt:lpstr>
      <vt:lpstr>Resumen electricidad </vt:lpstr>
      <vt:lpstr>Resumen all energy</vt:lpstr>
      <vt:lpstr>For ThreeME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Gissela Landa Rivera</dc:creator>
  <cp:lastModifiedBy>SCIENCES.PO</cp:lastModifiedBy>
  <dcterms:created xsi:type="dcterms:W3CDTF">2018-04-09T15:33:17Z</dcterms:created>
  <dcterms:modified xsi:type="dcterms:W3CDTF">2019-04-25T12:02:43Z</dcterms:modified>
</cp:coreProperties>
</file>