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omments8.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Gissela.Landa\Documents\Github\ThreeMe-Mex\data\database\Data ThreeME-Mex\"/>
    </mc:Choice>
  </mc:AlternateContent>
  <bookViews>
    <workbookView xWindow="6660" yWindow="660" windowWidth="15285" windowHeight="19095" firstSheet="7" activeTab="13"/>
  </bookViews>
  <sheets>
    <sheet name="Readme" sheetId="10" r:id="rId1"/>
    <sheet name="Segmentation" sheetId="11" r:id="rId2"/>
    <sheet name="(Equivalencias)" sheetId="29" r:id="rId3"/>
    <sheet name="SIE-Balance electricidad" sheetId="44" r:id="rId4"/>
    <sheet name="PRODESEN" sheetId="43" r:id="rId5"/>
    <sheet name="SEC elec-SIE" sheetId="35" r:id="rId6"/>
    <sheet name="DATOS 2013" sheetId="20" r:id="rId7"/>
    <sheet name="Energia PJ" sheetId="47" r:id="rId8"/>
    <sheet name="Usos Propios Sec Elec" sheetId="27" r:id="rId9"/>
    <sheet name="RESUMEN_SEC ELEC_PJ" sheetId="39" r:id="rId10"/>
    <sheet name="PEMEX" sheetId="40" r:id="rId11"/>
    <sheet name="AggrStep1-energy" sheetId="3" r:id="rId12"/>
    <sheet name="Step1-V1" sheetId="28" r:id="rId13"/>
    <sheet name="Step1-V1 (2)" sheetId="48" r:id="rId14"/>
    <sheet name="Step1-V2" sheetId="37" r:id="rId15"/>
    <sheet name="Step3-electricity " sheetId="13" r:id="rId16"/>
    <sheet name="Resumen electricidad " sheetId="26" r:id="rId17"/>
    <sheet name="Resumen all energy" sheetId="41" r:id="rId18"/>
    <sheet name="For ThreeME" sheetId="42" r:id="rId19"/>
  </sheets>
  <externalReferences>
    <externalReference r:id="rId20"/>
    <externalReference r:id="rId21"/>
  </externalReferences>
  <definedNames>
    <definedName name="CAP_CT" localSheetId="17">#REF!</definedName>
    <definedName name="CAP_CT" localSheetId="12">#REF!</definedName>
    <definedName name="CAP_CT" localSheetId="13">#REF!</definedName>
    <definedName name="CAP_CT" localSheetId="14">#REF!</definedName>
    <definedName name="CAP_CT">#REF!</definedName>
    <definedName name="CAP_GFCF" localSheetId="17">#REF!</definedName>
    <definedName name="CAP_GFCF" localSheetId="12">#REF!</definedName>
    <definedName name="CAP_GFCF" localSheetId="13">#REF!</definedName>
    <definedName name="CAP_GFCF" localSheetId="14">#REF!</definedName>
    <definedName name="CAP_GFCF">#REF!</definedName>
    <definedName name="CAP_IT" localSheetId="17">#REF!</definedName>
    <definedName name="CAP_IT" localSheetId="12">#REF!</definedName>
    <definedName name="CAP_IT" localSheetId="13">#REF!</definedName>
    <definedName name="CAP_IT" localSheetId="14">#REF!</definedName>
    <definedName name="CAP_IT">#REF!</definedName>
    <definedName name="CAP_OCon" localSheetId="17">#REF!</definedName>
    <definedName name="CAP_OCon" localSheetId="12">#REF!</definedName>
    <definedName name="CAP_OCon" localSheetId="13">#REF!</definedName>
    <definedName name="CAP_OCon" localSheetId="14">#REF!</definedName>
    <definedName name="CAP_OCon">#REF!</definedName>
    <definedName name="CAP_OMach" localSheetId="17">#REF!</definedName>
    <definedName name="CAP_OMach" localSheetId="12">#REF!</definedName>
    <definedName name="CAP_OMach" localSheetId="13">#REF!</definedName>
    <definedName name="CAP_OMach" localSheetId="14">#REF!</definedName>
    <definedName name="CAP_OMach">#REF!</definedName>
    <definedName name="CAP_Other" localSheetId="17">#REF!</definedName>
    <definedName name="CAP_Other" localSheetId="12">#REF!</definedName>
    <definedName name="CAP_Other" localSheetId="13">#REF!</definedName>
    <definedName name="CAP_Other" localSheetId="14">#REF!</definedName>
    <definedName name="CAP_Other">#REF!</definedName>
    <definedName name="CAP_QI" localSheetId="17">#REF!</definedName>
    <definedName name="CAP_QI" localSheetId="12">#REF!</definedName>
    <definedName name="CAP_QI" localSheetId="13">#REF!</definedName>
    <definedName name="CAP_QI" localSheetId="14">#REF!</definedName>
    <definedName name="CAP_QI">#REF!</definedName>
    <definedName name="CAP_RStruc" localSheetId="17">#REF!</definedName>
    <definedName name="CAP_RStruc" localSheetId="12">#REF!</definedName>
    <definedName name="CAP_RStruc" localSheetId="13">#REF!</definedName>
    <definedName name="CAP_RStruc" localSheetId="14">#REF!</definedName>
    <definedName name="CAP_RStruc">#REF!</definedName>
    <definedName name="CAP_Soft" localSheetId="17">#REF!</definedName>
    <definedName name="CAP_Soft" localSheetId="12">#REF!</definedName>
    <definedName name="CAP_Soft" localSheetId="13">#REF!</definedName>
    <definedName name="CAP_Soft" localSheetId="14">#REF!</definedName>
    <definedName name="CAP_Soft">#REF!</definedName>
    <definedName name="CAP_TraEq" localSheetId="17">#REF!</definedName>
    <definedName name="CAP_TraEq" localSheetId="12">#REF!</definedName>
    <definedName name="CAP_TraEq" localSheetId="13">#REF!</definedName>
    <definedName name="CAP_TraEq" localSheetId="14">#REF!</definedName>
    <definedName name="CAP_TraEq">#REF!</definedName>
    <definedName name="CAPIT" localSheetId="17">#REF!</definedName>
    <definedName name="CAPIT" localSheetId="12">#REF!</definedName>
    <definedName name="CAPIT" localSheetId="13">#REF!</definedName>
    <definedName name="CAPIT" localSheetId="14">#REF!</definedName>
    <definedName name="CAPIT">#REF!</definedName>
    <definedName name="CAPIT_QI" localSheetId="17">#REF!</definedName>
    <definedName name="CAPIT_QI" localSheetId="12">#REF!</definedName>
    <definedName name="CAPIT_QI" localSheetId="13">#REF!</definedName>
    <definedName name="CAPIT_QI" localSheetId="14">#REF!</definedName>
    <definedName name="CAPIT_QI">#REF!</definedName>
    <definedName name="capit_qph" localSheetId="17">#REF!</definedName>
    <definedName name="capit_qph" localSheetId="12">#REF!</definedName>
    <definedName name="capit_qph" localSheetId="13">#REF!</definedName>
    <definedName name="capit_qph" localSheetId="14">#REF!</definedName>
    <definedName name="capit_qph">#REF!</definedName>
    <definedName name="CAPNIT" localSheetId="17">#REF!</definedName>
    <definedName name="CAPNIT" localSheetId="12">#REF!</definedName>
    <definedName name="CAPNIT" localSheetId="13">#REF!</definedName>
    <definedName name="CAPNIT" localSheetId="14">#REF!</definedName>
    <definedName name="CAPNIT">#REF!</definedName>
    <definedName name="CAPNIT_QI" localSheetId="17">#REF!</definedName>
    <definedName name="CAPNIT_QI" localSheetId="12">#REF!</definedName>
    <definedName name="CAPNIT_QI" localSheetId="13">#REF!</definedName>
    <definedName name="CAPNIT_QI" localSheetId="14">#REF!</definedName>
    <definedName name="CAPNIT_QI">#REF!</definedName>
    <definedName name="capnit_qph" localSheetId="17">#REF!</definedName>
    <definedName name="capnit_qph" localSheetId="12">#REF!</definedName>
    <definedName name="capnit_qph" localSheetId="13">#REF!</definedName>
    <definedName name="capnit_qph" localSheetId="14">#REF!</definedName>
    <definedName name="capnit_qph">#REF!</definedName>
    <definedName name="FLAPPIE" localSheetId="17">#REF!</definedName>
    <definedName name="FLAPPIE" localSheetId="12">#REF!</definedName>
    <definedName name="FLAPPIE" localSheetId="13">#REF!</definedName>
    <definedName name="FLAPPIE" localSheetId="14">#REF!</definedName>
    <definedName name="FLAPPIE">#REF!</definedName>
    <definedName name="solver_adj" localSheetId="12" hidden="1">'Step1-V1'!$U$90</definedName>
    <definedName name="solver_adj" localSheetId="13" hidden="1">'Step1-V1 (2)'!$U$89</definedName>
    <definedName name="solver_adj" localSheetId="14" hidden="1">'Step1-V2'!$V$94</definedName>
    <definedName name="solver_cvg" localSheetId="12" hidden="1">"""""""""""""""""""""""""""""""""""""""""""""""""""""""""""""""""""""""""""""""""""""""""""""""""""""""""""""""""""""""""""""""0,0001"""""""""""""""""""""""""""""""""""""""""""""""""""""""""""""""""""""""""""""""""""""""""""""""""""""""""""""""""""""""""""""""</definedName>
    <definedName name="solver_cvg" localSheetId="13" hidden="1">"""""""""""""""""""""""""""""""""""""""""""""""""""""""""""""""""""""""""""""""""""""""""""""""""""""""""""""""""""""""""""""""0,0001"""""""""""""""""""""""""""""""""""""""""""""""""""""""""""""""""""""""""""""""""""""""""""""""""""""""""""""""""""""""""""""""</definedName>
    <definedName name="solver_cvg" localSheetId="14" hidden="1">"""""""""""""""""""""""""""""""""""""""""""""""""""""""""""""""""""""""""""""""""""""""""""""""""""""""""""""""""""""""""""""""0,0001"""""""""""""""""""""""""""""""""""""""""""""""""""""""""""""""""""""""""""""""""""""""""""""""""""""""""""""""""""""""""""""""</definedName>
    <definedName name="solver_drv" localSheetId="12" hidden="1">1</definedName>
    <definedName name="solver_drv" localSheetId="13" hidden="1">1</definedName>
    <definedName name="solver_drv" localSheetId="14" hidden="1">2</definedName>
    <definedName name="solver_eng" localSheetId="12" hidden="1">1</definedName>
    <definedName name="solver_eng" localSheetId="13" hidden="1">1</definedName>
    <definedName name="solver_eng" localSheetId="14" hidden="1">1</definedName>
    <definedName name="solver_est" localSheetId="12" hidden="1">1</definedName>
    <definedName name="solver_est" localSheetId="13" hidden="1">1</definedName>
    <definedName name="solver_est" localSheetId="14" hidden="1">1</definedName>
    <definedName name="solver_itr" localSheetId="12" hidden="1">2147483647</definedName>
    <definedName name="solver_itr" localSheetId="13" hidden="1">2147483647</definedName>
    <definedName name="solver_itr" localSheetId="14" hidden="1">2147483647</definedName>
    <definedName name="solver_lin" localSheetId="12" hidden="1">2</definedName>
    <definedName name="solver_lin" localSheetId="13" hidden="1">2</definedName>
    <definedName name="solver_mip" localSheetId="12" hidden="1">2147483647</definedName>
    <definedName name="solver_mip" localSheetId="13" hidden="1">2147483647</definedName>
    <definedName name="solver_mip" localSheetId="14" hidden="1">2147483647</definedName>
    <definedName name="solver_mni" localSheetId="12" hidden="1">30</definedName>
    <definedName name="solver_mni" localSheetId="13" hidden="1">30</definedName>
    <definedName name="solver_mni" localSheetId="14" hidden="1">30</definedName>
    <definedName name="solver_mrt" localSheetId="12" hidden="1">"""""""""""""""""""""""""""""""""""""""""""""""""""""""""""""""""""""""""""""""""""""""""""""""""""""""""""""""""""""""""""""""0,075"""""""""""""""""""""""""""""""""""""""""""""""""""""""""""""""""""""""""""""""""""""""""""""""""""""""""""""""""""""""""""""""</definedName>
    <definedName name="solver_mrt" localSheetId="13" hidden="1">"""""""""""""""""""""""""""""""""""""""""""""""""""""""""""""""""""""""""""""""""""""""""""""""""""""""""""""""""""""""""""""""0,075"""""""""""""""""""""""""""""""""""""""""""""""""""""""""""""""""""""""""""""""""""""""""""""""""""""""""""""""""""""""""""""""</definedName>
    <definedName name="solver_mrt" localSheetId="14" hidden="1">"""""""""""""""""""""""""""""""""""""""""""""""""""""""""""""""""""""""""""""""""""""""""""""""""""""""""""""""""""""""""""""""0,075"""""""""""""""""""""""""""""""""""""""""""""""""""""""""""""""""""""""""""""""""""""""""""""""""""""""""""""""""""""""""""""""</definedName>
    <definedName name="solver_msl" localSheetId="12" hidden="1">2</definedName>
    <definedName name="solver_msl" localSheetId="13" hidden="1">2</definedName>
    <definedName name="solver_msl" localSheetId="14" hidden="1">2</definedName>
    <definedName name="solver_neg" localSheetId="12" hidden="1">1</definedName>
    <definedName name="solver_neg" localSheetId="13" hidden="1">1</definedName>
    <definedName name="solver_neg" localSheetId="14" hidden="1">1</definedName>
    <definedName name="solver_nod" localSheetId="12" hidden="1">2147483647</definedName>
    <definedName name="solver_nod" localSheetId="13" hidden="1">2147483647</definedName>
    <definedName name="solver_nod" localSheetId="14" hidden="1">2147483647</definedName>
    <definedName name="solver_num" localSheetId="12" hidden="1">0</definedName>
    <definedName name="solver_num" localSheetId="13" hidden="1">0</definedName>
    <definedName name="solver_num" localSheetId="14" hidden="1">0</definedName>
    <definedName name="solver_nwt" localSheetId="12" hidden="1">1</definedName>
    <definedName name="solver_nwt" localSheetId="13" hidden="1">1</definedName>
    <definedName name="solver_nwt" localSheetId="14" hidden="1">1</definedName>
    <definedName name="solver_opt" localSheetId="12" hidden="1">'Step1-V1'!$D$50</definedName>
    <definedName name="solver_opt" localSheetId="13" hidden="1">'Step1-V1 (2)'!$D$78</definedName>
    <definedName name="solver_opt" localSheetId="14" hidden="1">'Step1-V2'!$E$56</definedName>
    <definedName name="solver_pre" localSheetId="12" hidden="1">"""""""""""""""""""""""""""""""""""""""""""""""""""""""""""""""""""""""""""""""""""""""""""""""""""""""""""""""""""""""""""""""0,000001"""""""""""""""""""""""""""""""""""""""""""""""""""""""""""""""""""""""""""""""""""""""""""""""""""""""""""""""""""""""""""""""</definedName>
    <definedName name="solver_pre" localSheetId="13" hidden="1">"""""""""""""""""""""""""""""""""""""""""""""""""""""""""""""""""""""""""""""""""""""""""""""""""""""""""""""""""""""""""""""""0,000001"""""""""""""""""""""""""""""""""""""""""""""""""""""""""""""""""""""""""""""""""""""""""""""""""""""""""""""""""""""""""""""""</definedName>
    <definedName name="solver_pre" localSheetId="14" hidden="1">"""""""""""""""""""""""""""""""""""""""""""""""""""""""""""""""""""""""""""""""""""""""""""""""""""""""""""""""""""""""""""""""0,000001"""""""""""""""""""""""""""""""""""""""""""""""""""""""""""""""""""""""""""""""""""""""""""""""""""""""""""""""""""""""""""""""</definedName>
    <definedName name="solver_rbv" localSheetId="12" hidden="1">1</definedName>
    <definedName name="solver_rbv" localSheetId="13" hidden="1">1</definedName>
    <definedName name="solver_rbv" localSheetId="14" hidden="1">2</definedName>
    <definedName name="solver_rlx" localSheetId="12" hidden="1">2</definedName>
    <definedName name="solver_rlx" localSheetId="13" hidden="1">2</definedName>
    <definedName name="solver_rlx" localSheetId="14" hidden="1">2</definedName>
    <definedName name="solver_rsd" localSheetId="12" hidden="1">0</definedName>
    <definedName name="solver_rsd" localSheetId="13" hidden="1">0</definedName>
    <definedName name="solver_rsd" localSheetId="14" hidden="1">0</definedName>
    <definedName name="solver_scl" localSheetId="12" hidden="1">1</definedName>
    <definedName name="solver_scl" localSheetId="13" hidden="1">1</definedName>
    <definedName name="solver_scl" localSheetId="14" hidden="1">2</definedName>
    <definedName name="solver_sho" localSheetId="12" hidden="1">2</definedName>
    <definedName name="solver_sho" localSheetId="13" hidden="1">2</definedName>
    <definedName name="solver_sho" localSheetId="14" hidden="1">2</definedName>
    <definedName name="solver_ssz" localSheetId="12" hidden="1">100</definedName>
    <definedName name="solver_ssz" localSheetId="13" hidden="1">100</definedName>
    <definedName name="solver_ssz" localSheetId="14" hidden="1">100</definedName>
    <definedName name="solver_tim" localSheetId="12" hidden="1">2147483647</definedName>
    <definedName name="solver_tim" localSheetId="13" hidden="1">2147483647</definedName>
    <definedName name="solver_tim" localSheetId="14" hidden="1">2147483647</definedName>
    <definedName name="solver_tol" localSheetId="12" hidden="1">0.01</definedName>
    <definedName name="solver_tol" localSheetId="13" hidden="1">0.01</definedName>
    <definedName name="solver_tol" localSheetId="14" hidden="1">0.01</definedName>
    <definedName name="solver_typ" localSheetId="12" hidden="1">3</definedName>
    <definedName name="solver_typ" localSheetId="13" hidden="1">3</definedName>
    <definedName name="solver_typ" localSheetId="14" hidden="1">3</definedName>
    <definedName name="solver_val" localSheetId="12" hidden="1">0</definedName>
    <definedName name="solver_val" localSheetId="13" hidden="1">0</definedName>
    <definedName name="solver_val" localSheetId="14" hidden="1">0</definedName>
    <definedName name="solver_ver" localSheetId="12" hidden="1">3</definedName>
    <definedName name="solver_ver" localSheetId="13" hidden="1">3</definedName>
    <definedName name="solver_ver" localSheetId="14" hidden="1">3</definedName>
    <definedName name="VAConL" localSheetId="17">#REF!</definedName>
    <definedName name="VAConL" localSheetId="12">#REF!</definedName>
    <definedName name="VAConL" localSheetId="13">#REF!</definedName>
    <definedName name="VAConL" localSheetId="14">#REF!</definedName>
    <definedName name="VAConL">#REF!</definedName>
  </definedNames>
  <calcPr calcId="162913"/>
  <pivotCaches>
    <pivotCache cacheId="0" r:id="rId22"/>
    <pivotCache cacheId="1" r:id="rId2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U114" i="48" l="1"/>
  <c r="X114" i="48"/>
  <c r="V113" i="48"/>
  <c r="W113" i="48"/>
  <c r="U113" i="48"/>
  <c r="U108" i="48"/>
  <c r="U112" i="48"/>
  <c r="V112" i="48"/>
  <c r="W112" i="48"/>
  <c r="X111" i="48"/>
  <c r="V111" i="48"/>
  <c r="W111" i="48"/>
  <c r="U111" i="48"/>
  <c r="D80" i="3"/>
  <c r="F77" i="3"/>
  <c r="F78" i="3"/>
  <c r="F79" i="3"/>
  <c r="E77" i="3"/>
  <c r="E78" i="3"/>
  <c r="E79" i="3"/>
  <c r="D79" i="3"/>
  <c r="D15" i="48"/>
  <c r="D78" i="3"/>
  <c r="D77" i="3"/>
  <c r="J27" i="3"/>
  <c r="D42" i="48"/>
  <c r="X116" i="48"/>
  <c r="X115" i="48"/>
  <c r="J24" i="48"/>
  <c r="K24" i="48"/>
  <c r="L24" i="48"/>
  <c r="M24" i="48"/>
  <c r="M25" i="48" s="1"/>
  <c r="N24" i="48"/>
  <c r="O24" i="48"/>
  <c r="J21" i="48"/>
  <c r="J25" i="48" s="1"/>
  <c r="K21" i="48"/>
  <c r="K25" i="48" s="1"/>
  <c r="L21" i="48"/>
  <c r="L25" i="48" s="1"/>
  <c r="M21" i="48"/>
  <c r="N21" i="48"/>
  <c r="N25" i="48" s="1"/>
  <c r="O21" i="48"/>
  <c r="O25" i="48" s="1"/>
  <c r="I24" i="48"/>
  <c r="I21" i="48"/>
  <c r="I25" i="48" s="1"/>
  <c r="I13" i="48"/>
  <c r="J13" i="48"/>
  <c r="K13" i="48"/>
  <c r="L13" i="48"/>
  <c r="M13" i="48"/>
  <c r="N13" i="48"/>
  <c r="O13" i="48"/>
  <c r="I15" i="48"/>
  <c r="J15" i="48"/>
  <c r="K15" i="48"/>
  <c r="L15" i="48"/>
  <c r="F15" i="48" s="1"/>
  <c r="M15" i="48"/>
  <c r="N15" i="48"/>
  <c r="O15" i="48"/>
  <c r="I16" i="48"/>
  <c r="J16" i="48"/>
  <c r="K16" i="48"/>
  <c r="L16" i="48"/>
  <c r="F16" i="48" s="1"/>
  <c r="M16" i="48"/>
  <c r="N16" i="48"/>
  <c r="O16" i="48"/>
  <c r="I17" i="48"/>
  <c r="J17" i="48"/>
  <c r="K17" i="48"/>
  <c r="L17" i="48"/>
  <c r="F17" i="48" s="1"/>
  <c r="M17" i="48"/>
  <c r="N17" i="48"/>
  <c r="O17" i="48"/>
  <c r="I18" i="48"/>
  <c r="J18" i="48"/>
  <c r="K18" i="48"/>
  <c r="L18" i="48"/>
  <c r="F18" i="48" s="1"/>
  <c r="M18" i="48"/>
  <c r="N18" i="48"/>
  <c r="O18" i="48"/>
  <c r="J12" i="48"/>
  <c r="K12" i="48"/>
  <c r="L12" i="48"/>
  <c r="F12" i="48" s="1"/>
  <c r="W110" i="48" s="1"/>
  <c r="M12" i="48"/>
  <c r="N12" i="48"/>
  <c r="O12" i="48"/>
  <c r="I12" i="48"/>
  <c r="J10" i="48"/>
  <c r="K10" i="48"/>
  <c r="L10" i="48"/>
  <c r="F10" i="48" s="1"/>
  <c r="W108" i="48" s="1"/>
  <c r="M10" i="48"/>
  <c r="N10" i="48"/>
  <c r="O10" i="48"/>
  <c r="I10" i="48"/>
  <c r="J3" i="48"/>
  <c r="K3" i="48"/>
  <c r="L3" i="48"/>
  <c r="F3" i="48" s="1"/>
  <c r="W101" i="48" s="1"/>
  <c r="M3" i="48"/>
  <c r="N3" i="48"/>
  <c r="O3" i="48"/>
  <c r="J4" i="48"/>
  <c r="K4" i="48"/>
  <c r="L4" i="48"/>
  <c r="F4" i="48" s="1"/>
  <c r="M4" i="48"/>
  <c r="N4" i="48"/>
  <c r="O4" i="48"/>
  <c r="J5" i="48"/>
  <c r="K5" i="48"/>
  <c r="L5" i="48"/>
  <c r="F5" i="48" s="1"/>
  <c r="W103" i="48" s="1"/>
  <c r="M5" i="48"/>
  <c r="N5" i="48"/>
  <c r="O5" i="48"/>
  <c r="J6" i="48"/>
  <c r="K6" i="48"/>
  <c r="L6" i="48"/>
  <c r="F6" i="48" s="1"/>
  <c r="W104" i="48" s="1"/>
  <c r="M6" i="48"/>
  <c r="N6" i="48"/>
  <c r="O6" i="48"/>
  <c r="J7" i="48"/>
  <c r="K7" i="48"/>
  <c r="L7" i="48"/>
  <c r="F7" i="48" s="1"/>
  <c r="W105" i="48" s="1"/>
  <c r="M7" i="48"/>
  <c r="N7" i="48"/>
  <c r="O7" i="48"/>
  <c r="J8" i="48"/>
  <c r="K8" i="48"/>
  <c r="L8" i="48"/>
  <c r="F8" i="48" s="1"/>
  <c r="W106" i="48" s="1"/>
  <c r="M8" i="48"/>
  <c r="N8" i="48"/>
  <c r="O8" i="48"/>
  <c r="J9" i="48"/>
  <c r="K9" i="48"/>
  <c r="L9" i="48"/>
  <c r="F9" i="48" s="1"/>
  <c r="M9" i="48"/>
  <c r="N9" i="48"/>
  <c r="O9" i="48"/>
  <c r="I4" i="48"/>
  <c r="I5" i="48"/>
  <c r="I6" i="48"/>
  <c r="I7" i="48"/>
  <c r="I8" i="48"/>
  <c r="I9" i="48"/>
  <c r="I3" i="48"/>
  <c r="D13" i="48"/>
  <c r="E24" i="48"/>
  <c r="F24" i="48"/>
  <c r="E21" i="48"/>
  <c r="E25" i="48" s="1"/>
  <c r="F21" i="48"/>
  <c r="E5" i="48"/>
  <c r="V103" i="48" s="1"/>
  <c r="D3" i="48"/>
  <c r="U101" i="48" s="1"/>
  <c r="E10" i="48"/>
  <c r="V108" i="48" s="1"/>
  <c r="E12" i="48"/>
  <c r="V110" i="48" s="1"/>
  <c r="E13" i="48"/>
  <c r="E15" i="48"/>
  <c r="E16" i="48"/>
  <c r="E17" i="48"/>
  <c r="E18" i="48"/>
  <c r="E3" i="48"/>
  <c r="V101" i="48" s="1"/>
  <c r="E4" i="48"/>
  <c r="V102" i="48" s="1"/>
  <c r="E6" i="48"/>
  <c r="V104" i="48" s="1"/>
  <c r="E7" i="48"/>
  <c r="V105" i="48" s="1"/>
  <c r="E8" i="48"/>
  <c r="V106" i="48" s="1"/>
  <c r="E9" i="48"/>
  <c r="V107" i="48" s="1"/>
  <c r="D10" i="48"/>
  <c r="D16" i="48"/>
  <c r="D17" i="48"/>
  <c r="D18" i="48"/>
  <c r="G18" i="48" s="1"/>
  <c r="D12" i="48"/>
  <c r="U110" i="48" s="1"/>
  <c r="D4" i="48"/>
  <c r="U102" i="48" s="1"/>
  <c r="D5" i="48"/>
  <c r="U103" i="48" s="1"/>
  <c r="D6" i="48"/>
  <c r="D7" i="48"/>
  <c r="D8" i="48"/>
  <c r="U106" i="48" s="1"/>
  <c r="D9" i="48"/>
  <c r="U107" i="48" s="1"/>
  <c r="D24" i="48"/>
  <c r="G24" i="48" s="1"/>
  <c r="D21" i="48"/>
  <c r="G21" i="48" s="1"/>
  <c r="G25" i="48" s="1"/>
  <c r="D94" i="3"/>
  <c r="AA87" i="48" s="1"/>
  <c r="D55" i="3"/>
  <c r="D71" i="3"/>
  <c r="C31" i="48"/>
  <c r="D43" i="3"/>
  <c r="D17" i="28"/>
  <c r="X113" i="48" l="1"/>
  <c r="X112" i="48"/>
  <c r="G16" i="48"/>
  <c r="X103" i="48"/>
  <c r="F13" i="48"/>
  <c r="G7" i="48"/>
  <c r="X108" i="48"/>
  <c r="X101" i="48"/>
  <c r="X106" i="48"/>
  <c r="X102" i="48"/>
  <c r="X110" i="48"/>
  <c r="G4" i="48"/>
  <c r="W102" i="48"/>
  <c r="G15" i="48"/>
  <c r="G10" i="48"/>
  <c r="G17" i="48"/>
  <c r="U105" i="48"/>
  <c r="X105" i="48" s="1"/>
  <c r="G6" i="48"/>
  <c r="G9" i="48"/>
  <c r="G5" i="48"/>
  <c r="U104" i="48"/>
  <c r="X104" i="48" s="1"/>
  <c r="W107" i="48"/>
  <c r="X107" i="48" s="1"/>
  <c r="G8" i="48"/>
  <c r="G12" i="48"/>
  <c r="F25" i="48"/>
  <c r="G3" i="48"/>
  <c r="D25" i="48"/>
  <c r="G13" i="48" l="1"/>
  <c r="C57" i="41" l="1"/>
  <c r="X95" i="28" l="1"/>
  <c r="AA29" i="28"/>
  <c r="AA45" i="28"/>
  <c r="D56" i="28"/>
  <c r="AD95" i="48"/>
  <c r="AC95" i="48"/>
  <c r="AB95" i="48"/>
  <c r="AA95" i="48"/>
  <c r="AC94" i="48"/>
  <c r="AC93" i="48"/>
  <c r="X81" i="48"/>
  <c r="V73" i="48" s="1"/>
  <c r="V74" i="48"/>
  <c r="W53" i="48"/>
  <c r="AA51" i="48" s="1"/>
  <c r="V53" i="48"/>
  <c r="U53" i="48"/>
  <c r="AC51" i="48" s="1"/>
  <c r="Y52" i="48"/>
  <c r="Y53" i="48" s="1"/>
  <c r="Z51" i="48"/>
  <c r="Z52" i="48" s="1"/>
  <c r="O71" i="48"/>
  <c r="N71" i="48"/>
  <c r="M71" i="48"/>
  <c r="L71" i="48"/>
  <c r="K71" i="48"/>
  <c r="J71" i="48"/>
  <c r="I71" i="48"/>
  <c r="O70" i="48"/>
  <c r="N70" i="48"/>
  <c r="M70" i="48"/>
  <c r="L70" i="48"/>
  <c r="K70" i="48"/>
  <c r="J70" i="48"/>
  <c r="I70" i="48"/>
  <c r="L57" i="48"/>
  <c r="I57" i="48"/>
  <c r="X27" i="48" a="1"/>
  <c r="Y27" i="48" s="1"/>
  <c r="U27" i="48" a="1"/>
  <c r="W27" i="48" s="1"/>
  <c r="W28" i="48" s="1"/>
  <c r="W44" i="48" s="1"/>
  <c r="J53" i="48"/>
  <c r="J59" i="48" s="1"/>
  <c r="C53" i="48"/>
  <c r="O52" i="48"/>
  <c r="O53" i="48" s="1"/>
  <c r="O59" i="48" s="1"/>
  <c r="N52" i="48"/>
  <c r="N53" i="48" s="1"/>
  <c r="N59" i="48" s="1"/>
  <c r="M52" i="48"/>
  <c r="M53" i="48" s="1"/>
  <c r="M59" i="48" s="1"/>
  <c r="L52" i="48"/>
  <c r="K52" i="48"/>
  <c r="K53" i="48" s="1"/>
  <c r="K59" i="48" s="1"/>
  <c r="I52" i="48"/>
  <c r="C52" i="48"/>
  <c r="C51" i="48"/>
  <c r="C50" i="48"/>
  <c r="C49" i="48"/>
  <c r="L48" i="48"/>
  <c r="C48" i="48"/>
  <c r="C47" i="48"/>
  <c r="C46" i="48"/>
  <c r="C45" i="48"/>
  <c r="C44" i="48"/>
  <c r="C43" i="48"/>
  <c r="C42" i="48"/>
  <c r="L41" i="48"/>
  <c r="I41" i="48"/>
  <c r="C41" i="48"/>
  <c r="C40" i="48"/>
  <c r="C39" i="48"/>
  <c r="C38" i="48"/>
  <c r="C37" i="48"/>
  <c r="C36" i="48"/>
  <c r="C35" i="48"/>
  <c r="C34" i="48"/>
  <c r="X4" i="48" a="1"/>
  <c r="X23" i="48" s="1"/>
  <c r="U4" i="48" a="1"/>
  <c r="U25" i="48" s="1"/>
  <c r="I33" i="48"/>
  <c r="C33" i="48"/>
  <c r="C32" i="48"/>
  <c r="I29" i="48"/>
  <c r="J29" i="48" s="1"/>
  <c r="K29" i="48" s="1"/>
  <c r="L29" i="48" s="1"/>
  <c r="M29" i="48" s="1"/>
  <c r="N29" i="48" s="1"/>
  <c r="E29" i="48"/>
  <c r="F29" i="48" s="1"/>
  <c r="AB96" i="28"/>
  <c r="AC96" i="28"/>
  <c r="AD96" i="28"/>
  <c r="AA96" i="28"/>
  <c r="AB95" i="28"/>
  <c r="AC95" i="28"/>
  <c r="AD95" i="28"/>
  <c r="AA95" i="28"/>
  <c r="AB94" i="28"/>
  <c r="AC94" i="28"/>
  <c r="AD94" i="28"/>
  <c r="AA94" i="28"/>
  <c r="AA88" i="28"/>
  <c r="U45" i="28"/>
  <c r="AD43" i="28"/>
  <c r="V43" i="28"/>
  <c r="W43" i="28"/>
  <c r="X43" i="28"/>
  <c r="Y43" i="28"/>
  <c r="Z43" i="28"/>
  <c r="AA43" i="28"/>
  <c r="AB43" i="28"/>
  <c r="AC43" i="28"/>
  <c r="U43" i="28"/>
  <c r="U42" i="28"/>
  <c r="U46" i="28"/>
  <c r="U39" i="28"/>
  <c r="AD38" i="28"/>
  <c r="V38" i="28"/>
  <c r="W38" i="28"/>
  <c r="X38" i="28"/>
  <c r="Y38" i="28"/>
  <c r="Z38" i="28"/>
  <c r="AA38" i="28"/>
  <c r="AB38" i="28"/>
  <c r="AC38" i="28"/>
  <c r="U38" i="28"/>
  <c r="U36" i="28"/>
  <c r="U29" i="28"/>
  <c r="Y4" i="48" l="1"/>
  <c r="Y7" i="48"/>
  <c r="X18" i="48"/>
  <c r="Y22" i="48"/>
  <c r="Y39" i="48" s="1"/>
  <c r="X11" i="48"/>
  <c r="Z53" i="48"/>
  <c r="X15" i="48"/>
  <c r="V68" i="48"/>
  <c r="Z4" i="48"/>
  <c r="Y8" i="48"/>
  <c r="Y12" i="48"/>
  <c r="Y15" i="48"/>
  <c r="X19" i="48"/>
  <c r="Y24" i="48"/>
  <c r="Z5" i="48"/>
  <c r="Z9" i="48"/>
  <c r="Z12" i="48"/>
  <c r="Y16" i="48"/>
  <c r="Z20" i="48"/>
  <c r="Z24" i="48"/>
  <c r="AC24" i="48" s="1"/>
  <c r="V27" i="48"/>
  <c r="V28" i="48" s="1"/>
  <c r="V44" i="48" s="1"/>
  <c r="V70" i="48"/>
  <c r="X7" i="48"/>
  <c r="X10" i="48"/>
  <c r="Z13" i="48"/>
  <c r="Z17" i="48"/>
  <c r="X21" i="48"/>
  <c r="X38" i="48" s="1"/>
  <c r="V72" i="48"/>
  <c r="V5" i="48"/>
  <c r="W8" i="48"/>
  <c r="V12" i="48"/>
  <c r="U16" i="48"/>
  <c r="V19" i="48"/>
  <c r="V21" i="48"/>
  <c r="V38" i="48" s="1"/>
  <c r="U23" i="48"/>
  <c r="AA23" i="48" s="1"/>
  <c r="D50" i="48" s="1"/>
  <c r="W24" i="48"/>
  <c r="U4" i="48"/>
  <c r="V7" i="48"/>
  <c r="AB7" i="48" s="1"/>
  <c r="U11" i="48"/>
  <c r="AA11" i="48" s="1"/>
  <c r="W14" i="48"/>
  <c r="U18" i="48"/>
  <c r="AA18" i="48" s="1"/>
  <c r="W21" i="48"/>
  <c r="W38" i="48" s="1"/>
  <c r="V23" i="48"/>
  <c r="V25" i="48"/>
  <c r="V41" i="48" s="1"/>
  <c r="V4" i="48"/>
  <c r="U6" i="48"/>
  <c r="U8" i="48"/>
  <c r="W9" i="48"/>
  <c r="V11" i="48"/>
  <c r="V13" i="48"/>
  <c r="U15" i="48"/>
  <c r="W16" i="48"/>
  <c r="W18" i="48"/>
  <c r="V20" i="48"/>
  <c r="U22" i="48"/>
  <c r="U39" i="48" s="1"/>
  <c r="U24" i="48"/>
  <c r="W25" i="48"/>
  <c r="W41" i="48" s="1"/>
  <c r="X27" i="48"/>
  <c r="X28" i="48" s="1"/>
  <c r="X44" i="48" s="1"/>
  <c r="U7" i="48"/>
  <c r="AA7" i="48" s="1"/>
  <c r="W10" i="48"/>
  <c r="U14" i="48"/>
  <c r="W17" i="48"/>
  <c r="W5" i="48"/>
  <c r="AC5" i="48" s="1"/>
  <c r="V9" i="48"/>
  <c r="W12" i="48"/>
  <c r="AC12" i="48" s="1"/>
  <c r="V16" i="48"/>
  <c r="AB16" i="48" s="1"/>
  <c r="U20" i="48"/>
  <c r="I53" i="48"/>
  <c r="I59" i="48" s="1"/>
  <c r="W4" i="48"/>
  <c r="W6" i="48"/>
  <c r="V8" i="48"/>
  <c r="AB8" i="48" s="1"/>
  <c r="U10" i="48"/>
  <c r="U12" i="48"/>
  <c r="W13" i="48"/>
  <c r="V15" i="48"/>
  <c r="V17" i="48"/>
  <c r="U19" i="48"/>
  <c r="W20" i="48"/>
  <c r="AC20" i="48" s="1"/>
  <c r="W22" i="48"/>
  <c r="W39" i="48" s="1"/>
  <c r="V24" i="48"/>
  <c r="AB24" i="48" s="1"/>
  <c r="E51" i="48" s="1"/>
  <c r="X6" i="48"/>
  <c r="Z8" i="48"/>
  <c r="Y11" i="48"/>
  <c r="X14" i="48"/>
  <c r="Z16" i="48"/>
  <c r="AC16" i="48" s="1"/>
  <c r="Y19" i="48"/>
  <c r="L53" i="48"/>
  <c r="L59" i="48" s="1"/>
  <c r="U27" i="48"/>
  <c r="Z27" i="48"/>
  <c r="Z28" i="48" s="1"/>
  <c r="Z44" i="48" s="1"/>
  <c r="U41" i="48"/>
  <c r="Y25" i="48"/>
  <c r="Y41" i="48" s="1"/>
  <c r="X24" i="48"/>
  <c r="Z22" i="48"/>
  <c r="Z39" i="48" s="1"/>
  <c r="Y21" i="48"/>
  <c r="Y38" i="48" s="1"/>
  <c r="X20" i="48"/>
  <c r="X5" i="48"/>
  <c r="Y6" i="48"/>
  <c r="Z7" i="48"/>
  <c r="X9" i="48"/>
  <c r="Y10" i="48"/>
  <c r="Z11" i="48"/>
  <c r="X13" i="48"/>
  <c r="Y14" i="48"/>
  <c r="Z15" i="48"/>
  <c r="X17" i="48"/>
  <c r="Y18" i="48"/>
  <c r="Z19" i="48"/>
  <c r="Z21" i="48"/>
  <c r="Z38" i="48" s="1"/>
  <c r="Y23" i="48"/>
  <c r="X25" i="48"/>
  <c r="X41" i="48" s="1"/>
  <c r="AB25" i="48"/>
  <c r="Y29" i="48"/>
  <c r="Y45" i="48" s="1"/>
  <c r="AC17" i="48"/>
  <c r="U5" i="48"/>
  <c r="V6" i="48"/>
  <c r="W7" i="48"/>
  <c r="U9" i="48"/>
  <c r="AA9" i="48" s="1"/>
  <c r="V10" i="48"/>
  <c r="W11" i="48"/>
  <c r="U13" i="48"/>
  <c r="V14" i="48"/>
  <c r="AB14" i="48" s="1"/>
  <c r="W15" i="48"/>
  <c r="U17" i="48"/>
  <c r="V18" i="48"/>
  <c r="W19" i="48"/>
  <c r="AC19" i="48" s="1"/>
  <c r="U21" i="48"/>
  <c r="V22" i="48"/>
  <c r="W23" i="48"/>
  <c r="X4" i="48"/>
  <c r="Y5" i="48"/>
  <c r="Z6" i="48"/>
  <c r="X8" i="48"/>
  <c r="Y9" i="48"/>
  <c r="Z10" i="48"/>
  <c r="X12" i="48"/>
  <c r="Y13" i="48"/>
  <c r="Z14" i="48"/>
  <c r="X16" i="48"/>
  <c r="Y17" i="48"/>
  <c r="Z18" i="48"/>
  <c r="Y20" i="48"/>
  <c r="X22" i="48"/>
  <c r="X39" i="48" s="1"/>
  <c r="Z23" i="48"/>
  <c r="Z25" i="48"/>
  <c r="Z41" i="48" s="1"/>
  <c r="AC27" i="48"/>
  <c r="AA52" i="48"/>
  <c r="W29" i="48" s="1"/>
  <c r="W45" i="48" s="1"/>
  <c r="Y28" i="48"/>
  <c r="Y44" i="48" s="1"/>
  <c r="V71" i="48"/>
  <c r="V75" i="48"/>
  <c r="V69" i="48"/>
  <c r="P103" i="3"/>
  <c r="AB20" i="48" l="1"/>
  <c r="AB19" i="48"/>
  <c r="AA15" i="48"/>
  <c r="AB12" i="48"/>
  <c r="AB40" i="48" s="1"/>
  <c r="AB93" i="48" s="1"/>
  <c r="AA24" i="48"/>
  <c r="D51" i="48" s="1"/>
  <c r="AB13" i="48"/>
  <c r="AC13" i="48"/>
  <c r="Z35" i="48"/>
  <c r="AA14" i="48"/>
  <c r="AB4" i="48"/>
  <c r="AB23" i="48"/>
  <c r="E50" i="48" s="1"/>
  <c r="AB17" i="48"/>
  <c r="X29" i="48"/>
  <c r="X45" i="48" s="1"/>
  <c r="Y35" i="48"/>
  <c r="V29" i="48"/>
  <c r="V45" i="48" s="1"/>
  <c r="X40" i="48"/>
  <c r="AC6" i="48"/>
  <c r="AC21" i="48"/>
  <c r="AC38" i="48" s="1"/>
  <c r="V40" i="48"/>
  <c r="AA20" i="48"/>
  <c r="AD20" i="48" s="1"/>
  <c r="AB27" i="48"/>
  <c r="AB29" i="48" s="1"/>
  <c r="AA6" i="48"/>
  <c r="AA19" i="48"/>
  <c r="AD19" i="48" s="1"/>
  <c r="U40" i="48"/>
  <c r="W35" i="48"/>
  <c r="AB11" i="48"/>
  <c r="AA8" i="48"/>
  <c r="AC8" i="48"/>
  <c r="X37" i="48"/>
  <c r="AC10" i="48"/>
  <c r="AB10" i="48"/>
  <c r="AA5" i="48"/>
  <c r="AA27" i="48"/>
  <c r="AC9" i="48"/>
  <c r="Z29" i="48"/>
  <c r="Z45" i="48" s="1"/>
  <c r="AA10" i="48"/>
  <c r="AC4" i="48"/>
  <c r="AC35" i="48" s="1"/>
  <c r="AB15" i="48"/>
  <c r="AA16" i="48"/>
  <c r="AD16" i="48" s="1"/>
  <c r="AA53" i="48"/>
  <c r="Z40" i="48"/>
  <c r="AA17" i="48"/>
  <c r="AC11" i="48"/>
  <c r="V35" i="48"/>
  <c r="Y40" i="48"/>
  <c r="Z26" i="48"/>
  <c r="Z31" i="48" s="1"/>
  <c r="Y26" i="48"/>
  <c r="Y31" i="48" s="1"/>
  <c r="U28" i="48"/>
  <c r="U44" i="48" s="1"/>
  <c r="U29" i="48"/>
  <c r="U45" i="48" s="1"/>
  <c r="AC18" i="48"/>
  <c r="X36" i="48"/>
  <c r="AC23" i="48"/>
  <c r="AC40" i="48" s="1"/>
  <c r="AB18" i="48"/>
  <c r="AA13" i="48"/>
  <c r="AC7" i="48"/>
  <c r="AD7" i="48" s="1"/>
  <c r="AC22" i="48"/>
  <c r="AC39" i="48" s="1"/>
  <c r="AB5" i="48"/>
  <c r="AB35" i="48" s="1"/>
  <c r="W26" i="48"/>
  <c r="AB41" i="48"/>
  <c r="AB94" i="48" s="1"/>
  <c r="V94" i="48" s="1"/>
  <c r="E52" i="48" s="1"/>
  <c r="E71" i="48" s="1"/>
  <c r="E85" i="48" s="1"/>
  <c r="U26" i="48"/>
  <c r="V37" i="48"/>
  <c r="AA25" i="48"/>
  <c r="Z36" i="48"/>
  <c r="V36" i="48"/>
  <c r="AB6" i="48"/>
  <c r="Y37" i="48"/>
  <c r="U37" i="48"/>
  <c r="V26" i="48"/>
  <c r="W36" i="48"/>
  <c r="Y36" i="48"/>
  <c r="AA22" i="48"/>
  <c r="AA12" i="48"/>
  <c r="AC14" i="48"/>
  <c r="AC28" i="48"/>
  <c r="AC29" i="48"/>
  <c r="AD6" i="48"/>
  <c r="X35" i="48"/>
  <c r="X26" i="48"/>
  <c r="X31" i="48" s="1"/>
  <c r="F48" i="48"/>
  <c r="F65" i="48" s="1"/>
  <c r="AD27" i="48"/>
  <c r="U36" i="48"/>
  <c r="AB9" i="48"/>
  <c r="W40" i="48"/>
  <c r="AC25" i="48"/>
  <c r="AA4" i="48"/>
  <c r="V39" i="48"/>
  <c r="AB22" i="48"/>
  <c r="U38" i="48"/>
  <c r="AA21" i="48"/>
  <c r="AC15" i="48"/>
  <c r="W37" i="48"/>
  <c r="Z37" i="48"/>
  <c r="AB21" i="48"/>
  <c r="U35" i="48"/>
  <c r="E32" i="3"/>
  <c r="F32" i="3"/>
  <c r="G32" i="3"/>
  <c r="H32" i="3"/>
  <c r="I32" i="3"/>
  <c r="J32" i="3"/>
  <c r="K32" i="3"/>
  <c r="L32" i="3"/>
  <c r="M32" i="3"/>
  <c r="N32" i="3"/>
  <c r="O32" i="3"/>
  <c r="P32" i="3"/>
  <c r="Q32" i="3"/>
  <c r="R32" i="3"/>
  <c r="S32" i="3"/>
  <c r="T32" i="3"/>
  <c r="U32" i="3"/>
  <c r="V32" i="3"/>
  <c r="E33" i="3"/>
  <c r="F33" i="3"/>
  <c r="G33" i="3"/>
  <c r="H33" i="3"/>
  <c r="I33" i="3"/>
  <c r="J33" i="3"/>
  <c r="K33" i="3"/>
  <c r="L33" i="3"/>
  <c r="M33" i="3"/>
  <c r="N33" i="3"/>
  <c r="O33" i="3"/>
  <c r="P33" i="3"/>
  <c r="Q33" i="3"/>
  <c r="R33" i="3"/>
  <c r="S33" i="3"/>
  <c r="T33" i="3"/>
  <c r="U33" i="3"/>
  <c r="V33" i="3"/>
  <c r="E34" i="3"/>
  <c r="F34" i="3"/>
  <c r="G34" i="3"/>
  <c r="H34" i="3"/>
  <c r="I34" i="3"/>
  <c r="J34" i="3"/>
  <c r="K34" i="3"/>
  <c r="L34" i="3"/>
  <c r="M34" i="3"/>
  <c r="N34" i="3"/>
  <c r="O34" i="3"/>
  <c r="P34" i="3"/>
  <c r="Q34" i="3"/>
  <c r="R34" i="3"/>
  <c r="S34" i="3"/>
  <c r="T34" i="3"/>
  <c r="U34" i="3"/>
  <c r="V34" i="3"/>
  <c r="E35" i="3"/>
  <c r="F35" i="3"/>
  <c r="G35" i="3"/>
  <c r="H35" i="3"/>
  <c r="I35" i="3"/>
  <c r="J35" i="3"/>
  <c r="K35" i="3"/>
  <c r="L35" i="3"/>
  <c r="M35" i="3"/>
  <c r="N35" i="3"/>
  <c r="O35" i="3"/>
  <c r="P35" i="3"/>
  <c r="Q35" i="3"/>
  <c r="R35" i="3"/>
  <c r="S35" i="3"/>
  <c r="T35" i="3"/>
  <c r="U35" i="3"/>
  <c r="V35" i="3"/>
  <c r="E36" i="3"/>
  <c r="F36" i="3"/>
  <c r="G36" i="3"/>
  <c r="H36" i="3"/>
  <c r="I36" i="3"/>
  <c r="J36" i="3"/>
  <c r="K36" i="3"/>
  <c r="L36" i="3"/>
  <c r="M36" i="3"/>
  <c r="N36" i="3"/>
  <c r="O36" i="3"/>
  <c r="P36" i="3"/>
  <c r="Q36" i="3"/>
  <c r="R36" i="3"/>
  <c r="S36" i="3"/>
  <c r="T36" i="3"/>
  <c r="U36" i="3"/>
  <c r="V36" i="3"/>
  <c r="D33" i="3"/>
  <c r="D34" i="3"/>
  <c r="D35" i="3"/>
  <c r="D36" i="3"/>
  <c r="D32" i="3"/>
  <c r="E4" i="3"/>
  <c r="E42" i="3" s="1"/>
  <c r="F4" i="3"/>
  <c r="F42" i="3" s="1"/>
  <c r="G4" i="3"/>
  <c r="G42" i="3" s="1"/>
  <c r="H4" i="3"/>
  <c r="H42" i="3" s="1"/>
  <c r="I4" i="3"/>
  <c r="I42" i="3" s="1"/>
  <c r="J4" i="3"/>
  <c r="J42" i="3" s="1"/>
  <c r="K4" i="3"/>
  <c r="K42" i="3" s="1"/>
  <c r="L4" i="3"/>
  <c r="L42" i="3" s="1"/>
  <c r="M4" i="3"/>
  <c r="M42" i="3" s="1"/>
  <c r="N4" i="3"/>
  <c r="N42" i="3" s="1"/>
  <c r="O4" i="3"/>
  <c r="O42" i="3" s="1"/>
  <c r="P4" i="3"/>
  <c r="P42" i="3" s="1"/>
  <c r="Q4" i="3"/>
  <c r="Q42" i="3" s="1"/>
  <c r="R4" i="3"/>
  <c r="R42" i="3" s="1"/>
  <c r="S4" i="3"/>
  <c r="S42" i="3" s="1"/>
  <c r="T4" i="3"/>
  <c r="T42" i="3" s="1"/>
  <c r="U4" i="3"/>
  <c r="U42" i="3" s="1"/>
  <c r="V4" i="3"/>
  <c r="V42" i="3" s="1"/>
  <c r="E5" i="3"/>
  <c r="F5" i="3"/>
  <c r="G5" i="3"/>
  <c r="H5" i="3"/>
  <c r="I5" i="3"/>
  <c r="J5" i="3"/>
  <c r="K5" i="3"/>
  <c r="L5" i="3"/>
  <c r="M5" i="3"/>
  <c r="N5" i="3"/>
  <c r="O5" i="3"/>
  <c r="P5" i="3"/>
  <c r="Q5" i="3"/>
  <c r="R5" i="3"/>
  <c r="S5" i="3"/>
  <c r="T5" i="3"/>
  <c r="U5" i="3"/>
  <c r="V5" i="3"/>
  <c r="E6" i="3"/>
  <c r="F6" i="3"/>
  <c r="G6" i="3"/>
  <c r="H6" i="3"/>
  <c r="I6" i="3"/>
  <c r="J6" i="3"/>
  <c r="K6" i="3"/>
  <c r="L6" i="3"/>
  <c r="M6" i="3"/>
  <c r="N6" i="3"/>
  <c r="O6" i="3"/>
  <c r="P6" i="3"/>
  <c r="Q6" i="3"/>
  <c r="R6" i="3"/>
  <c r="S6" i="3"/>
  <c r="T6" i="3"/>
  <c r="U6" i="3"/>
  <c r="V6" i="3"/>
  <c r="E7" i="3"/>
  <c r="F7" i="3"/>
  <c r="G7" i="3"/>
  <c r="H7" i="3"/>
  <c r="I7" i="3"/>
  <c r="J7" i="3"/>
  <c r="K7" i="3"/>
  <c r="L7" i="3"/>
  <c r="M7" i="3"/>
  <c r="N7" i="3"/>
  <c r="O7" i="3"/>
  <c r="P7" i="3"/>
  <c r="Q7" i="3"/>
  <c r="R7" i="3"/>
  <c r="S7" i="3"/>
  <c r="T7" i="3"/>
  <c r="U7" i="3"/>
  <c r="V7" i="3"/>
  <c r="E8" i="3"/>
  <c r="F8" i="3"/>
  <c r="G8" i="3"/>
  <c r="H8" i="3"/>
  <c r="I8" i="3"/>
  <c r="J8" i="3"/>
  <c r="K8" i="3"/>
  <c r="L8" i="3"/>
  <c r="M8" i="3"/>
  <c r="N8" i="3"/>
  <c r="O8" i="3"/>
  <c r="P8" i="3"/>
  <c r="Q8" i="3"/>
  <c r="R8" i="3"/>
  <c r="S8" i="3"/>
  <c r="T8" i="3"/>
  <c r="U8" i="3"/>
  <c r="V8" i="3"/>
  <c r="E9" i="3"/>
  <c r="F9" i="3"/>
  <c r="G9" i="3"/>
  <c r="H9" i="3"/>
  <c r="I9" i="3"/>
  <c r="J9" i="3"/>
  <c r="K9" i="3"/>
  <c r="L9" i="3"/>
  <c r="M9" i="3"/>
  <c r="N9" i="3"/>
  <c r="O9" i="3"/>
  <c r="P9" i="3"/>
  <c r="Q9" i="3"/>
  <c r="R9" i="3"/>
  <c r="S9" i="3"/>
  <c r="T9" i="3"/>
  <c r="U9" i="3"/>
  <c r="V9" i="3"/>
  <c r="E10" i="3"/>
  <c r="F10" i="3"/>
  <c r="G10" i="3"/>
  <c r="H10" i="3"/>
  <c r="I10" i="3"/>
  <c r="J10" i="3"/>
  <c r="K10" i="3"/>
  <c r="L10" i="3"/>
  <c r="M10" i="3"/>
  <c r="N10" i="3"/>
  <c r="O10" i="3"/>
  <c r="P10" i="3"/>
  <c r="Q10" i="3"/>
  <c r="R10" i="3"/>
  <c r="S10" i="3"/>
  <c r="T10" i="3"/>
  <c r="U10" i="3"/>
  <c r="V10" i="3"/>
  <c r="E11" i="3"/>
  <c r="F11" i="3"/>
  <c r="G11" i="3"/>
  <c r="H11" i="3"/>
  <c r="I11" i="3"/>
  <c r="J11" i="3"/>
  <c r="K11" i="3"/>
  <c r="L11" i="3"/>
  <c r="M11" i="3"/>
  <c r="N11" i="3"/>
  <c r="O11" i="3"/>
  <c r="P11" i="3"/>
  <c r="Q11" i="3"/>
  <c r="R11" i="3"/>
  <c r="S11" i="3"/>
  <c r="T11" i="3"/>
  <c r="U11" i="3"/>
  <c r="V11" i="3"/>
  <c r="E12" i="3"/>
  <c r="F12" i="3"/>
  <c r="G12" i="3"/>
  <c r="H12" i="3"/>
  <c r="I12" i="3"/>
  <c r="J12" i="3"/>
  <c r="K12" i="3"/>
  <c r="L12" i="3"/>
  <c r="M12" i="3"/>
  <c r="N12" i="3"/>
  <c r="O12" i="3"/>
  <c r="P12" i="3"/>
  <c r="Q12" i="3"/>
  <c r="R12" i="3"/>
  <c r="S12" i="3"/>
  <c r="T12" i="3"/>
  <c r="U12" i="3"/>
  <c r="V12" i="3"/>
  <c r="E13" i="3"/>
  <c r="F13" i="3"/>
  <c r="G13" i="3"/>
  <c r="H13" i="3"/>
  <c r="I13" i="3"/>
  <c r="J13" i="3"/>
  <c r="K13" i="3"/>
  <c r="L13" i="3"/>
  <c r="M13" i="3"/>
  <c r="N13" i="3"/>
  <c r="O13" i="3"/>
  <c r="P13" i="3"/>
  <c r="Q13" i="3"/>
  <c r="R13" i="3"/>
  <c r="S13" i="3"/>
  <c r="T13" i="3"/>
  <c r="U13" i="3"/>
  <c r="V13" i="3"/>
  <c r="E14" i="3"/>
  <c r="F14" i="3"/>
  <c r="G14" i="3"/>
  <c r="H14" i="3"/>
  <c r="I14" i="3"/>
  <c r="J14" i="3"/>
  <c r="K14" i="3"/>
  <c r="L14" i="3"/>
  <c r="M14" i="3"/>
  <c r="N14" i="3"/>
  <c r="O14" i="3"/>
  <c r="P14" i="3"/>
  <c r="Q14" i="3"/>
  <c r="R14" i="3"/>
  <c r="S14" i="3"/>
  <c r="T14" i="3"/>
  <c r="U14" i="3"/>
  <c r="V14" i="3"/>
  <c r="E15" i="3"/>
  <c r="F15" i="3"/>
  <c r="G15" i="3"/>
  <c r="H15" i="3"/>
  <c r="I15" i="3"/>
  <c r="J15" i="3"/>
  <c r="K15" i="3"/>
  <c r="L15" i="3"/>
  <c r="M15" i="3"/>
  <c r="N15" i="3"/>
  <c r="O15" i="3"/>
  <c r="P15" i="3"/>
  <c r="Q15" i="3"/>
  <c r="R15" i="3"/>
  <c r="S15" i="3"/>
  <c r="T15" i="3"/>
  <c r="U15" i="3"/>
  <c r="V15" i="3"/>
  <c r="E16" i="3"/>
  <c r="F16" i="3"/>
  <c r="G16" i="3"/>
  <c r="H16" i="3"/>
  <c r="I16" i="3"/>
  <c r="J16" i="3"/>
  <c r="K16" i="3"/>
  <c r="L16" i="3"/>
  <c r="M16" i="3"/>
  <c r="N16" i="3"/>
  <c r="O16" i="3"/>
  <c r="P16" i="3"/>
  <c r="Q16" i="3"/>
  <c r="R16" i="3"/>
  <c r="S16" i="3"/>
  <c r="T16" i="3"/>
  <c r="U16" i="3"/>
  <c r="V16" i="3"/>
  <c r="E17" i="3"/>
  <c r="F17" i="3"/>
  <c r="G17" i="3"/>
  <c r="H17" i="3"/>
  <c r="I17" i="3"/>
  <c r="J17" i="3"/>
  <c r="K17" i="3"/>
  <c r="L17" i="3"/>
  <c r="M17" i="3"/>
  <c r="N17" i="3"/>
  <c r="O17" i="3"/>
  <c r="P17" i="3"/>
  <c r="Q17" i="3"/>
  <c r="R17" i="3"/>
  <c r="S17" i="3"/>
  <c r="T17" i="3"/>
  <c r="U17" i="3"/>
  <c r="V17" i="3"/>
  <c r="E18" i="3"/>
  <c r="F18" i="3"/>
  <c r="G18" i="3"/>
  <c r="H18" i="3"/>
  <c r="I18" i="3"/>
  <c r="J18" i="3"/>
  <c r="K18" i="3"/>
  <c r="L18" i="3"/>
  <c r="M18" i="3"/>
  <c r="N18" i="3"/>
  <c r="O18" i="3"/>
  <c r="P18" i="3"/>
  <c r="Q18" i="3"/>
  <c r="R18" i="3"/>
  <c r="S18" i="3"/>
  <c r="T18" i="3"/>
  <c r="U18" i="3"/>
  <c r="V18" i="3"/>
  <c r="E19" i="3"/>
  <c r="F19" i="3"/>
  <c r="G19" i="3"/>
  <c r="H19" i="3"/>
  <c r="I19" i="3"/>
  <c r="J19" i="3"/>
  <c r="K19" i="3"/>
  <c r="L19" i="3"/>
  <c r="M19" i="3"/>
  <c r="N19" i="3"/>
  <c r="O19" i="3"/>
  <c r="P19" i="3"/>
  <c r="Q19" i="3"/>
  <c r="R19" i="3"/>
  <c r="S19" i="3"/>
  <c r="T19" i="3"/>
  <c r="U19" i="3"/>
  <c r="V19" i="3"/>
  <c r="E20" i="3"/>
  <c r="F20" i="3"/>
  <c r="G20" i="3"/>
  <c r="H20" i="3"/>
  <c r="I20" i="3"/>
  <c r="J20" i="3"/>
  <c r="K20" i="3"/>
  <c r="L20" i="3"/>
  <c r="M20" i="3"/>
  <c r="N20" i="3"/>
  <c r="O20" i="3"/>
  <c r="P20" i="3"/>
  <c r="Q20" i="3"/>
  <c r="R20" i="3"/>
  <c r="S20" i="3"/>
  <c r="T20" i="3"/>
  <c r="U20" i="3"/>
  <c r="V20" i="3"/>
  <c r="E21" i="3"/>
  <c r="F21" i="3"/>
  <c r="G21" i="3"/>
  <c r="H21" i="3"/>
  <c r="I21" i="3"/>
  <c r="J21" i="3"/>
  <c r="K21" i="3"/>
  <c r="L21" i="3"/>
  <c r="M21" i="3"/>
  <c r="N21" i="3"/>
  <c r="O21" i="3"/>
  <c r="P21" i="3"/>
  <c r="Q21" i="3"/>
  <c r="R21" i="3"/>
  <c r="S21" i="3"/>
  <c r="T21" i="3"/>
  <c r="U21" i="3"/>
  <c r="V21" i="3"/>
  <c r="E22" i="3"/>
  <c r="F22" i="3"/>
  <c r="G22" i="3"/>
  <c r="H22" i="3"/>
  <c r="I22" i="3"/>
  <c r="J22" i="3"/>
  <c r="K22" i="3"/>
  <c r="L22" i="3"/>
  <c r="M22" i="3"/>
  <c r="N22" i="3"/>
  <c r="O22" i="3"/>
  <c r="P22" i="3"/>
  <c r="Q22" i="3"/>
  <c r="R22" i="3"/>
  <c r="S22" i="3"/>
  <c r="T22" i="3"/>
  <c r="U22" i="3"/>
  <c r="V22" i="3"/>
  <c r="E23" i="3"/>
  <c r="F23" i="3"/>
  <c r="G23" i="3"/>
  <c r="H23" i="3"/>
  <c r="I23" i="3"/>
  <c r="J23" i="3"/>
  <c r="K23" i="3"/>
  <c r="L23" i="3"/>
  <c r="M23" i="3"/>
  <c r="N23" i="3"/>
  <c r="O23" i="3"/>
  <c r="P23" i="3"/>
  <c r="Q23" i="3"/>
  <c r="R23" i="3"/>
  <c r="S23" i="3"/>
  <c r="T23" i="3"/>
  <c r="U23" i="3"/>
  <c r="V23" i="3"/>
  <c r="E24" i="3"/>
  <c r="E41" i="3" s="1"/>
  <c r="F24" i="3"/>
  <c r="F41" i="3" s="1"/>
  <c r="G24" i="3"/>
  <c r="G41" i="3" s="1"/>
  <c r="H24" i="3"/>
  <c r="H41" i="3" s="1"/>
  <c r="I24" i="3"/>
  <c r="I41" i="3" s="1"/>
  <c r="J24" i="3"/>
  <c r="J41" i="3" s="1"/>
  <c r="K24" i="3"/>
  <c r="K41" i="3" s="1"/>
  <c r="L24" i="3"/>
  <c r="L41" i="3" s="1"/>
  <c r="M24" i="3"/>
  <c r="M41" i="3" s="1"/>
  <c r="N24" i="3"/>
  <c r="N41" i="3" s="1"/>
  <c r="O24" i="3"/>
  <c r="O41" i="3" s="1"/>
  <c r="P24" i="3"/>
  <c r="P41" i="3" s="1"/>
  <c r="Q24" i="3"/>
  <c r="Q41" i="3" s="1"/>
  <c r="R24" i="3"/>
  <c r="R41" i="3" s="1"/>
  <c r="S24" i="3"/>
  <c r="S41" i="3" s="1"/>
  <c r="T24" i="3"/>
  <c r="T41" i="3" s="1"/>
  <c r="U24" i="3"/>
  <c r="U41" i="3" s="1"/>
  <c r="V24" i="3"/>
  <c r="V41" i="3" s="1"/>
  <c r="E25" i="3"/>
  <c r="E43" i="3" s="1"/>
  <c r="F25" i="3"/>
  <c r="F43" i="3" s="1"/>
  <c r="G25" i="3"/>
  <c r="G43" i="3" s="1"/>
  <c r="H25" i="3"/>
  <c r="I25" i="3"/>
  <c r="I43" i="3" s="1"/>
  <c r="J25" i="3"/>
  <c r="J43" i="3" s="1"/>
  <c r="K25" i="3"/>
  <c r="K43" i="3" s="1"/>
  <c r="L25" i="3"/>
  <c r="M25" i="3"/>
  <c r="M43" i="3" s="1"/>
  <c r="N25" i="3"/>
  <c r="N43" i="3" s="1"/>
  <c r="O25" i="3"/>
  <c r="O43" i="3" s="1"/>
  <c r="P25" i="3"/>
  <c r="Q25" i="3"/>
  <c r="Q43" i="3" s="1"/>
  <c r="R25" i="3"/>
  <c r="R43" i="3" s="1"/>
  <c r="S25" i="3"/>
  <c r="S43" i="3" s="1"/>
  <c r="T25" i="3"/>
  <c r="U25" i="3"/>
  <c r="U43" i="3" s="1"/>
  <c r="V25" i="3"/>
  <c r="V43" i="3" s="1"/>
  <c r="E26" i="3"/>
  <c r="F26" i="3"/>
  <c r="G26" i="3"/>
  <c r="H26" i="3"/>
  <c r="H43" i="3" s="1"/>
  <c r="I26" i="3"/>
  <c r="J26" i="3"/>
  <c r="K26" i="3"/>
  <c r="L26" i="3"/>
  <c r="L43" i="3" s="1"/>
  <c r="M26" i="3"/>
  <c r="N26" i="3"/>
  <c r="O26" i="3"/>
  <c r="P26" i="3"/>
  <c r="P43" i="3" s="1"/>
  <c r="Q26" i="3"/>
  <c r="R26" i="3"/>
  <c r="S26" i="3"/>
  <c r="T26" i="3"/>
  <c r="T43" i="3" s="1"/>
  <c r="U26" i="3"/>
  <c r="V26" i="3"/>
  <c r="E27" i="3"/>
  <c r="F27" i="3"/>
  <c r="G27" i="3"/>
  <c r="H27" i="3"/>
  <c r="I27" i="3"/>
  <c r="K27" i="3"/>
  <c r="L27" i="3"/>
  <c r="M27" i="3"/>
  <c r="N27" i="3"/>
  <c r="O27" i="3"/>
  <c r="P27" i="3"/>
  <c r="Q27" i="3"/>
  <c r="R27" i="3"/>
  <c r="S27" i="3"/>
  <c r="T27" i="3"/>
  <c r="U27" i="3"/>
  <c r="V27" i="3"/>
  <c r="E28" i="3"/>
  <c r="F28" i="3"/>
  <c r="G28" i="3"/>
  <c r="H28" i="3"/>
  <c r="I28" i="3"/>
  <c r="J28" i="3"/>
  <c r="K28" i="3"/>
  <c r="L28" i="3"/>
  <c r="M28" i="3"/>
  <c r="N28" i="3"/>
  <c r="O28" i="3"/>
  <c r="P28" i="3"/>
  <c r="Q28" i="3"/>
  <c r="R28" i="3"/>
  <c r="S28" i="3"/>
  <c r="T28" i="3"/>
  <c r="U28" i="3"/>
  <c r="V28" i="3"/>
  <c r="E29" i="3"/>
  <c r="F29" i="3"/>
  <c r="G29" i="3"/>
  <c r="H29" i="3"/>
  <c r="I29" i="3"/>
  <c r="J29" i="3"/>
  <c r="K29" i="3"/>
  <c r="L29" i="3"/>
  <c r="M29" i="3"/>
  <c r="N29" i="3"/>
  <c r="O29" i="3"/>
  <c r="P29" i="3"/>
  <c r="Q29" i="3"/>
  <c r="R29" i="3"/>
  <c r="S29" i="3"/>
  <c r="T29" i="3"/>
  <c r="U29" i="3"/>
  <c r="V29" i="3"/>
  <c r="D5" i="3"/>
  <c r="D6" i="3"/>
  <c r="D7" i="3"/>
  <c r="D8" i="3"/>
  <c r="D42" i="3" s="1"/>
  <c r="D9" i="3"/>
  <c r="D10" i="3"/>
  <c r="D11" i="3"/>
  <c r="D12" i="3"/>
  <c r="D13" i="3"/>
  <c r="D14" i="3"/>
  <c r="D15" i="3"/>
  <c r="D16" i="3"/>
  <c r="D17" i="3"/>
  <c r="D18" i="3"/>
  <c r="D19" i="3"/>
  <c r="D20" i="3"/>
  <c r="D21" i="3"/>
  <c r="D22" i="3"/>
  <c r="D23" i="3"/>
  <c r="D24" i="3"/>
  <c r="D41" i="3" s="1"/>
  <c r="D25" i="3"/>
  <c r="D26" i="3"/>
  <c r="D27" i="3"/>
  <c r="D28" i="3"/>
  <c r="D29" i="3"/>
  <c r="D4" i="3"/>
  <c r="E39" i="48" l="1"/>
  <c r="E70" i="48" s="1"/>
  <c r="E84" i="48" s="1"/>
  <c r="AD24" i="48"/>
  <c r="AD13" i="48"/>
  <c r="AB28" i="48"/>
  <c r="AB44" i="48" s="1"/>
  <c r="AD5" i="48"/>
  <c r="AD14" i="48"/>
  <c r="AD17" i="48"/>
  <c r="AD23" i="48"/>
  <c r="Z42" i="48"/>
  <c r="AD9" i="48"/>
  <c r="AD11" i="48"/>
  <c r="AD10" i="48"/>
  <c r="AD8" i="48"/>
  <c r="U42" i="48"/>
  <c r="AA37" i="48"/>
  <c r="AB37" i="48"/>
  <c r="X42" i="48"/>
  <c r="AA29" i="48"/>
  <c r="AA45" i="48" s="1"/>
  <c r="AA28" i="48"/>
  <c r="Y42" i="48"/>
  <c r="V42" i="48"/>
  <c r="AD29" i="48"/>
  <c r="AA40" i="48"/>
  <c r="D39" i="48"/>
  <c r="AA36" i="48"/>
  <c r="AD18" i="48"/>
  <c r="D48" i="48"/>
  <c r="AD21" i="48"/>
  <c r="AA38" i="48"/>
  <c r="W42" i="48"/>
  <c r="AD25" i="48"/>
  <c r="AA41" i="48"/>
  <c r="AB45" i="48"/>
  <c r="AC44" i="48"/>
  <c r="V31" i="48"/>
  <c r="AB26" i="48"/>
  <c r="AB31" i="48" s="1"/>
  <c r="AB36" i="48"/>
  <c r="AB39" i="48"/>
  <c r="E49" i="48"/>
  <c r="E66" i="48" s="1"/>
  <c r="AA26" i="48"/>
  <c r="U31" i="48"/>
  <c r="AB38" i="48"/>
  <c r="AC45" i="48"/>
  <c r="AD12" i="48"/>
  <c r="AC37" i="48"/>
  <c r="AD15" i="48"/>
  <c r="AA35" i="48"/>
  <c r="AD4" i="48"/>
  <c r="AC41" i="48"/>
  <c r="F52" i="48"/>
  <c r="F71" i="48" s="1"/>
  <c r="F85" i="48" s="1"/>
  <c r="AD22" i="48"/>
  <c r="D49" i="48"/>
  <c r="AA39" i="48"/>
  <c r="AC36" i="48"/>
  <c r="AC26" i="48"/>
  <c r="AC31" i="48" s="1"/>
  <c r="W31" i="48"/>
  <c r="D30" i="3"/>
  <c r="AD28" i="48" l="1"/>
  <c r="AD44" i="48"/>
  <c r="D56" i="48"/>
  <c r="AA44" i="48"/>
  <c r="AD37" i="48"/>
  <c r="AD45" i="48"/>
  <c r="AC42" i="48"/>
  <c r="AD39" i="48"/>
  <c r="D70" i="48"/>
  <c r="AA31" i="48"/>
  <c r="AD26" i="48"/>
  <c r="AD31" i="48" s="1"/>
  <c r="U87" i="48"/>
  <c r="D31" i="48" s="1"/>
  <c r="AD35" i="48"/>
  <c r="AA42" i="48"/>
  <c r="AA93" i="48"/>
  <c r="AD40" i="48"/>
  <c r="AD93" i="48" s="1"/>
  <c r="AD41" i="48"/>
  <c r="AD94" i="48" s="1"/>
  <c r="AA94" i="48"/>
  <c r="U94" i="48" s="1"/>
  <c r="AD38" i="48"/>
  <c r="AD36" i="48"/>
  <c r="D66" i="48"/>
  <c r="AB42" i="48"/>
  <c r="D65" i="48"/>
  <c r="E56" i="42"/>
  <c r="E5" i="39"/>
  <c r="L10" i="35"/>
  <c r="I10" i="35"/>
  <c r="D84" i="48" l="1"/>
  <c r="X94" i="48"/>
  <c r="D52" i="48"/>
  <c r="D32" i="48"/>
  <c r="D62" i="48" s="1"/>
  <c r="AD42" i="48"/>
  <c r="W8" i="13"/>
  <c r="G52" i="48" l="1"/>
  <c r="P52" i="48" s="1"/>
  <c r="D71" i="48"/>
  <c r="W7" i="13"/>
  <c r="V14" i="13"/>
  <c r="V13" i="13"/>
  <c r="W12" i="13"/>
  <c r="V12" i="13"/>
  <c r="G71" i="48" l="1"/>
  <c r="P71" i="48" s="1"/>
  <c r="D85" i="48"/>
  <c r="G85" i="48" s="1"/>
  <c r="D76" i="48"/>
  <c r="W15" i="13"/>
  <c r="V15" i="13"/>
  <c r="I17" i="35" l="1"/>
  <c r="L45" i="13" l="1"/>
  <c r="L5" i="13" l="1"/>
  <c r="C12" i="13" s="1"/>
  <c r="C27" i="13" s="1"/>
  <c r="M36" i="13" l="1"/>
  <c r="M37" i="13" s="1"/>
  <c r="M38" i="13" s="1"/>
  <c r="M39" i="13" s="1"/>
  <c r="N36" i="13"/>
  <c r="N37" i="13" s="1"/>
  <c r="N38" i="13" s="1"/>
  <c r="N39" i="13" s="1"/>
  <c r="N40" i="13" s="1"/>
  <c r="N41" i="13" s="1"/>
  <c r="N42" i="13" s="1"/>
  <c r="N43" i="13" s="1"/>
  <c r="N44" i="13" s="1"/>
  <c r="N45" i="13" s="1"/>
  <c r="N46" i="13" s="1"/>
  <c r="AA14" i="13"/>
  <c r="AA13" i="13"/>
  <c r="AA12" i="13"/>
  <c r="AA7" i="13"/>
  <c r="T15" i="13"/>
  <c r="C9" i="35"/>
  <c r="U4" i="13" l="1"/>
  <c r="U3" i="13"/>
  <c r="U11" i="13"/>
  <c r="U7" i="13"/>
  <c r="AA15" i="13"/>
  <c r="AB11" i="13" s="1"/>
  <c r="M40" i="13"/>
  <c r="M41" i="13" s="1"/>
  <c r="M42" i="13" s="1"/>
  <c r="M43" i="13" s="1"/>
  <c r="M44" i="13" s="1"/>
  <c r="U14" i="13"/>
  <c r="U10" i="13"/>
  <c r="U13" i="13"/>
  <c r="U9" i="13"/>
  <c r="U5" i="13"/>
  <c r="U6" i="13"/>
  <c r="U12" i="13"/>
  <c r="U8" i="13"/>
  <c r="W96" i="28"/>
  <c r="U15" i="13" l="1"/>
  <c r="AB7" i="13"/>
  <c r="AB14" i="13"/>
  <c r="AB5" i="13"/>
  <c r="AB9" i="13"/>
  <c r="AB6" i="13"/>
  <c r="AB10" i="13"/>
  <c r="AB3" i="13"/>
  <c r="AB4" i="13"/>
  <c r="AB8" i="13"/>
  <c r="AB12" i="13"/>
  <c r="AB13" i="13"/>
  <c r="M45" i="13"/>
  <c r="M46" i="13" s="1"/>
  <c r="Y53" i="28"/>
  <c r="Y54" i="28" s="1"/>
  <c r="AB15" i="13" l="1"/>
  <c r="U5" i="28" a="1"/>
  <c r="W5" i="28" s="1"/>
  <c r="X5" i="28" a="1"/>
  <c r="Z5" i="28" s="1"/>
  <c r="U28" i="28" a="1"/>
  <c r="W28" i="28" s="1"/>
  <c r="X28" i="28" a="1"/>
  <c r="Z28" i="28" s="1"/>
  <c r="W54" i="28"/>
  <c r="AA52" i="28" s="1"/>
  <c r="AA53" i="28" s="1"/>
  <c r="AA54" i="28" s="1"/>
  <c r="F75" i="3"/>
  <c r="F55" i="3"/>
  <c r="F56" i="3"/>
  <c r="F57" i="3"/>
  <c r="F58" i="3"/>
  <c r="F59" i="3"/>
  <c r="F60" i="3"/>
  <c r="F61" i="3"/>
  <c r="F62" i="3"/>
  <c r="F63" i="3"/>
  <c r="F64" i="3"/>
  <c r="F65" i="3"/>
  <c r="F66" i="3"/>
  <c r="F67" i="3"/>
  <c r="F68" i="3"/>
  <c r="F69" i="3"/>
  <c r="F70" i="3"/>
  <c r="F71" i="3"/>
  <c r="F72" i="3"/>
  <c r="F99" i="3" s="1"/>
  <c r="F73" i="3"/>
  <c r="F98" i="3" s="1"/>
  <c r="AC91" i="48" s="1"/>
  <c r="W91" i="48" s="1"/>
  <c r="F74" i="3"/>
  <c r="F76" i="3"/>
  <c r="F81" i="3"/>
  <c r="F80" i="3"/>
  <c r="X82" i="28"/>
  <c r="V72" i="28" s="1"/>
  <c r="J17" i="35"/>
  <c r="M17" i="35" s="1"/>
  <c r="J18" i="35"/>
  <c r="J19" i="35"/>
  <c r="E24" i="39"/>
  <c r="Y21" i="13" s="1"/>
  <c r="S21" i="13" s="1"/>
  <c r="E25" i="39"/>
  <c r="Y22" i="13" s="1"/>
  <c r="S22" i="13" s="1"/>
  <c r="E77" i="39"/>
  <c r="E85" i="39" s="1"/>
  <c r="E94" i="39"/>
  <c r="E102" i="39" s="1"/>
  <c r="E27" i="39"/>
  <c r="Y24" i="13"/>
  <c r="S24" i="13" s="1"/>
  <c r="E28" i="39"/>
  <c r="Y25" i="13" s="1"/>
  <c r="S25" i="13" s="1"/>
  <c r="E29" i="39"/>
  <c r="E115" i="39"/>
  <c r="E30" i="39" s="1"/>
  <c r="Y27" i="13" s="1"/>
  <c r="S27" i="13" s="1"/>
  <c r="E48" i="39"/>
  <c r="E65" i="39"/>
  <c r="E116" i="39"/>
  <c r="E49" i="39"/>
  <c r="E117" i="39"/>
  <c r="E50" i="39"/>
  <c r="E118" i="39"/>
  <c r="N4" i="13"/>
  <c r="E8" i="13" s="1"/>
  <c r="F40" i="39"/>
  <c r="H40" i="39" s="1"/>
  <c r="F57" i="39"/>
  <c r="H57" i="39" s="1"/>
  <c r="F108" i="39"/>
  <c r="F39" i="39"/>
  <c r="F107" i="39"/>
  <c r="F41" i="39"/>
  <c r="F24" i="39" s="1"/>
  <c r="Z21" i="13" s="1"/>
  <c r="T21" i="13" s="1"/>
  <c r="F42" i="39"/>
  <c r="F25" i="39" s="1"/>
  <c r="Z22" i="13" s="1"/>
  <c r="T22" i="13" s="1"/>
  <c r="F77" i="39"/>
  <c r="F94" i="39"/>
  <c r="F27" i="39"/>
  <c r="Z24" i="13" s="1"/>
  <c r="T24" i="13" s="1"/>
  <c r="F28" i="39"/>
  <c r="Z25" i="13" s="1"/>
  <c r="T25" i="13" s="1"/>
  <c r="F46" i="39"/>
  <c r="F29" i="39" s="1"/>
  <c r="Z26" i="13" s="1"/>
  <c r="T26" i="13" s="1"/>
  <c r="F47" i="39"/>
  <c r="F115" i="39"/>
  <c r="F48" i="39"/>
  <c r="F14" i="39" s="1"/>
  <c r="F116" i="39"/>
  <c r="F49" i="39"/>
  <c r="F117" i="39"/>
  <c r="F50" i="39"/>
  <c r="F118" i="39"/>
  <c r="I18" i="35"/>
  <c r="I20" i="35" s="1"/>
  <c r="I19" i="35"/>
  <c r="M57" i="13"/>
  <c r="O61" i="13" s="1"/>
  <c r="D23" i="39"/>
  <c r="X20" i="13" s="1"/>
  <c r="R20" i="13" s="1"/>
  <c r="D24" i="39"/>
  <c r="X21" i="13" s="1"/>
  <c r="R21" i="13" s="1"/>
  <c r="D25" i="39"/>
  <c r="D77" i="39"/>
  <c r="D94" i="39"/>
  <c r="D27" i="39"/>
  <c r="X24" i="13" s="1"/>
  <c r="R24" i="13" s="1"/>
  <c r="D28" i="39"/>
  <c r="D29" i="39"/>
  <c r="X26" i="13" s="1"/>
  <c r="R26" i="13" s="1"/>
  <c r="D47" i="39"/>
  <c r="D115" i="39"/>
  <c r="D48" i="39"/>
  <c r="D65" i="39"/>
  <c r="D68" i="39" s="1"/>
  <c r="D116" i="39"/>
  <c r="D49" i="39"/>
  <c r="D15" i="39" s="1"/>
  <c r="D117" i="39"/>
  <c r="D50" i="39"/>
  <c r="D16" i="39" s="1"/>
  <c r="D118" i="39"/>
  <c r="I33" i="41"/>
  <c r="F33" i="41" s="1"/>
  <c r="I34" i="41"/>
  <c r="F34" i="41" s="1"/>
  <c r="I41" i="41"/>
  <c r="F41" i="41" s="1"/>
  <c r="I52" i="41"/>
  <c r="F52" i="41" s="1"/>
  <c r="I53" i="41"/>
  <c r="F53" i="41" s="1"/>
  <c r="I51" i="41"/>
  <c r="F51" i="41" s="1"/>
  <c r="I50" i="41"/>
  <c r="F50" i="41" s="1"/>
  <c r="I44" i="41"/>
  <c r="F44" i="41" s="1"/>
  <c r="I45" i="41"/>
  <c r="F45" i="41" s="1"/>
  <c r="I46" i="41"/>
  <c r="F46" i="41" s="1"/>
  <c r="I47" i="41"/>
  <c r="F47" i="41" s="1"/>
  <c r="I48" i="41"/>
  <c r="F48" i="41" s="1"/>
  <c r="I49" i="41"/>
  <c r="F49" i="41" s="1"/>
  <c r="I57" i="41"/>
  <c r="F57" i="41" s="1"/>
  <c r="I36" i="41"/>
  <c r="F36" i="41" s="1"/>
  <c r="I37" i="41"/>
  <c r="F37" i="41" s="1"/>
  <c r="I38" i="41"/>
  <c r="F38" i="41"/>
  <c r="I39" i="41"/>
  <c r="F39" i="41" s="1"/>
  <c r="I40" i="41"/>
  <c r="F40" i="41" s="1"/>
  <c r="I42" i="41"/>
  <c r="F42" i="41" s="1"/>
  <c r="M42" i="44"/>
  <c r="L42" i="44"/>
  <c r="M40" i="44"/>
  <c r="L40" i="44"/>
  <c r="M36" i="44"/>
  <c r="L36" i="44"/>
  <c r="M34" i="44"/>
  <c r="L34" i="44"/>
  <c r="M33" i="44"/>
  <c r="L33" i="44"/>
  <c r="M32" i="44"/>
  <c r="L32" i="44"/>
  <c r="M30" i="44"/>
  <c r="L30" i="44"/>
  <c r="M28" i="44"/>
  <c r="L28" i="44"/>
  <c r="L22" i="44"/>
  <c r="K18" i="44"/>
  <c r="K10" i="44"/>
  <c r="L37" i="13"/>
  <c r="L38" i="13"/>
  <c r="L39" i="13"/>
  <c r="L40" i="13"/>
  <c r="L41" i="13"/>
  <c r="L42" i="13"/>
  <c r="L44" i="13" s="1"/>
  <c r="L46" i="13" s="1"/>
  <c r="L36" i="13"/>
  <c r="I30" i="35"/>
  <c r="I31" i="35"/>
  <c r="I32" i="35"/>
  <c r="I36" i="35" s="1"/>
  <c r="I33" i="35"/>
  <c r="I34" i="35"/>
  <c r="I35" i="35"/>
  <c r="J75" i="3"/>
  <c r="L75" i="3"/>
  <c r="O75" i="3"/>
  <c r="J54" i="41"/>
  <c r="J57" i="41"/>
  <c r="J58" i="41"/>
  <c r="K57" i="41"/>
  <c r="K58" i="41"/>
  <c r="L57" i="41"/>
  <c r="M57" i="41"/>
  <c r="M58" i="41"/>
  <c r="N57" i="41"/>
  <c r="N58" i="41"/>
  <c r="O57" i="41"/>
  <c r="O59" i="41" s="1"/>
  <c r="O58" i="41"/>
  <c r="J34" i="41"/>
  <c r="K34" i="41"/>
  <c r="L34" i="41"/>
  <c r="M34" i="41"/>
  <c r="N34" i="41"/>
  <c r="O34" i="41"/>
  <c r="J35" i="41"/>
  <c r="K35" i="41"/>
  <c r="L35" i="41"/>
  <c r="M35" i="41"/>
  <c r="N35" i="41"/>
  <c r="O35" i="41"/>
  <c r="J36" i="41"/>
  <c r="K36" i="41"/>
  <c r="L36" i="41"/>
  <c r="M36" i="41"/>
  <c r="N36" i="41"/>
  <c r="O36" i="41"/>
  <c r="J37" i="41"/>
  <c r="K37" i="41"/>
  <c r="L37" i="41"/>
  <c r="M37" i="41"/>
  <c r="N37" i="41"/>
  <c r="O37" i="41"/>
  <c r="J38" i="41"/>
  <c r="K38" i="41"/>
  <c r="L38" i="41"/>
  <c r="M38" i="41"/>
  <c r="N38" i="41"/>
  <c r="O38" i="41"/>
  <c r="J39" i="41"/>
  <c r="K39" i="41"/>
  <c r="L39" i="41"/>
  <c r="M39" i="41"/>
  <c r="N39" i="41"/>
  <c r="O39" i="41"/>
  <c r="J40" i="41"/>
  <c r="K40" i="41"/>
  <c r="L40" i="41"/>
  <c r="M40" i="41"/>
  <c r="N40" i="41"/>
  <c r="O40" i="41"/>
  <c r="J41" i="41"/>
  <c r="K41" i="41"/>
  <c r="L41" i="41"/>
  <c r="M41" i="41"/>
  <c r="N41" i="41"/>
  <c r="O41" i="41"/>
  <c r="J42" i="41"/>
  <c r="K42" i="41"/>
  <c r="L42" i="41"/>
  <c r="M42" i="41"/>
  <c r="N42" i="41"/>
  <c r="O42" i="41"/>
  <c r="J43" i="41"/>
  <c r="K43" i="41"/>
  <c r="M43" i="41"/>
  <c r="N43" i="41"/>
  <c r="O43" i="41"/>
  <c r="J44" i="41"/>
  <c r="K44" i="41"/>
  <c r="L44" i="41"/>
  <c r="M44" i="41"/>
  <c r="N44" i="41"/>
  <c r="O44" i="41"/>
  <c r="J45" i="41"/>
  <c r="K45" i="41"/>
  <c r="L45" i="41"/>
  <c r="M45" i="41"/>
  <c r="N45" i="41"/>
  <c r="O45" i="41"/>
  <c r="J46" i="41"/>
  <c r="K46" i="41"/>
  <c r="L46" i="41"/>
  <c r="M46" i="41"/>
  <c r="N46" i="41"/>
  <c r="O46" i="41"/>
  <c r="J47" i="41"/>
  <c r="K47" i="41"/>
  <c r="L47" i="41"/>
  <c r="M47" i="41"/>
  <c r="N47" i="41"/>
  <c r="O47" i="41"/>
  <c r="J48" i="41"/>
  <c r="K48" i="41"/>
  <c r="L48" i="41"/>
  <c r="M48" i="41"/>
  <c r="N48" i="41"/>
  <c r="O48" i="41"/>
  <c r="J49" i="41"/>
  <c r="K49" i="41"/>
  <c r="L49" i="41"/>
  <c r="M49" i="41"/>
  <c r="N49" i="41"/>
  <c r="O49" i="41"/>
  <c r="J50" i="41"/>
  <c r="K50" i="41"/>
  <c r="M50" i="41"/>
  <c r="N50" i="41"/>
  <c r="O50" i="41"/>
  <c r="J51" i="41"/>
  <c r="K51" i="41"/>
  <c r="L51" i="41"/>
  <c r="M51" i="41"/>
  <c r="N51" i="41"/>
  <c r="O51" i="41"/>
  <c r="J52" i="41"/>
  <c r="K52" i="41"/>
  <c r="L52" i="41"/>
  <c r="M52" i="41"/>
  <c r="N52" i="41"/>
  <c r="O52" i="41"/>
  <c r="J53" i="41"/>
  <c r="K53" i="41"/>
  <c r="L53" i="41"/>
  <c r="M53" i="41"/>
  <c r="N53" i="41"/>
  <c r="O53" i="41"/>
  <c r="J33" i="41"/>
  <c r="K33" i="41"/>
  <c r="L33" i="41"/>
  <c r="M33" i="41"/>
  <c r="N33" i="41"/>
  <c r="O33" i="41"/>
  <c r="J25" i="28"/>
  <c r="J31" i="28" s="1"/>
  <c r="J25" i="37"/>
  <c r="J31" i="37" s="1"/>
  <c r="D136" i="40"/>
  <c r="C136" i="40"/>
  <c r="D135" i="40"/>
  <c r="C135" i="40"/>
  <c r="D134" i="40"/>
  <c r="C134" i="40"/>
  <c r="D133" i="40"/>
  <c r="C133" i="40"/>
  <c r="D132" i="40"/>
  <c r="C132" i="40"/>
  <c r="D131" i="40"/>
  <c r="C131" i="40"/>
  <c r="D130" i="40"/>
  <c r="C130" i="40"/>
  <c r="D129" i="40"/>
  <c r="C129" i="40"/>
  <c r="D128" i="40"/>
  <c r="C128" i="40"/>
  <c r="D127" i="40"/>
  <c r="C127" i="40"/>
  <c r="D126" i="40"/>
  <c r="C126" i="40"/>
  <c r="D125" i="40"/>
  <c r="F8" i="40" s="1"/>
  <c r="C125" i="40"/>
  <c r="D124" i="40"/>
  <c r="C124" i="40"/>
  <c r="D123" i="40"/>
  <c r="C123" i="40"/>
  <c r="D122" i="40"/>
  <c r="C122" i="40"/>
  <c r="D121" i="40"/>
  <c r="F7" i="40" s="1"/>
  <c r="C121" i="40"/>
  <c r="D120" i="40"/>
  <c r="C120" i="40"/>
  <c r="D119" i="40"/>
  <c r="C119" i="40"/>
  <c r="D118" i="40"/>
  <c r="C118" i="40"/>
  <c r="D117" i="40"/>
  <c r="F6" i="40" s="1"/>
  <c r="C117" i="40"/>
  <c r="D116" i="40"/>
  <c r="C116" i="40"/>
  <c r="D115" i="40"/>
  <c r="C115" i="40"/>
  <c r="D114" i="40"/>
  <c r="C114" i="40"/>
  <c r="D113" i="40"/>
  <c r="C113" i="40"/>
  <c r="D112" i="40"/>
  <c r="C112" i="40"/>
  <c r="D111" i="40"/>
  <c r="C111" i="40"/>
  <c r="D110" i="40"/>
  <c r="C110" i="40"/>
  <c r="D109" i="40"/>
  <c r="C109" i="40"/>
  <c r="D108" i="40"/>
  <c r="C108" i="40"/>
  <c r="D107" i="40"/>
  <c r="C107" i="40"/>
  <c r="D106" i="40"/>
  <c r="C106" i="40"/>
  <c r="D105" i="40"/>
  <c r="C105" i="40"/>
  <c r="D104" i="40"/>
  <c r="C104" i="40"/>
  <c r="D103" i="40"/>
  <c r="C103" i="40"/>
  <c r="D102" i="40"/>
  <c r="C102" i="40"/>
  <c r="D101" i="40"/>
  <c r="C101" i="40"/>
  <c r="D100" i="40"/>
  <c r="C100" i="40"/>
  <c r="D99" i="40"/>
  <c r="C99" i="40"/>
  <c r="D98" i="40"/>
  <c r="C98" i="40"/>
  <c r="D97" i="40"/>
  <c r="C97" i="40"/>
  <c r="D96" i="40"/>
  <c r="C96" i="40"/>
  <c r="D95" i="40"/>
  <c r="C95" i="40"/>
  <c r="D94" i="40"/>
  <c r="C94" i="40"/>
  <c r="D93" i="40"/>
  <c r="C93" i="40"/>
  <c r="D92" i="40"/>
  <c r="C92" i="40"/>
  <c r="D91" i="40"/>
  <c r="C91" i="40"/>
  <c r="D90" i="40"/>
  <c r="C90" i="40"/>
  <c r="D89" i="40"/>
  <c r="C89" i="40"/>
  <c r="D88" i="40"/>
  <c r="C88" i="40"/>
  <c r="D87" i="40"/>
  <c r="C87" i="40"/>
  <c r="D86" i="40"/>
  <c r="C86" i="40"/>
  <c r="D85" i="40"/>
  <c r="C85" i="40"/>
  <c r="D84" i="40"/>
  <c r="C84" i="40"/>
  <c r="D83" i="40"/>
  <c r="C83" i="40"/>
  <c r="D82" i="40"/>
  <c r="C82" i="40"/>
  <c r="D81" i="40"/>
  <c r="C81" i="40"/>
  <c r="D80" i="40"/>
  <c r="C80" i="40"/>
  <c r="D79" i="40"/>
  <c r="C79" i="40"/>
  <c r="D78" i="40"/>
  <c r="C78" i="40"/>
  <c r="D77" i="40"/>
  <c r="C77" i="40"/>
  <c r="E8" i="40"/>
  <c r="D8" i="40"/>
  <c r="E7" i="40"/>
  <c r="E6" i="40"/>
  <c r="E5" i="40"/>
  <c r="D5" i="40"/>
  <c r="D64" i="37" s="1"/>
  <c r="J103" i="3"/>
  <c r="J43" i="28" s="1"/>
  <c r="J12" i="41" s="1"/>
  <c r="L25" i="35"/>
  <c r="O25" i="35" s="1"/>
  <c r="N26" i="35"/>
  <c r="N27" i="35" s="1"/>
  <c r="K26" i="35"/>
  <c r="M26" i="35"/>
  <c r="L26" i="35"/>
  <c r="J26" i="35"/>
  <c r="I24" i="35" a="1"/>
  <c r="I24" i="35" s="1"/>
  <c r="I27" i="35" s="1"/>
  <c r="O90" i="3" s="1"/>
  <c r="G23" i="39"/>
  <c r="AA20" i="13" s="1"/>
  <c r="U20" i="13" s="1"/>
  <c r="G26" i="39"/>
  <c r="AA23" i="13" s="1"/>
  <c r="U23" i="13" s="1"/>
  <c r="G28" i="39"/>
  <c r="AA25" i="13"/>
  <c r="U25" i="13" s="1"/>
  <c r="G32" i="39"/>
  <c r="AA29" i="13" s="1"/>
  <c r="U29" i="13" s="1"/>
  <c r="K19" i="35"/>
  <c r="L19" i="35"/>
  <c r="L20" i="35" s="1"/>
  <c r="I90" i="3" s="1"/>
  <c r="I103" i="3" s="1"/>
  <c r="K18" i="35"/>
  <c r="M18" i="35" s="1"/>
  <c r="K17" i="35"/>
  <c r="K20" i="35"/>
  <c r="K10" i="35"/>
  <c r="G119" i="39"/>
  <c r="G85" i="39"/>
  <c r="G68" i="39"/>
  <c r="G51" i="39"/>
  <c r="H114" i="39"/>
  <c r="H113" i="39"/>
  <c r="H112" i="39"/>
  <c r="H111" i="39"/>
  <c r="H110" i="39"/>
  <c r="H109" i="39"/>
  <c r="H101" i="39"/>
  <c r="H100" i="39"/>
  <c r="H99" i="39"/>
  <c r="H98" i="39"/>
  <c r="H97" i="39"/>
  <c r="H96" i="39"/>
  <c r="H93" i="39"/>
  <c r="H92" i="39"/>
  <c r="H91" i="39"/>
  <c r="H90" i="39"/>
  <c r="H84" i="39"/>
  <c r="H83" i="39"/>
  <c r="H82" i="39"/>
  <c r="H81" i="39"/>
  <c r="H80" i="39"/>
  <c r="H79" i="39"/>
  <c r="H78" i="39"/>
  <c r="H76" i="39"/>
  <c r="H75" i="39"/>
  <c r="H74" i="39"/>
  <c r="H73" i="39"/>
  <c r="H67" i="39"/>
  <c r="H66" i="39"/>
  <c r="H64" i="39"/>
  <c r="H63" i="39"/>
  <c r="H62" i="39"/>
  <c r="H61" i="39"/>
  <c r="H60" i="39"/>
  <c r="H59" i="39"/>
  <c r="H58" i="39"/>
  <c r="H56" i="39"/>
  <c r="H45" i="39"/>
  <c r="H44" i="39"/>
  <c r="H43" i="39"/>
  <c r="V7" i="39"/>
  <c r="U7" i="39"/>
  <c r="T7" i="39"/>
  <c r="S7" i="39"/>
  <c r="P6" i="39"/>
  <c r="O6" i="39"/>
  <c r="N6" i="39"/>
  <c r="M6" i="39"/>
  <c r="G16" i="39"/>
  <c r="G15" i="39"/>
  <c r="G14" i="39"/>
  <c r="G13" i="39"/>
  <c r="E13" i="39"/>
  <c r="G12" i="39"/>
  <c r="E12" i="39"/>
  <c r="D12" i="39"/>
  <c r="G11" i="39"/>
  <c r="F11" i="39"/>
  <c r="E11" i="39"/>
  <c r="D11" i="39"/>
  <c r="F10" i="39"/>
  <c r="E10" i="39"/>
  <c r="D10" i="39"/>
  <c r="G9" i="39"/>
  <c r="G8" i="39"/>
  <c r="E8" i="39"/>
  <c r="D8" i="39"/>
  <c r="G7" i="39"/>
  <c r="E7" i="39"/>
  <c r="D7" i="39"/>
  <c r="G6" i="39"/>
  <c r="E6" i="39"/>
  <c r="D6" i="39"/>
  <c r="G5" i="39"/>
  <c r="D5" i="39"/>
  <c r="E108" i="39"/>
  <c r="E23" i="39" s="1"/>
  <c r="E107" i="39"/>
  <c r="D107" i="39"/>
  <c r="D22" i="39" s="1"/>
  <c r="X19" i="13" s="1"/>
  <c r="G95" i="39"/>
  <c r="G10" i="39" s="1"/>
  <c r="D102" i="39"/>
  <c r="E16" i="39"/>
  <c r="F13" i="39"/>
  <c r="G33" i="39"/>
  <c r="AA30" i="13" s="1"/>
  <c r="G31" i="39"/>
  <c r="AA28" i="13" s="1"/>
  <c r="U28" i="13" s="1"/>
  <c r="G30" i="39"/>
  <c r="AA27" i="13" s="1"/>
  <c r="U27" i="13" s="1"/>
  <c r="G29" i="39"/>
  <c r="AA26" i="13" s="1"/>
  <c r="G25" i="39"/>
  <c r="AA22" i="13"/>
  <c r="U22" i="13" s="1"/>
  <c r="G24" i="39"/>
  <c r="AA21" i="13" s="1"/>
  <c r="U21" i="13" s="1"/>
  <c r="G22" i="39"/>
  <c r="L24" i="35"/>
  <c r="F6" i="39"/>
  <c r="D13" i="39"/>
  <c r="E15" i="39"/>
  <c r="H41" i="39"/>
  <c r="F8" i="39"/>
  <c r="X28" i="37" a="1"/>
  <c r="X28" i="37" s="1"/>
  <c r="U28" i="37" a="1"/>
  <c r="X5" i="37" a="1"/>
  <c r="X22" i="37" s="1"/>
  <c r="X39" i="37" s="1"/>
  <c r="U5" i="37" a="1"/>
  <c r="U5" i="37" s="1"/>
  <c r="U6" i="28"/>
  <c r="V7" i="28"/>
  <c r="U10" i="28"/>
  <c r="V11" i="28"/>
  <c r="U14" i="28"/>
  <c r="V15" i="28"/>
  <c r="U18" i="28"/>
  <c r="V19" i="28"/>
  <c r="AB19" i="28" s="1"/>
  <c r="U22" i="28"/>
  <c r="V23" i="28"/>
  <c r="U26" i="28"/>
  <c r="X5" i="28"/>
  <c r="Y6" i="28"/>
  <c r="X9" i="28"/>
  <c r="Y10" i="28"/>
  <c r="AB10" i="28" s="1"/>
  <c r="X13" i="28"/>
  <c r="Y14" i="28"/>
  <c r="X17" i="28"/>
  <c r="Y18" i="28"/>
  <c r="X21" i="28"/>
  <c r="Y22" i="28"/>
  <c r="X25" i="28"/>
  <c r="Y26" i="28"/>
  <c r="AB26" i="28" s="1"/>
  <c r="AB42" i="28" s="1"/>
  <c r="U5" i="28"/>
  <c r="V10" i="28"/>
  <c r="U13" i="28"/>
  <c r="V14" i="28"/>
  <c r="U17" i="28"/>
  <c r="V18" i="28"/>
  <c r="U21" i="28"/>
  <c r="V22" i="28"/>
  <c r="V39" i="28" s="1"/>
  <c r="U25" i="28"/>
  <c r="V26" i="28"/>
  <c r="Y5" i="28"/>
  <c r="X8" i="28"/>
  <c r="Y9" i="28"/>
  <c r="X12" i="28"/>
  <c r="Y13" i="28"/>
  <c r="X16" i="28"/>
  <c r="Y17" i="28"/>
  <c r="X20" i="28"/>
  <c r="Y21" i="28"/>
  <c r="X24" i="28"/>
  <c r="Y25" i="28"/>
  <c r="V28" i="28"/>
  <c r="V30" i="28" s="1"/>
  <c r="U7" i="28"/>
  <c r="V8" i="28"/>
  <c r="AB8" i="28" s="1"/>
  <c r="U11" i="28"/>
  <c r="V12" i="28"/>
  <c r="U15" i="28"/>
  <c r="V16" i="28"/>
  <c r="AB16" i="28" s="1"/>
  <c r="U19" i="28"/>
  <c r="V20" i="28"/>
  <c r="U23" i="28"/>
  <c r="V24" i="28"/>
  <c r="X6" i="28"/>
  <c r="Y11" i="28"/>
  <c r="X14" i="28"/>
  <c r="Y15" i="28"/>
  <c r="AB15" i="28" s="1"/>
  <c r="X18" i="28"/>
  <c r="Y19" i="28"/>
  <c r="X22" i="28"/>
  <c r="X39" i="28" s="1"/>
  <c r="Y23" i="28"/>
  <c r="Y40" i="28" s="1"/>
  <c r="X26" i="28"/>
  <c r="V6" i="28"/>
  <c r="U9" i="28"/>
  <c r="V5" i="28"/>
  <c r="AB5" i="28" s="1"/>
  <c r="U8" i="28"/>
  <c r="V9" i="28"/>
  <c r="U12" i="28"/>
  <c r="AA12" i="28" s="1"/>
  <c r="V13" i="28"/>
  <c r="V41" i="28" s="1"/>
  <c r="U16" i="28"/>
  <c r="V17" i="28"/>
  <c r="U20" i="28"/>
  <c r="V21" i="28"/>
  <c r="AB21" i="28" s="1"/>
  <c r="U24" i="28"/>
  <c r="V25" i="28"/>
  <c r="X7" i="28"/>
  <c r="Y8" i="28"/>
  <c r="X11" i="28"/>
  <c r="Y12" i="28"/>
  <c r="X15" i="28"/>
  <c r="Y16" i="28"/>
  <c r="X19" i="28"/>
  <c r="Y20" i="28"/>
  <c r="X23" i="28"/>
  <c r="X40" i="28" s="1"/>
  <c r="Y24" i="28"/>
  <c r="Y7" i="28"/>
  <c r="X10" i="28"/>
  <c r="Z28" i="37"/>
  <c r="M53" i="13"/>
  <c r="M52" i="13"/>
  <c r="V70" i="28"/>
  <c r="V69" i="28"/>
  <c r="V76" i="28"/>
  <c r="V73" i="28"/>
  <c r="V75" i="28"/>
  <c r="V71" i="28"/>
  <c r="V74" i="28"/>
  <c r="V76" i="37"/>
  <c r="V75" i="37"/>
  <c r="V74" i="37"/>
  <c r="V73" i="37"/>
  <c r="V72" i="37"/>
  <c r="V71" i="37"/>
  <c r="V70" i="37"/>
  <c r="V69" i="37"/>
  <c r="W54" i="37"/>
  <c r="V54" i="37"/>
  <c r="U54" i="37"/>
  <c r="C25" i="37"/>
  <c r="C24" i="37"/>
  <c r="C23" i="37"/>
  <c r="C22" i="37"/>
  <c r="C21" i="37"/>
  <c r="C20" i="37"/>
  <c r="C19" i="37"/>
  <c r="C18" i="37"/>
  <c r="C17" i="37"/>
  <c r="C16" i="37"/>
  <c r="C15" i="37"/>
  <c r="C14" i="37"/>
  <c r="C13" i="37"/>
  <c r="C12" i="37"/>
  <c r="C11" i="37"/>
  <c r="C10" i="37"/>
  <c r="C9" i="37"/>
  <c r="C8" i="37"/>
  <c r="C7" i="37"/>
  <c r="C6" i="37"/>
  <c r="C5" i="37"/>
  <c r="C4" i="37"/>
  <c r="C3" i="37"/>
  <c r="I1" i="37"/>
  <c r="J1" i="37" s="1"/>
  <c r="K1" i="37"/>
  <c r="L1" i="37" s="1"/>
  <c r="M1" i="37" s="1"/>
  <c r="N1" i="37" s="1"/>
  <c r="E1" i="37"/>
  <c r="F1" i="37" s="1"/>
  <c r="D9" i="35"/>
  <c r="E9" i="35"/>
  <c r="F9" i="35"/>
  <c r="J10" i="35"/>
  <c r="M10" i="35" s="1"/>
  <c r="V40" i="28"/>
  <c r="Y39" i="28"/>
  <c r="V54" i="28"/>
  <c r="Z52" i="28" s="1"/>
  <c r="U54" i="28"/>
  <c r="AC52" i="28" s="1"/>
  <c r="F83" i="3"/>
  <c r="K83" i="3"/>
  <c r="L83" i="3"/>
  <c r="N83" i="3"/>
  <c r="M83" i="3"/>
  <c r="F84" i="3"/>
  <c r="K84" i="3"/>
  <c r="L84" i="3"/>
  <c r="N84" i="3"/>
  <c r="M84" i="3"/>
  <c r="O84" i="3"/>
  <c r="F85" i="3"/>
  <c r="K85" i="3"/>
  <c r="L85" i="3"/>
  <c r="N85" i="3"/>
  <c r="M85" i="3"/>
  <c r="O85" i="3"/>
  <c r="F86" i="3"/>
  <c r="K86" i="3"/>
  <c r="M86" i="3"/>
  <c r="N86" i="3"/>
  <c r="O86" i="3"/>
  <c r="I86" i="3"/>
  <c r="F87" i="3"/>
  <c r="L87" i="3"/>
  <c r="N87" i="3"/>
  <c r="M87" i="3"/>
  <c r="O87" i="3"/>
  <c r="J84" i="3"/>
  <c r="J86" i="3"/>
  <c r="I83" i="3"/>
  <c r="C19" i="28"/>
  <c r="C20" i="28"/>
  <c r="C21" i="28"/>
  <c r="C22" i="28"/>
  <c r="C23" i="28"/>
  <c r="C24" i="28"/>
  <c r="C25" i="28"/>
  <c r="C4" i="28"/>
  <c r="C5" i="28"/>
  <c r="C6" i="28"/>
  <c r="C7" i="28"/>
  <c r="C8" i="28"/>
  <c r="C9" i="28"/>
  <c r="C10" i="28"/>
  <c r="C11" i="28"/>
  <c r="C12" i="28"/>
  <c r="C13" i="28"/>
  <c r="C14" i="28"/>
  <c r="C15" i="28"/>
  <c r="C16" i="28"/>
  <c r="C17" i="28"/>
  <c r="C18" i="28"/>
  <c r="C3" i="28"/>
  <c r="V42" i="28"/>
  <c r="X42" i="28"/>
  <c r="Y41" i="28"/>
  <c r="Y36" i="28"/>
  <c r="AB6" i="28"/>
  <c r="AB7" i="28"/>
  <c r="AB25" i="28"/>
  <c r="E23" i="28" s="1"/>
  <c r="D53" i="41" s="1"/>
  <c r="AB24" i="28"/>
  <c r="AB20" i="28"/>
  <c r="AB18" i="28"/>
  <c r="AB17" i="28"/>
  <c r="AB13" i="28"/>
  <c r="E11" i="28" s="1"/>
  <c r="D41" i="41" s="1"/>
  <c r="AB12" i="28"/>
  <c r="AB11" i="28"/>
  <c r="AB9" i="28"/>
  <c r="E1" i="28"/>
  <c r="F1" i="28" s="1"/>
  <c r="I1" i="28"/>
  <c r="J1" i="28" s="1"/>
  <c r="K1" i="28" s="1"/>
  <c r="L1" i="28" s="1"/>
  <c r="M1" i="28" s="1"/>
  <c r="N1" i="28" s="1"/>
  <c r="J71" i="3"/>
  <c r="J97" i="3" s="1"/>
  <c r="K71" i="3"/>
  <c r="K97" i="3" s="1"/>
  <c r="L71" i="3"/>
  <c r="L97" i="3" s="1"/>
  <c r="M71" i="3"/>
  <c r="M97" i="3" s="1"/>
  <c r="N71" i="3"/>
  <c r="N97" i="3" s="1"/>
  <c r="N65" i="48" s="1"/>
  <c r="O71" i="3"/>
  <c r="O97" i="3" s="1"/>
  <c r="E20" i="27"/>
  <c r="F20" i="27" s="1"/>
  <c r="G20" i="27" s="1"/>
  <c r="H20" i="27" s="1"/>
  <c r="E19" i="27"/>
  <c r="F19" i="27" s="1"/>
  <c r="G19" i="27" s="1"/>
  <c r="H19" i="27" s="1"/>
  <c r="E18" i="27"/>
  <c r="F18" i="27" s="1"/>
  <c r="G18" i="27" s="1"/>
  <c r="H18" i="27" s="1"/>
  <c r="E17" i="27"/>
  <c r="F17" i="27" s="1"/>
  <c r="G17" i="27" s="1"/>
  <c r="E16" i="27"/>
  <c r="F16" i="27" s="1"/>
  <c r="H15" i="27"/>
  <c r="E14" i="27"/>
  <c r="F14" i="27" s="1"/>
  <c r="G14" i="27" s="1"/>
  <c r="H14" i="27" s="1"/>
  <c r="E13" i="27"/>
  <c r="F13" i="27"/>
  <c r="G13" i="27" s="1"/>
  <c r="E10" i="27"/>
  <c r="F10" i="27" s="1"/>
  <c r="G10" i="27" s="1"/>
  <c r="H10" i="27" s="1"/>
  <c r="E9" i="27"/>
  <c r="F9" i="27" s="1"/>
  <c r="G9" i="27" s="1"/>
  <c r="E8" i="27"/>
  <c r="F8" i="27" s="1"/>
  <c r="E7" i="27"/>
  <c r="F7" i="27" s="1"/>
  <c r="G7" i="27" s="1"/>
  <c r="H7" i="27" s="1"/>
  <c r="G16" i="27"/>
  <c r="E11" i="27"/>
  <c r="F11" i="27" s="1"/>
  <c r="E12" i="27"/>
  <c r="F12" i="27"/>
  <c r="G12" i="27" s="1"/>
  <c r="H12" i="27" s="1"/>
  <c r="E23" i="27"/>
  <c r="F23" i="27" s="1"/>
  <c r="G23" i="27" s="1"/>
  <c r="H23" i="27" s="1"/>
  <c r="E24" i="27"/>
  <c r="F24" i="27" s="1"/>
  <c r="G24" i="27" s="1"/>
  <c r="H24" i="27" s="1"/>
  <c r="E21" i="27"/>
  <c r="F21" i="27"/>
  <c r="E22" i="27"/>
  <c r="F22" i="27" s="1"/>
  <c r="G22" i="27" s="1"/>
  <c r="H22" i="27" s="1"/>
  <c r="J66" i="3"/>
  <c r="J70" i="3"/>
  <c r="K59" i="3"/>
  <c r="K65" i="3"/>
  <c r="K66" i="3"/>
  <c r="L65" i="3"/>
  <c r="L66" i="3"/>
  <c r="L70" i="3"/>
  <c r="M59" i="3"/>
  <c r="M65" i="3"/>
  <c r="M66" i="3"/>
  <c r="M70" i="3"/>
  <c r="N59" i="3"/>
  <c r="N65" i="3"/>
  <c r="N66" i="3"/>
  <c r="N70" i="3"/>
  <c r="O59" i="3"/>
  <c r="O65" i="3"/>
  <c r="O66" i="3"/>
  <c r="O70" i="3"/>
  <c r="J63" i="3"/>
  <c r="K63" i="3"/>
  <c r="L63" i="3"/>
  <c r="N63" i="3"/>
  <c r="J61" i="3"/>
  <c r="K61" i="3"/>
  <c r="L61" i="3"/>
  <c r="M61" i="3"/>
  <c r="N61" i="3"/>
  <c r="O61" i="3"/>
  <c r="K58" i="3"/>
  <c r="L58" i="3"/>
  <c r="M58" i="3"/>
  <c r="N58" i="3"/>
  <c r="E57" i="3"/>
  <c r="J57" i="3"/>
  <c r="K57" i="3"/>
  <c r="M57" i="3"/>
  <c r="N57" i="3"/>
  <c r="O57" i="3"/>
  <c r="K67" i="3"/>
  <c r="L67" i="3"/>
  <c r="M67" i="3"/>
  <c r="J55" i="3"/>
  <c r="K55" i="3"/>
  <c r="L55" i="3"/>
  <c r="M55" i="3"/>
  <c r="N55" i="3"/>
  <c r="O55" i="3"/>
  <c r="J56" i="3"/>
  <c r="J60" i="3"/>
  <c r="J68" i="3"/>
  <c r="K56" i="3"/>
  <c r="K60" i="3"/>
  <c r="K62" i="3"/>
  <c r="K64" i="3"/>
  <c r="K69" i="3"/>
  <c r="L56" i="3"/>
  <c r="L13" i="37" s="1"/>
  <c r="L62" i="3"/>
  <c r="L68" i="3"/>
  <c r="L69" i="3"/>
  <c r="M60" i="3"/>
  <c r="M62" i="3"/>
  <c r="M64" i="3"/>
  <c r="M68" i="3"/>
  <c r="M69" i="3"/>
  <c r="N56" i="3"/>
  <c r="N60" i="3"/>
  <c r="N64" i="3"/>
  <c r="N68" i="3"/>
  <c r="N69" i="3"/>
  <c r="O56" i="3"/>
  <c r="O62" i="3"/>
  <c r="O64" i="3"/>
  <c r="O69" i="3"/>
  <c r="J74" i="3"/>
  <c r="K74" i="3"/>
  <c r="L74" i="3"/>
  <c r="M74" i="3"/>
  <c r="N74" i="3"/>
  <c r="O74" i="3"/>
  <c r="J77" i="3"/>
  <c r="J79" i="3"/>
  <c r="K77" i="3"/>
  <c r="K79" i="3"/>
  <c r="L77" i="3"/>
  <c r="L79" i="3"/>
  <c r="M77" i="3"/>
  <c r="M79" i="3"/>
  <c r="N79" i="3"/>
  <c r="O77" i="3"/>
  <c r="O79" i="3"/>
  <c r="K78" i="3"/>
  <c r="K14" i="48" s="1"/>
  <c r="K19" i="48" s="1"/>
  <c r="L78" i="3"/>
  <c r="L14" i="48" s="1"/>
  <c r="M78" i="3"/>
  <c r="M14" i="48" s="1"/>
  <c r="M19" i="48" s="1"/>
  <c r="O78" i="3"/>
  <c r="O14" i="48" s="1"/>
  <c r="O19" i="48" s="1"/>
  <c r="J76" i="3"/>
  <c r="K76" i="3"/>
  <c r="L76" i="3"/>
  <c r="M76" i="3"/>
  <c r="N76" i="3"/>
  <c r="J80" i="3"/>
  <c r="K80" i="3"/>
  <c r="L80" i="3"/>
  <c r="M80" i="3"/>
  <c r="N80" i="3"/>
  <c r="O80" i="3"/>
  <c r="J73" i="3"/>
  <c r="J98" i="3" s="1"/>
  <c r="J66" i="48" s="1"/>
  <c r="K73" i="3"/>
  <c r="K98" i="3" s="1"/>
  <c r="K66" i="48" s="1"/>
  <c r="L73" i="3"/>
  <c r="L98" i="3" s="1"/>
  <c r="M73" i="3"/>
  <c r="M98" i="3" s="1"/>
  <c r="N73" i="3"/>
  <c r="N98" i="3" s="1"/>
  <c r="N66" i="48" s="1"/>
  <c r="O73" i="3"/>
  <c r="O98" i="3" s="1"/>
  <c r="J72" i="3"/>
  <c r="J99" i="3" s="1"/>
  <c r="J67" i="48" s="1"/>
  <c r="K72" i="3"/>
  <c r="K99" i="3" s="1"/>
  <c r="L72" i="3"/>
  <c r="L29" i="37" s="1"/>
  <c r="S44" i="3"/>
  <c r="N72" i="3"/>
  <c r="N99" i="3" s="1"/>
  <c r="N67" i="48" s="1"/>
  <c r="O72" i="3"/>
  <c r="O99" i="3" s="1"/>
  <c r="AD7" i="3"/>
  <c r="AE5" i="3" s="1"/>
  <c r="R5" i="20"/>
  <c r="S5" i="20"/>
  <c r="T5" i="20"/>
  <c r="R6" i="20"/>
  <c r="S6" i="20"/>
  <c r="T6" i="20"/>
  <c r="R7" i="20"/>
  <c r="S7" i="20"/>
  <c r="T7" i="20"/>
  <c r="R8" i="20"/>
  <c r="S8" i="20"/>
  <c r="T8" i="20"/>
  <c r="R9" i="20"/>
  <c r="S9" i="20"/>
  <c r="T9" i="20"/>
  <c r="R10" i="20"/>
  <c r="S10" i="20"/>
  <c r="T10" i="20"/>
  <c r="U10" i="20"/>
  <c r="R11" i="20"/>
  <c r="S11" i="20"/>
  <c r="T11" i="20"/>
  <c r="R12" i="20"/>
  <c r="S12" i="20"/>
  <c r="T12" i="20"/>
  <c r="R13" i="20"/>
  <c r="S13" i="20"/>
  <c r="T13" i="20"/>
  <c r="E75" i="3"/>
  <c r="L57" i="3"/>
  <c r="O58" i="3"/>
  <c r="E63" i="3"/>
  <c r="L59" i="3"/>
  <c r="J59" i="3"/>
  <c r="N75" i="3"/>
  <c r="J65" i="3"/>
  <c r="M75" i="3"/>
  <c r="K75" i="3"/>
  <c r="O60" i="3"/>
  <c r="L64" i="3"/>
  <c r="J64" i="3"/>
  <c r="J58" i="3"/>
  <c r="N67" i="3"/>
  <c r="F97" i="3"/>
  <c r="I75" i="3"/>
  <c r="N78" i="3"/>
  <c r="N14" i="48" s="1"/>
  <c r="N19" i="48" s="1"/>
  <c r="O68" i="3"/>
  <c r="K68" i="3"/>
  <c r="J62" i="3"/>
  <c r="E62" i="3"/>
  <c r="O67" i="3"/>
  <c r="O63" i="3"/>
  <c r="H17" i="27"/>
  <c r="H13" i="27"/>
  <c r="G21" i="27"/>
  <c r="G11" i="27"/>
  <c r="H11" i="27" s="1"/>
  <c r="H9" i="27"/>
  <c r="H16" i="27"/>
  <c r="H21" i="27"/>
  <c r="W94" i="37"/>
  <c r="X94" i="37" s="1"/>
  <c r="E22" i="28"/>
  <c r="D52" i="41" s="1"/>
  <c r="O38" i="37" l="1"/>
  <c r="O66" i="48"/>
  <c r="J37" i="28"/>
  <c r="J8" i="41" s="1"/>
  <c r="J65" i="48"/>
  <c r="AC91" i="28"/>
  <c r="F79" i="48"/>
  <c r="AC90" i="48"/>
  <c r="M37" i="28"/>
  <c r="M8" i="41" s="1"/>
  <c r="M65" i="48"/>
  <c r="O39" i="28"/>
  <c r="O10" i="41" s="1"/>
  <c r="O67" i="48"/>
  <c r="K39" i="37"/>
  <c r="K67" i="48"/>
  <c r="M38" i="37"/>
  <c r="M66" i="48"/>
  <c r="L37" i="28"/>
  <c r="L8" i="41" s="1"/>
  <c r="L65" i="48"/>
  <c r="X91" i="48"/>
  <c r="F49" i="48"/>
  <c r="L38" i="28"/>
  <c r="L9" i="41" s="1"/>
  <c r="L66" i="48"/>
  <c r="F14" i="48"/>
  <c r="F19" i="48" s="1"/>
  <c r="L19" i="48"/>
  <c r="O37" i="28"/>
  <c r="O8" i="41" s="1"/>
  <c r="O65" i="48"/>
  <c r="K37" i="28"/>
  <c r="K8" i="41" s="1"/>
  <c r="K65" i="48"/>
  <c r="AC93" i="28"/>
  <c r="AC92" i="48"/>
  <c r="W92" i="48" s="1"/>
  <c r="F57" i="48" s="1"/>
  <c r="F67" i="48" s="1"/>
  <c r="F81" i="48" s="1"/>
  <c r="F68" i="39"/>
  <c r="F7" i="39"/>
  <c r="H7" i="39" s="1"/>
  <c r="Y21" i="37"/>
  <c r="AB23" i="28"/>
  <c r="AB40" i="28" s="1"/>
  <c r="V36" i="28"/>
  <c r="Y42" i="28"/>
  <c r="Y6" i="37"/>
  <c r="Z14" i="37"/>
  <c r="Z12" i="37"/>
  <c r="X41" i="28"/>
  <c r="X36" i="28"/>
  <c r="V37" i="28"/>
  <c r="H116" i="39"/>
  <c r="X14" i="37"/>
  <c r="X9" i="37"/>
  <c r="Z15" i="37"/>
  <c r="Z26" i="37"/>
  <c r="Z43" i="37" s="1"/>
  <c r="U41" i="28"/>
  <c r="X8" i="37"/>
  <c r="X7" i="37"/>
  <c r="J43" i="37"/>
  <c r="AE7" i="3"/>
  <c r="AE6" i="3"/>
  <c r="V10" i="37"/>
  <c r="V15" i="37"/>
  <c r="Y28" i="28"/>
  <c r="AA21" i="28"/>
  <c r="D19" i="28" s="1"/>
  <c r="AA10" i="28"/>
  <c r="D14" i="39"/>
  <c r="E26" i="39"/>
  <c r="Y23" i="13" s="1"/>
  <c r="S23" i="13" s="1"/>
  <c r="V17" i="37"/>
  <c r="X28" i="28"/>
  <c r="W15" i="37"/>
  <c r="W8" i="37"/>
  <c r="Z20" i="37"/>
  <c r="D30" i="39"/>
  <c r="X27" i="13" s="1"/>
  <c r="R27" i="13" s="1"/>
  <c r="W10" i="37"/>
  <c r="Y20" i="37"/>
  <c r="X26" i="37"/>
  <c r="X43" i="37" s="1"/>
  <c r="Y37" i="28"/>
  <c r="E9" i="39"/>
  <c r="F12" i="42"/>
  <c r="F19" i="42"/>
  <c r="F15" i="42"/>
  <c r="F23" i="42"/>
  <c r="F3" i="42"/>
  <c r="F45" i="42" s="1"/>
  <c r="F39" i="42"/>
  <c r="F16" i="42"/>
  <c r="F4" i="42"/>
  <c r="I37" i="3"/>
  <c r="I49" i="3" s="1"/>
  <c r="E84" i="3"/>
  <c r="F10" i="42"/>
  <c r="F7" i="42"/>
  <c r="F18" i="42"/>
  <c r="F47" i="42" s="1"/>
  <c r="F14" i="42"/>
  <c r="F22" i="42"/>
  <c r="D22" i="42"/>
  <c r="D11" i="42"/>
  <c r="F8" i="42"/>
  <c r="F21" i="42"/>
  <c r="F49" i="42" s="1"/>
  <c r="D23" i="42"/>
  <c r="E85" i="3"/>
  <c r="E83" i="3"/>
  <c r="J59" i="41"/>
  <c r="F9" i="42"/>
  <c r="F6" i="42"/>
  <c r="F17" i="42"/>
  <c r="F20" i="42"/>
  <c r="F63" i="42" s="1"/>
  <c r="F11" i="42"/>
  <c r="F51" i="42" s="1"/>
  <c r="J37" i="37"/>
  <c r="M37" i="37"/>
  <c r="K94" i="3"/>
  <c r="I56" i="3"/>
  <c r="I13" i="28" s="1"/>
  <c r="I43" i="41" s="1"/>
  <c r="F43" i="41" s="1"/>
  <c r="I80" i="3"/>
  <c r="E74" i="3"/>
  <c r="I62" i="3"/>
  <c r="E64" i="3"/>
  <c r="E55" i="3"/>
  <c r="I67" i="3"/>
  <c r="I58" i="3"/>
  <c r="E61" i="3"/>
  <c r="I63" i="3"/>
  <c r="I65" i="3"/>
  <c r="E59" i="3"/>
  <c r="I85" i="3"/>
  <c r="N94" i="3"/>
  <c r="F37" i="3"/>
  <c r="F49" i="3" s="1"/>
  <c r="L20" i="37"/>
  <c r="L37" i="37"/>
  <c r="L20" i="28"/>
  <c r="L50" i="41" s="1"/>
  <c r="D44" i="3"/>
  <c r="J38" i="28"/>
  <c r="J9" i="41" s="1"/>
  <c r="J38" i="37"/>
  <c r="M44" i="3"/>
  <c r="E72" i="3"/>
  <c r="E99" i="3" s="1"/>
  <c r="I73" i="3"/>
  <c r="I98" i="3" s="1"/>
  <c r="E80" i="3"/>
  <c r="E68" i="3"/>
  <c r="I55" i="3"/>
  <c r="I61" i="3"/>
  <c r="E65" i="3"/>
  <c r="E69" i="3"/>
  <c r="E60" i="3"/>
  <c r="W6" i="3"/>
  <c r="W15" i="3"/>
  <c r="O94" i="3"/>
  <c r="L94" i="3"/>
  <c r="J94" i="3"/>
  <c r="F30" i="3"/>
  <c r="J30" i="3"/>
  <c r="F96" i="3"/>
  <c r="T44" i="3"/>
  <c r="I71" i="3"/>
  <c r="I97" i="3" s="1"/>
  <c r="Q44" i="3"/>
  <c r="H44" i="3"/>
  <c r="I69" i="3"/>
  <c r="I60" i="3"/>
  <c r="D64" i="3"/>
  <c r="E67" i="3"/>
  <c r="E58" i="3"/>
  <c r="I66" i="3"/>
  <c r="E70" i="3"/>
  <c r="I70" i="3"/>
  <c r="E66" i="3"/>
  <c r="O37" i="37"/>
  <c r="R97" i="3"/>
  <c r="R71" i="3"/>
  <c r="K37" i="37"/>
  <c r="L13" i="28"/>
  <c r="L43" i="41" s="1"/>
  <c r="U30" i="3"/>
  <c r="E44" i="3"/>
  <c r="R44" i="3"/>
  <c r="V37" i="3"/>
  <c r="V49" i="3" s="1"/>
  <c r="I72" i="3"/>
  <c r="R65" i="3"/>
  <c r="R59" i="3"/>
  <c r="D87" i="3"/>
  <c r="E94" i="3"/>
  <c r="AB87" i="48" s="1"/>
  <c r="W22" i="3"/>
  <c r="N44" i="3"/>
  <c r="M96" i="3"/>
  <c r="R64" i="3"/>
  <c r="W18" i="3"/>
  <c r="D69" i="3"/>
  <c r="D68" i="3"/>
  <c r="W13" i="3"/>
  <c r="W11" i="3"/>
  <c r="W5" i="3"/>
  <c r="T30" i="3"/>
  <c r="W7" i="3"/>
  <c r="R61" i="3"/>
  <c r="D61" i="3"/>
  <c r="W12" i="3"/>
  <c r="D63" i="3"/>
  <c r="G63" i="3" s="1"/>
  <c r="W19" i="3"/>
  <c r="D70" i="3"/>
  <c r="D66" i="3"/>
  <c r="D65" i="3"/>
  <c r="R75" i="3"/>
  <c r="R58" i="3"/>
  <c r="O44" i="3"/>
  <c r="F44" i="3"/>
  <c r="D73" i="3"/>
  <c r="D97" i="3"/>
  <c r="E76" i="3"/>
  <c r="I78" i="3"/>
  <c r="I14" i="48" s="1"/>
  <c r="I19" i="48" s="1"/>
  <c r="I79" i="3"/>
  <c r="D74" i="3"/>
  <c r="I68" i="3"/>
  <c r="I84" i="3"/>
  <c r="H37" i="3"/>
  <c r="H49" i="3" s="1"/>
  <c r="W21" i="3"/>
  <c r="W20" i="3"/>
  <c r="R78" i="3"/>
  <c r="I87" i="3"/>
  <c r="P37" i="3"/>
  <c r="P49" i="3" s="1"/>
  <c r="Q37" i="3"/>
  <c r="Q49" i="3" s="1"/>
  <c r="W24" i="3"/>
  <c r="W41" i="3" s="1"/>
  <c r="O103" i="3"/>
  <c r="O24" i="28"/>
  <c r="O25" i="28" s="1"/>
  <c r="O31" i="28" s="1"/>
  <c r="D90" i="3"/>
  <c r="D103" i="3" s="1"/>
  <c r="O95" i="3"/>
  <c r="R79" i="3"/>
  <c r="K30" i="3"/>
  <c r="K70" i="3"/>
  <c r="R70" i="3" s="1"/>
  <c r="E73" i="3"/>
  <c r="E98" i="3" s="1"/>
  <c r="E42" i="28"/>
  <c r="D11" i="41" s="1"/>
  <c r="M94" i="3"/>
  <c r="O38" i="28"/>
  <c r="O9" i="41" s="1"/>
  <c r="I30" i="3"/>
  <c r="M72" i="3"/>
  <c r="M99" i="3" s="1"/>
  <c r="J69" i="3"/>
  <c r="L60" i="3"/>
  <c r="L95" i="3" s="1"/>
  <c r="L63" i="48" s="1"/>
  <c r="I44" i="3"/>
  <c r="T12" i="39"/>
  <c r="E37" i="3"/>
  <c r="E49" i="3" s="1"/>
  <c r="W22" i="37"/>
  <c r="W39" i="37" s="1"/>
  <c r="X21" i="37"/>
  <c r="Z13" i="37"/>
  <c r="AA20" i="28"/>
  <c r="D18" i="28" s="1"/>
  <c r="AA9" i="28"/>
  <c r="H6" i="39"/>
  <c r="H94" i="39"/>
  <c r="H48" i="39"/>
  <c r="K96" i="3"/>
  <c r="L99" i="3"/>
  <c r="L67" i="48" s="1"/>
  <c r="W17" i="3"/>
  <c r="R66" i="3"/>
  <c r="I94" i="3"/>
  <c r="M12" i="13"/>
  <c r="AB36" i="28"/>
  <c r="T37" i="3"/>
  <c r="T49" i="3" s="1"/>
  <c r="J37" i="3"/>
  <c r="J49" i="3" s="1"/>
  <c r="W25" i="37"/>
  <c r="Y22" i="37"/>
  <c r="Y39" i="37" s="1"/>
  <c r="X19" i="37"/>
  <c r="D58" i="3"/>
  <c r="R80" i="3"/>
  <c r="P30" i="3"/>
  <c r="W10" i="3"/>
  <c r="R69" i="3"/>
  <c r="M63" i="3"/>
  <c r="I76" i="3"/>
  <c r="D76" i="3"/>
  <c r="I74" i="3"/>
  <c r="W9" i="3"/>
  <c r="D67" i="3"/>
  <c r="G67" i="3" s="1"/>
  <c r="I57" i="3"/>
  <c r="D57" i="3"/>
  <c r="G57" i="3" s="1"/>
  <c r="W8" i="3"/>
  <c r="D59" i="3"/>
  <c r="AB14" i="28"/>
  <c r="AB37" i="28" s="1"/>
  <c r="AB22" i="28"/>
  <c r="AB39" i="28" s="1"/>
  <c r="U24" i="37"/>
  <c r="Y13" i="37"/>
  <c r="Y7" i="37"/>
  <c r="M24" i="35"/>
  <c r="M27" i="35" s="1"/>
  <c r="L90" i="3" s="1"/>
  <c r="L103" i="3" s="1"/>
  <c r="D9" i="39"/>
  <c r="D17" i="39" s="1"/>
  <c r="W21" i="28"/>
  <c r="R68" i="3"/>
  <c r="S37" i="3"/>
  <c r="S49" i="3" s="1"/>
  <c r="N37" i="3"/>
  <c r="N49" i="3" s="1"/>
  <c r="G37" i="3"/>
  <c r="G49" i="3" s="1"/>
  <c r="J24" i="35"/>
  <c r="J27" i="35" s="1"/>
  <c r="M90" i="3" s="1"/>
  <c r="M24" i="28" s="1"/>
  <c r="M25" i="28" s="1"/>
  <c r="M31" i="28" s="1"/>
  <c r="H11" i="39"/>
  <c r="M59" i="41"/>
  <c r="H50" i="39"/>
  <c r="AA16" i="28"/>
  <c r="L29" i="28"/>
  <c r="L58" i="41" s="1"/>
  <c r="L59" i="41" s="1"/>
  <c r="W14" i="3"/>
  <c r="E21" i="28"/>
  <c r="K24" i="35"/>
  <c r="K27" i="35" s="1"/>
  <c r="N90" i="3" s="1"/>
  <c r="N103" i="3" s="1"/>
  <c r="K44" i="3"/>
  <c r="I77" i="3"/>
  <c r="I64" i="3"/>
  <c r="D62" i="3"/>
  <c r="G62" i="3" s="1"/>
  <c r="D60" i="3"/>
  <c r="D56" i="3"/>
  <c r="W4" i="3"/>
  <c r="W42" i="3" s="1"/>
  <c r="W16" i="3"/>
  <c r="E86" i="3"/>
  <c r="H46" i="39"/>
  <c r="J55" i="41"/>
  <c r="J61" i="41" s="1"/>
  <c r="F16" i="39"/>
  <c r="F102" i="39"/>
  <c r="E51" i="39"/>
  <c r="H47" i="39"/>
  <c r="F12" i="39"/>
  <c r="H12" i="39" s="1"/>
  <c r="H118" i="39"/>
  <c r="F31" i="39"/>
  <c r="Z28" i="13" s="1"/>
  <c r="T28" i="13" s="1"/>
  <c r="D85" i="39"/>
  <c r="H13" i="39"/>
  <c r="D33" i="39"/>
  <c r="X30" i="13" s="1"/>
  <c r="R30" i="13" s="1"/>
  <c r="H42" i="39"/>
  <c r="H107" i="39"/>
  <c r="H8" i="39"/>
  <c r="H108" i="39"/>
  <c r="E32" i="39"/>
  <c r="Y29" i="13" s="1"/>
  <c r="S29" i="13" s="1"/>
  <c r="H95" i="39"/>
  <c r="H115" i="39"/>
  <c r="L96" i="3"/>
  <c r="W28" i="3"/>
  <c r="Q30" i="3"/>
  <c r="R30" i="3"/>
  <c r="S30" i="3"/>
  <c r="E56" i="3"/>
  <c r="O30" i="3"/>
  <c r="W27" i="3"/>
  <c r="M30" i="3"/>
  <c r="V30" i="3"/>
  <c r="V44" i="3"/>
  <c r="V47" i="3" s="1"/>
  <c r="P44" i="3"/>
  <c r="E71" i="3"/>
  <c r="N30" i="3"/>
  <c r="G44" i="3"/>
  <c r="G30" i="3"/>
  <c r="W29" i="3"/>
  <c r="O76" i="3"/>
  <c r="O81" i="3" s="1"/>
  <c r="L38" i="37"/>
  <c r="E30" i="3"/>
  <c r="W26" i="3"/>
  <c r="K39" i="28"/>
  <c r="K10" i="41" s="1"/>
  <c r="O39" i="37"/>
  <c r="R73" i="3"/>
  <c r="R55" i="3"/>
  <c r="U44" i="3"/>
  <c r="R67" i="3"/>
  <c r="M56" i="3"/>
  <c r="R57" i="3"/>
  <c r="W23" i="3"/>
  <c r="M38" i="28"/>
  <c r="M9" i="41" s="1"/>
  <c r="W25" i="3"/>
  <c r="W43" i="3" s="1"/>
  <c r="L30" i="3"/>
  <c r="H30" i="3"/>
  <c r="N62" i="3"/>
  <c r="R62" i="3" s="1"/>
  <c r="R74" i="3"/>
  <c r="J78" i="3"/>
  <c r="N77" i="3"/>
  <c r="R77" i="3" s="1"/>
  <c r="D72" i="3"/>
  <c r="L86" i="3"/>
  <c r="R86" i="3" s="1"/>
  <c r="M37" i="3"/>
  <c r="M49" i="3" s="1"/>
  <c r="D86" i="3"/>
  <c r="I43" i="37"/>
  <c r="I43" i="28"/>
  <c r="I12" i="41" s="1"/>
  <c r="F12" i="41" s="1"/>
  <c r="Y20" i="13"/>
  <c r="I24" i="37"/>
  <c r="I24" i="28"/>
  <c r="I54" i="41" s="1"/>
  <c r="F54" i="41" s="1"/>
  <c r="F32" i="39"/>
  <c r="Z29" i="13" s="1"/>
  <c r="T29" i="13" s="1"/>
  <c r="F15" i="39"/>
  <c r="H15" i="39" s="1"/>
  <c r="F26" i="39"/>
  <c r="Z23" i="13" s="1"/>
  <c r="T23" i="13" s="1"/>
  <c r="F9" i="39"/>
  <c r="H77" i="39"/>
  <c r="F85" i="39"/>
  <c r="F22" i="39"/>
  <c r="Z19" i="13" s="1"/>
  <c r="T19" i="13" s="1"/>
  <c r="H39" i="39"/>
  <c r="F5" i="39"/>
  <c r="H5" i="39" s="1"/>
  <c r="F51" i="39"/>
  <c r="E10" i="13"/>
  <c r="E6" i="13"/>
  <c r="E11" i="13"/>
  <c r="E15" i="13"/>
  <c r="E12" i="13"/>
  <c r="E4" i="13"/>
  <c r="E13" i="13"/>
  <c r="E9" i="13"/>
  <c r="E7" i="13"/>
  <c r="E5" i="13"/>
  <c r="E14" i="13"/>
  <c r="F95" i="3"/>
  <c r="J67" i="3"/>
  <c r="K37" i="3"/>
  <c r="K49" i="3" s="1"/>
  <c r="W35" i="3"/>
  <c r="O37" i="3"/>
  <c r="O49" i="3" s="1"/>
  <c r="E87" i="3"/>
  <c r="K87" i="3"/>
  <c r="K88" i="3" s="1"/>
  <c r="L37" i="3"/>
  <c r="L49" i="3" s="1"/>
  <c r="D84" i="3"/>
  <c r="G84" i="3" s="1"/>
  <c r="W33" i="3"/>
  <c r="O83" i="3"/>
  <c r="R83" i="3" s="1"/>
  <c r="U37" i="3"/>
  <c r="U49" i="3" s="1"/>
  <c r="AA19" i="13"/>
  <c r="U26" i="13"/>
  <c r="U30" i="13"/>
  <c r="F5" i="40"/>
  <c r="F64" i="37" s="1"/>
  <c r="D119" i="39"/>
  <c r="H117" i="39"/>
  <c r="D31" i="39"/>
  <c r="X28" i="13" s="1"/>
  <c r="R28" i="13" s="1"/>
  <c r="D51" i="39"/>
  <c r="X25" i="13"/>
  <c r="R25" i="13" s="1"/>
  <c r="H28" i="39"/>
  <c r="X22" i="13"/>
  <c r="H25" i="39"/>
  <c r="R37" i="3"/>
  <c r="R49" i="3" s="1"/>
  <c r="D83" i="3"/>
  <c r="J85" i="3"/>
  <c r="W34" i="3"/>
  <c r="D85" i="3"/>
  <c r="U28" i="37"/>
  <c r="AA28" i="37" s="1"/>
  <c r="V28" i="37"/>
  <c r="V30" i="37" s="1"/>
  <c r="V41" i="37" s="1"/>
  <c r="F119" i="39"/>
  <c r="D75" i="3"/>
  <c r="G75" i="3" s="1"/>
  <c r="P75" i="3" s="1"/>
  <c r="D32" i="39"/>
  <c r="Y26" i="13"/>
  <c r="S26" i="13" s="1"/>
  <c r="H29" i="39"/>
  <c r="L44" i="3"/>
  <c r="J44" i="3"/>
  <c r="W32" i="3"/>
  <c r="Z30" i="37"/>
  <c r="Z41" i="37" s="1"/>
  <c r="Z29" i="37"/>
  <c r="X37" i="28"/>
  <c r="AA23" i="28"/>
  <c r="AA40" i="28" s="1"/>
  <c r="U40" i="28"/>
  <c r="AA15" i="28"/>
  <c r="U37" i="28"/>
  <c r="AA5" i="28"/>
  <c r="AA22" i="28"/>
  <c r="AA39" i="28" s="1"/>
  <c r="E119" i="39"/>
  <c r="H49" i="39"/>
  <c r="E68" i="39"/>
  <c r="H68" i="39" s="1"/>
  <c r="H65" i="39"/>
  <c r="E14" i="39"/>
  <c r="H14" i="39" s="1"/>
  <c r="W36" i="3"/>
  <c r="N52" i="13"/>
  <c r="H10" i="39"/>
  <c r="M19" i="35"/>
  <c r="E64" i="37"/>
  <c r="G64" i="37" s="1"/>
  <c r="F33" i="39"/>
  <c r="Z30" i="13" s="1"/>
  <c r="T30" i="13" s="1"/>
  <c r="F94" i="3"/>
  <c r="AC87" i="48" s="1"/>
  <c r="W87" i="48" s="1"/>
  <c r="N53" i="13"/>
  <c r="AA13" i="28"/>
  <c r="D11" i="28" s="1"/>
  <c r="C41" i="41" s="1"/>
  <c r="AA26" i="28"/>
  <c r="S12" i="39" s="1"/>
  <c r="AA18" i="28"/>
  <c r="O24" i="37"/>
  <c r="O25" i="37" s="1"/>
  <c r="O31" i="37" s="1"/>
  <c r="G27" i="39"/>
  <c r="O24" i="35"/>
  <c r="O27" i="35" s="1"/>
  <c r="N59" i="41"/>
  <c r="F23" i="39"/>
  <c r="Z20" i="13" s="1"/>
  <c r="T20" i="13" s="1"/>
  <c r="W13" i="28"/>
  <c r="D37" i="3"/>
  <c r="D49" i="3" s="1"/>
  <c r="AC15" i="37"/>
  <c r="Y28" i="37"/>
  <c r="H24" i="39"/>
  <c r="H16" i="39"/>
  <c r="G102" i="39"/>
  <c r="H102" i="39" s="1"/>
  <c r="L27" i="35"/>
  <c r="K90" i="3" s="1"/>
  <c r="W7" i="39"/>
  <c r="O26" i="35"/>
  <c r="Q4" i="13"/>
  <c r="K59" i="41"/>
  <c r="I59" i="3"/>
  <c r="D26" i="39"/>
  <c r="E33" i="39"/>
  <c r="U21" i="37"/>
  <c r="AA21" i="37" s="1"/>
  <c r="V16" i="37"/>
  <c r="W17" i="37"/>
  <c r="Y14" i="37"/>
  <c r="Y5" i="37"/>
  <c r="Y36" i="37" s="1"/>
  <c r="X20" i="37"/>
  <c r="Y12" i="37"/>
  <c r="Z25" i="37"/>
  <c r="AC25" i="37" s="1"/>
  <c r="F23" i="37" s="1"/>
  <c r="Y19" i="37"/>
  <c r="W28" i="37"/>
  <c r="W30" i="37" s="1"/>
  <c r="W41" i="37" s="1"/>
  <c r="U28" i="28"/>
  <c r="W26" i="28"/>
  <c r="W42" i="28" s="1"/>
  <c r="W18" i="28"/>
  <c r="W10" i="28"/>
  <c r="W25" i="28"/>
  <c r="W17" i="28"/>
  <c r="W9" i="28"/>
  <c r="AA7" i="28"/>
  <c r="W22" i="28"/>
  <c r="W39" i="28" s="1"/>
  <c r="W14" i="28"/>
  <c r="V27" i="28"/>
  <c r="V32" i="28" s="1"/>
  <c r="X29" i="37"/>
  <c r="X30" i="37"/>
  <c r="X41" i="37" s="1"/>
  <c r="AB41" i="28"/>
  <c r="W24" i="28"/>
  <c r="W20" i="28"/>
  <c r="W16" i="28"/>
  <c r="W12" i="28"/>
  <c r="W8" i="28"/>
  <c r="Y10" i="37"/>
  <c r="AB10" i="37" s="1"/>
  <c r="X17" i="37"/>
  <c r="X25" i="37"/>
  <c r="Y9" i="37"/>
  <c r="X16" i="37"/>
  <c r="X24" i="37"/>
  <c r="Y8" i="37"/>
  <c r="X15" i="37"/>
  <c r="X23" i="37"/>
  <c r="X40" i="37" s="1"/>
  <c r="Z8" i="37"/>
  <c r="AC8" i="37" s="1"/>
  <c r="Y15" i="37"/>
  <c r="AB15" i="37" s="1"/>
  <c r="Y23" i="37"/>
  <c r="Y40" i="37" s="1"/>
  <c r="Y27" i="28"/>
  <c r="Y32" i="28" s="1"/>
  <c r="AA24" i="28"/>
  <c r="D22" i="28" s="1"/>
  <c r="C52" i="41" s="1"/>
  <c r="U27" i="28"/>
  <c r="X27" i="28"/>
  <c r="X32" i="28" s="1"/>
  <c r="AA19" i="28"/>
  <c r="AA11" i="28"/>
  <c r="AB28" i="28"/>
  <c r="AB29" i="28" s="1"/>
  <c r="AB45" i="28" s="1"/>
  <c r="AA14" i="28"/>
  <c r="AA6" i="28"/>
  <c r="W23" i="28"/>
  <c r="W40" i="28" s="1"/>
  <c r="W19" i="28"/>
  <c r="W15" i="28"/>
  <c r="W11" i="28"/>
  <c r="W7" i="28"/>
  <c r="V26" i="37"/>
  <c r="V43" i="37" s="1"/>
  <c r="V8" i="37"/>
  <c r="V23" i="37"/>
  <c r="V19" i="37"/>
  <c r="Z11" i="37"/>
  <c r="Z19" i="37"/>
  <c r="Y26" i="37"/>
  <c r="Y43" i="37" s="1"/>
  <c r="Z10" i="37"/>
  <c r="AC10" i="37" s="1"/>
  <c r="Z18" i="37"/>
  <c r="Y25" i="37"/>
  <c r="Z9" i="37"/>
  <c r="Z17" i="37"/>
  <c r="Y24" i="37"/>
  <c r="X10" i="37"/>
  <c r="X18" i="37"/>
  <c r="Z24" i="37"/>
  <c r="AA25" i="28"/>
  <c r="D23" i="28" s="1"/>
  <c r="C53" i="41" s="1"/>
  <c r="AA24" i="37"/>
  <c r="D22" i="37" s="1"/>
  <c r="AA17" i="28"/>
  <c r="D15" i="28" s="1"/>
  <c r="N38" i="28"/>
  <c r="N9" i="41" s="1"/>
  <c r="N38" i="37"/>
  <c r="N37" i="28"/>
  <c r="N8" i="41" s="1"/>
  <c r="N37" i="37"/>
  <c r="J39" i="37"/>
  <c r="J39" i="28"/>
  <c r="J10" i="41" s="1"/>
  <c r="F27" i="27"/>
  <c r="G27" i="27" s="1"/>
  <c r="G31" i="27" s="1"/>
  <c r="G32" i="27" s="1"/>
  <c r="G33" i="27" s="1"/>
  <c r="G8" i="27"/>
  <c r="H8" i="27" s="1"/>
  <c r="H27" i="27" s="1"/>
  <c r="R98" i="3"/>
  <c r="N39" i="37"/>
  <c r="N39" i="28"/>
  <c r="N10" i="41" s="1"/>
  <c r="K38" i="37"/>
  <c r="N88" i="3"/>
  <c r="N102" i="3" s="1"/>
  <c r="R85" i="3"/>
  <c r="R84" i="3"/>
  <c r="M88" i="3"/>
  <c r="M102" i="3" s="1"/>
  <c r="K38" i="28"/>
  <c r="K9" i="41" s="1"/>
  <c r="F88" i="3"/>
  <c r="J87" i="3"/>
  <c r="J83" i="3"/>
  <c r="Z53" i="28"/>
  <c r="Z54" i="28" s="1"/>
  <c r="AA8" i="28"/>
  <c r="V6" i="37"/>
  <c r="AB6" i="37" s="1"/>
  <c r="W11" i="37"/>
  <c r="U17" i="37"/>
  <c r="AA17" i="37" s="1"/>
  <c r="V22" i="37"/>
  <c r="W6" i="37"/>
  <c r="U12" i="37"/>
  <c r="W18" i="37"/>
  <c r="AC18" i="37" s="1"/>
  <c r="F16" i="37" s="1"/>
  <c r="V25" i="37"/>
  <c r="W9" i="37"/>
  <c r="U19" i="37"/>
  <c r="V7" i="37"/>
  <c r="U18" i="37"/>
  <c r="U26" i="37"/>
  <c r="U7" i="37"/>
  <c r="W21" i="37"/>
  <c r="V11" i="37"/>
  <c r="W24" i="37"/>
  <c r="X5" i="37"/>
  <c r="AA5" i="37" s="1"/>
  <c r="W29" i="37"/>
  <c r="F28" i="37" s="1"/>
  <c r="W7" i="37"/>
  <c r="U13" i="37"/>
  <c r="V18" i="37"/>
  <c r="W23" i="37"/>
  <c r="U8" i="37"/>
  <c r="AA8" i="37" s="1"/>
  <c r="V13" i="37"/>
  <c r="U20" i="37"/>
  <c r="AA20" i="37" s="1"/>
  <c r="W26" i="37"/>
  <c r="V12" i="37"/>
  <c r="V20" i="37"/>
  <c r="U10" i="37"/>
  <c r="W20" i="37"/>
  <c r="V5" i="37"/>
  <c r="U11" i="37"/>
  <c r="V24" i="37"/>
  <c r="U14" i="37"/>
  <c r="AA14" i="37" s="1"/>
  <c r="X29" i="28"/>
  <c r="X45" i="28" s="1"/>
  <c r="X30" i="28"/>
  <c r="X46" i="28" s="1"/>
  <c r="U9" i="37"/>
  <c r="AA9" i="37" s="1"/>
  <c r="V14" i="37"/>
  <c r="W19" i="37"/>
  <c r="U25" i="37"/>
  <c r="AA25" i="37" s="1"/>
  <c r="V9" i="37"/>
  <c r="U16" i="37"/>
  <c r="V21" i="37"/>
  <c r="AB21" i="37" s="1"/>
  <c r="W5" i="37"/>
  <c r="W13" i="37"/>
  <c r="U23" i="37"/>
  <c r="W12" i="37"/>
  <c r="AC12" i="37" s="1"/>
  <c r="U22" i="37"/>
  <c r="W14" i="37"/>
  <c r="AC14" i="37" s="1"/>
  <c r="U15" i="37"/>
  <c r="U6" i="37"/>
  <c r="U36" i="37" s="1"/>
  <c r="W16" i="37"/>
  <c r="Z7" i="37"/>
  <c r="X13" i="37"/>
  <c r="Y18" i="37"/>
  <c r="Z23" i="37"/>
  <c r="Z40" i="37" s="1"/>
  <c r="Z6" i="37"/>
  <c r="X12" i="37"/>
  <c r="Y17" i="37"/>
  <c r="AB17" i="37" s="1"/>
  <c r="Z22" i="37"/>
  <c r="Z5" i="37"/>
  <c r="X11" i="37"/>
  <c r="Y16" i="37"/>
  <c r="Z21" i="37"/>
  <c r="X6" i="37"/>
  <c r="Y11" i="37"/>
  <c r="Z16" i="37"/>
  <c r="Y29" i="28"/>
  <c r="Y45" i="28" s="1"/>
  <c r="Y30" i="28"/>
  <c r="Y46" i="28" s="1"/>
  <c r="V29" i="28"/>
  <c r="V45" i="28" s="1"/>
  <c r="G17" i="39"/>
  <c r="E22" i="39"/>
  <c r="F30" i="39"/>
  <c r="E31" i="39"/>
  <c r="J20" i="35"/>
  <c r="AC5" i="28"/>
  <c r="W30" i="28"/>
  <c r="W46" i="28" s="1"/>
  <c r="W29" i="28"/>
  <c r="W45" i="28" s="1"/>
  <c r="AC28" i="28"/>
  <c r="Z26" i="28"/>
  <c r="Z25" i="28"/>
  <c r="Z24" i="28"/>
  <c r="Z23" i="28"/>
  <c r="Z22" i="28"/>
  <c r="Z21" i="28"/>
  <c r="Z20" i="28"/>
  <c r="Z19" i="28"/>
  <c r="Z18" i="28"/>
  <c r="Z17" i="28"/>
  <c r="AC17" i="28" s="1"/>
  <c r="Z16" i="28"/>
  <c r="Z15" i="28"/>
  <c r="AC15" i="28" s="1"/>
  <c r="Z14" i="28"/>
  <c r="AC14" i="28" s="1"/>
  <c r="Z13" i="28"/>
  <c r="Z12" i="28"/>
  <c r="AC12" i="28" s="1"/>
  <c r="Z11" i="28"/>
  <c r="Z10" i="28"/>
  <c r="AC10" i="28" s="1"/>
  <c r="Z9" i="28"/>
  <c r="Z8" i="28"/>
  <c r="Z7" i="28"/>
  <c r="Z6" i="28"/>
  <c r="Z29" i="28"/>
  <c r="Z45" i="28" s="1"/>
  <c r="Z30" i="28"/>
  <c r="Z46" i="28" s="1"/>
  <c r="W6" i="28"/>
  <c r="D14" i="28"/>
  <c r="J96" i="3" l="1"/>
  <c r="J64" i="48" s="1"/>
  <c r="J14" i="48"/>
  <c r="J19" i="48" s="1"/>
  <c r="F31" i="48"/>
  <c r="F32" i="48"/>
  <c r="D14" i="48"/>
  <c r="D96" i="3"/>
  <c r="D81" i="3"/>
  <c r="M34" i="28"/>
  <c r="M5" i="41" s="1"/>
  <c r="M62" i="48"/>
  <c r="M36" i="37"/>
  <c r="M64" i="48"/>
  <c r="O34" i="28"/>
  <c r="O5" i="41" s="1"/>
  <c r="O62" i="48"/>
  <c r="N34" i="28"/>
  <c r="N5" i="41" s="1"/>
  <c r="N62" i="48"/>
  <c r="AC89" i="28"/>
  <c r="AC88" i="48"/>
  <c r="W88" i="48" s="1"/>
  <c r="K36" i="37"/>
  <c r="K64" i="48"/>
  <c r="L36" i="28"/>
  <c r="L7" i="41" s="1"/>
  <c r="L64" i="48"/>
  <c r="E81" i="3"/>
  <c r="E14" i="48"/>
  <c r="E19" i="48" s="1"/>
  <c r="M39" i="37"/>
  <c r="M67" i="48"/>
  <c r="AA91" i="28"/>
  <c r="AA90" i="48"/>
  <c r="D79" i="48"/>
  <c r="I37" i="28"/>
  <c r="I8" i="41" s="1"/>
  <c r="F8" i="41" s="1"/>
  <c r="I65" i="48"/>
  <c r="F66" i="48"/>
  <c r="G49" i="48"/>
  <c r="P49" i="48" s="1"/>
  <c r="I34" i="28"/>
  <c r="I5" i="41" s="1"/>
  <c r="I62" i="48"/>
  <c r="AC90" i="28"/>
  <c r="AC89" i="48"/>
  <c r="W89" i="48" s="1"/>
  <c r="AB91" i="48"/>
  <c r="E80" i="48"/>
  <c r="O35" i="37"/>
  <c r="O63" i="48"/>
  <c r="J34" i="37"/>
  <c r="J62" i="48"/>
  <c r="I38" i="28"/>
  <c r="I9" i="41" s="1"/>
  <c r="F9" i="41" s="1"/>
  <c r="I66" i="48"/>
  <c r="L34" i="37"/>
  <c r="L62" i="48"/>
  <c r="L68" i="48" s="1"/>
  <c r="L73" i="48" s="1"/>
  <c r="AB93" i="28"/>
  <c r="AB92" i="48"/>
  <c r="V92" i="48" s="1"/>
  <c r="E57" i="48" s="1"/>
  <c r="E67" i="48" s="1"/>
  <c r="E81" i="48" s="1"/>
  <c r="K34" i="37"/>
  <c r="K62" i="48"/>
  <c r="F64" i="42"/>
  <c r="AC11" i="37"/>
  <c r="X42" i="37"/>
  <c r="AB24" i="37"/>
  <c r="AB8" i="37"/>
  <c r="H9" i="39"/>
  <c r="D51" i="42"/>
  <c r="G85" i="3"/>
  <c r="P85" i="3" s="1"/>
  <c r="G83" i="3"/>
  <c r="L88" i="3"/>
  <c r="L102" i="3" s="1"/>
  <c r="L42" i="28" s="1"/>
  <c r="L11" i="41" s="1"/>
  <c r="N24" i="37"/>
  <c r="N25" i="37" s="1"/>
  <c r="N31" i="37" s="1"/>
  <c r="R90" i="3"/>
  <c r="N24" i="28"/>
  <c r="N25" i="28" s="1"/>
  <c r="N31" i="28" s="1"/>
  <c r="G79" i="3"/>
  <c r="P79" i="3" s="1"/>
  <c r="G55" i="3"/>
  <c r="I38" i="37"/>
  <c r="R60" i="3"/>
  <c r="I88" i="3"/>
  <c r="I102" i="3" s="1"/>
  <c r="I42" i="37" s="1"/>
  <c r="L24" i="28"/>
  <c r="M24" i="37"/>
  <c r="M25" i="37" s="1"/>
  <c r="M31" i="37" s="1"/>
  <c r="L24" i="37"/>
  <c r="L25" i="37" s="1"/>
  <c r="L31" i="37" s="1"/>
  <c r="M54" i="41"/>
  <c r="M55" i="41" s="1"/>
  <c r="G60" i="3"/>
  <c r="P60" i="3" s="1"/>
  <c r="AC24" i="28"/>
  <c r="X37" i="37"/>
  <c r="AB14" i="37"/>
  <c r="AC20" i="37"/>
  <c r="F18" i="37" s="1"/>
  <c r="AA28" i="28"/>
  <c r="U30" i="28"/>
  <c r="AC8" i="28"/>
  <c r="AC25" i="28"/>
  <c r="AA10" i="37"/>
  <c r="U29" i="37"/>
  <c r="H85" i="39"/>
  <c r="AD5" i="28"/>
  <c r="AB20" i="37"/>
  <c r="U30" i="37"/>
  <c r="U41" i="37" s="1"/>
  <c r="C11" i="42"/>
  <c r="O54" i="41"/>
  <c r="O55" i="41" s="1"/>
  <c r="O61" i="41" s="1"/>
  <c r="G64" i="3"/>
  <c r="P64" i="3" s="1"/>
  <c r="M47" i="3"/>
  <c r="M51" i="3" s="1"/>
  <c r="F48" i="42"/>
  <c r="G66" i="3"/>
  <c r="P66" i="3" s="1"/>
  <c r="P55" i="3"/>
  <c r="C22" i="42"/>
  <c r="G70" i="3"/>
  <c r="G61" i="3"/>
  <c r="P61" i="3" s="1"/>
  <c r="D64" i="42"/>
  <c r="F62" i="42"/>
  <c r="F60" i="42"/>
  <c r="I13" i="37"/>
  <c r="I47" i="3"/>
  <c r="I51" i="3" s="1"/>
  <c r="O34" i="37"/>
  <c r="O35" i="28"/>
  <c r="O6" i="41" s="1"/>
  <c r="G74" i="3"/>
  <c r="P74" i="3" s="1"/>
  <c r="L34" i="28"/>
  <c r="L5" i="41" s="1"/>
  <c r="N34" i="37"/>
  <c r="K34" i="28"/>
  <c r="K5" i="41" s="1"/>
  <c r="J34" i="28"/>
  <c r="J5" i="41" s="1"/>
  <c r="L81" i="3"/>
  <c r="G65" i="3"/>
  <c r="P65" i="3" s="1"/>
  <c r="G58" i="3"/>
  <c r="P58" i="3" s="1"/>
  <c r="G80" i="3"/>
  <c r="P80" i="3" s="1"/>
  <c r="G76" i="3"/>
  <c r="P76" i="3" s="1"/>
  <c r="O47" i="3"/>
  <c r="O51" i="3" s="1"/>
  <c r="G59" i="3"/>
  <c r="P59" i="3" s="1"/>
  <c r="E47" i="3"/>
  <c r="E51" i="3" s="1"/>
  <c r="M36" i="28"/>
  <c r="M7" i="41" s="1"/>
  <c r="M39" i="28"/>
  <c r="M10" i="41" s="1"/>
  <c r="R99" i="3"/>
  <c r="M34" i="37"/>
  <c r="L36" i="37"/>
  <c r="I37" i="37"/>
  <c r="P47" i="3"/>
  <c r="P51" i="3" s="1"/>
  <c r="R94" i="3"/>
  <c r="E88" i="3"/>
  <c r="E102" i="3" s="1"/>
  <c r="E56" i="28" s="1"/>
  <c r="J95" i="3"/>
  <c r="G86" i="3"/>
  <c r="P86" i="3" s="1"/>
  <c r="Q47" i="3"/>
  <c r="Q51" i="3" s="1"/>
  <c r="T47" i="3"/>
  <c r="T51" i="3" s="1"/>
  <c r="N47" i="3"/>
  <c r="N51" i="3" s="1"/>
  <c r="G68" i="3"/>
  <c r="P68" i="3" s="1"/>
  <c r="K47" i="3"/>
  <c r="K51" i="3" s="1"/>
  <c r="G69" i="3"/>
  <c r="P69" i="3" s="1"/>
  <c r="G87" i="3"/>
  <c r="P87" i="3" s="1"/>
  <c r="P63" i="3"/>
  <c r="O88" i="3"/>
  <c r="O102" i="3" s="1"/>
  <c r="O42" i="28" s="1"/>
  <c r="F47" i="3"/>
  <c r="F51" i="3" s="1"/>
  <c r="P84" i="3"/>
  <c r="G47" i="3"/>
  <c r="G51" i="3" s="1"/>
  <c r="V51" i="3"/>
  <c r="G77" i="3"/>
  <c r="P77" i="3" s="1"/>
  <c r="L100" i="3"/>
  <c r="R87" i="3"/>
  <c r="R72" i="3"/>
  <c r="P57" i="3"/>
  <c r="I29" i="28"/>
  <c r="I58" i="41" s="1"/>
  <c r="I99" i="3"/>
  <c r="I67" i="48" s="1"/>
  <c r="I29" i="37"/>
  <c r="I81" i="3"/>
  <c r="I5" i="37"/>
  <c r="H47" i="3"/>
  <c r="H51" i="3" s="1"/>
  <c r="W49" i="3"/>
  <c r="R63" i="3"/>
  <c r="E96" i="3"/>
  <c r="F13" i="42"/>
  <c r="R47" i="3"/>
  <c r="R51" i="3" s="1"/>
  <c r="G78" i="3"/>
  <c r="P78" i="3" s="1"/>
  <c r="S9" i="39"/>
  <c r="S14" i="39" s="1"/>
  <c r="I12" i="35"/>
  <c r="L4" i="13"/>
  <c r="L6" i="13" s="1"/>
  <c r="Z37" i="37"/>
  <c r="AA30" i="28"/>
  <c r="AA46" i="28" s="1"/>
  <c r="S47" i="3"/>
  <c r="S51" i="3" s="1"/>
  <c r="P70" i="3"/>
  <c r="K95" i="3"/>
  <c r="K63" i="48" s="1"/>
  <c r="D51" i="41"/>
  <c r="E38" i="28"/>
  <c r="W30" i="3"/>
  <c r="AC24" i="37"/>
  <c r="F22" i="37" s="1"/>
  <c r="D28" i="28"/>
  <c r="AC18" i="28"/>
  <c r="AD18" i="28" s="1"/>
  <c r="AA15" i="37"/>
  <c r="AD15" i="37" s="1"/>
  <c r="AB12" i="37"/>
  <c r="M61" i="41"/>
  <c r="AC17" i="37"/>
  <c r="F15" i="37" s="1"/>
  <c r="F100" i="3"/>
  <c r="W44" i="3"/>
  <c r="I96" i="3"/>
  <c r="I64" i="48" s="1"/>
  <c r="K81" i="3"/>
  <c r="I34" i="37"/>
  <c r="AC9" i="28"/>
  <c r="AC11" i="28"/>
  <c r="C39" i="26" s="1"/>
  <c r="AC19" i="28"/>
  <c r="C47" i="26" s="1"/>
  <c r="AB9" i="37"/>
  <c r="V29" i="37"/>
  <c r="AB28" i="37"/>
  <c r="AB29" i="37" s="1"/>
  <c r="M103" i="3"/>
  <c r="M43" i="28" s="1"/>
  <c r="M12" i="41" s="1"/>
  <c r="L47" i="3"/>
  <c r="L51" i="3" s="1"/>
  <c r="AB88" i="37"/>
  <c r="AB88" i="28"/>
  <c r="AA19" i="37"/>
  <c r="K36" i="28"/>
  <c r="K7" i="41" s="1"/>
  <c r="O43" i="28"/>
  <c r="O12" i="41" s="1"/>
  <c r="O43" i="37"/>
  <c r="D20" i="28"/>
  <c r="D95" i="3"/>
  <c r="AC21" i="28"/>
  <c r="C49" i="26" s="1"/>
  <c r="AC19" i="37"/>
  <c r="F17" i="37" s="1"/>
  <c r="AC28" i="37"/>
  <c r="AB30" i="28"/>
  <c r="AB46" i="28" s="1"/>
  <c r="L39" i="28"/>
  <c r="L10" i="41" s="1"/>
  <c r="L39" i="37"/>
  <c r="AB92" i="28"/>
  <c r="AB92" i="37"/>
  <c r="H119" i="39"/>
  <c r="E17" i="39"/>
  <c r="F17" i="39"/>
  <c r="U9" i="39" s="1"/>
  <c r="J36" i="37"/>
  <c r="J36" i="28"/>
  <c r="J7" i="41" s="1"/>
  <c r="X23" i="13"/>
  <c r="R23" i="13" s="1"/>
  <c r="H26" i="39"/>
  <c r="W37" i="3"/>
  <c r="D99" i="3"/>
  <c r="G72" i="3"/>
  <c r="P72" i="3" s="1"/>
  <c r="D98" i="3"/>
  <c r="G73" i="3"/>
  <c r="P73" i="3" s="1"/>
  <c r="N81" i="3"/>
  <c r="E95" i="3"/>
  <c r="G56" i="3"/>
  <c r="P56" i="3" s="1"/>
  <c r="N95" i="3"/>
  <c r="N63" i="48" s="1"/>
  <c r="D47" i="3"/>
  <c r="D51" i="3" s="1"/>
  <c r="AC20" i="28"/>
  <c r="C48" i="26" s="1"/>
  <c r="V46" i="28"/>
  <c r="Y37" i="37"/>
  <c r="Z42" i="37"/>
  <c r="AB19" i="37"/>
  <c r="I5" i="28"/>
  <c r="I95" i="3"/>
  <c r="I63" i="48" s="1"/>
  <c r="H27" i="39"/>
  <c r="AA24" i="13"/>
  <c r="AA31" i="13" s="1"/>
  <c r="O19" i="13" s="1"/>
  <c r="H4" i="13" s="1"/>
  <c r="L12" i="13"/>
  <c r="AA42" i="28"/>
  <c r="N43" i="28"/>
  <c r="N12" i="41" s="1"/>
  <c r="N43" i="37"/>
  <c r="R22" i="13"/>
  <c r="G34" i="39"/>
  <c r="H51" i="39"/>
  <c r="H23" i="39"/>
  <c r="P62" i="3"/>
  <c r="R76" i="3"/>
  <c r="O96" i="3"/>
  <c r="O64" i="48" s="1"/>
  <c r="X29" i="13"/>
  <c r="R29" i="13" s="1"/>
  <c r="H32" i="39"/>
  <c r="U19" i="13"/>
  <c r="R56" i="3"/>
  <c r="M81" i="3"/>
  <c r="M95" i="3"/>
  <c r="M63" i="48" s="1"/>
  <c r="L35" i="28"/>
  <c r="L6" i="41" s="1"/>
  <c r="L35" i="37"/>
  <c r="E97" i="3"/>
  <c r="G71" i="3"/>
  <c r="P71" i="3" s="1"/>
  <c r="AC9" i="37"/>
  <c r="Y42" i="37"/>
  <c r="W41" i="28"/>
  <c r="H33" i="39"/>
  <c r="Y30" i="13"/>
  <c r="S30" i="13" s="1"/>
  <c r="K24" i="28"/>
  <c r="K24" i="37"/>
  <c r="K25" i="37" s="1"/>
  <c r="K31" i="37" s="1"/>
  <c r="K103" i="3"/>
  <c r="Y30" i="37"/>
  <c r="Y41" i="37" s="1"/>
  <c r="Y29" i="37"/>
  <c r="D88" i="3"/>
  <c r="D102" i="3" s="1"/>
  <c r="D34" i="39"/>
  <c r="P67" i="3"/>
  <c r="J81" i="3"/>
  <c r="U47" i="3"/>
  <c r="U51" i="3" s="1"/>
  <c r="J47" i="3"/>
  <c r="J51" i="3" s="1"/>
  <c r="N96" i="3"/>
  <c r="N64" i="48" s="1"/>
  <c r="AA18" i="37"/>
  <c r="AB26" i="37"/>
  <c r="AB43" i="37" s="1"/>
  <c r="AB30" i="37"/>
  <c r="AB41" i="37" s="1"/>
  <c r="AB93" i="37" s="1"/>
  <c r="V93" i="37" s="1"/>
  <c r="E29" i="37" s="1"/>
  <c r="E39" i="37" s="1"/>
  <c r="E53" i="37" s="1"/>
  <c r="W37" i="28"/>
  <c r="D42" i="28"/>
  <c r="AA27" i="28"/>
  <c r="AA32" i="28" s="1"/>
  <c r="U32" i="28"/>
  <c r="AA30" i="37"/>
  <c r="AA41" i="37" s="1"/>
  <c r="AA29" i="37"/>
  <c r="Z38" i="37"/>
  <c r="AB25" i="37"/>
  <c r="E23" i="37" s="1"/>
  <c r="V40" i="37"/>
  <c r="AB23" i="37"/>
  <c r="AA36" i="28"/>
  <c r="X38" i="37"/>
  <c r="AB27" i="28"/>
  <c r="AB32" i="28" s="1"/>
  <c r="AA41" i="28"/>
  <c r="I25" i="27"/>
  <c r="I22" i="27"/>
  <c r="I20" i="27"/>
  <c r="I7" i="27"/>
  <c r="I11" i="27"/>
  <c r="I15" i="27"/>
  <c r="I12" i="27"/>
  <c r="I16" i="27"/>
  <c r="I9" i="27"/>
  <c r="I26" i="27"/>
  <c r="I18" i="27"/>
  <c r="I24" i="27"/>
  <c r="I13" i="27"/>
  <c r="I14" i="27"/>
  <c r="I10" i="27"/>
  <c r="I17" i="27"/>
  <c r="H28" i="27"/>
  <c r="I19" i="27"/>
  <c r="I23" i="27"/>
  <c r="I21" i="27"/>
  <c r="C38" i="26"/>
  <c r="AD10" i="28"/>
  <c r="AC6" i="28"/>
  <c r="AC36" i="28" s="1"/>
  <c r="W27" i="28"/>
  <c r="W36" i="28"/>
  <c r="AC7" i="28"/>
  <c r="Z37" i="28"/>
  <c r="AD11" i="28"/>
  <c r="C43" i="26"/>
  <c r="AD15" i="28"/>
  <c r="F17" i="28"/>
  <c r="AD19" i="28"/>
  <c r="AC23" i="28"/>
  <c r="Z40" i="28"/>
  <c r="AC29" i="28"/>
  <c r="AC45" i="28" s="1"/>
  <c r="AC30" i="28"/>
  <c r="AD28" i="28"/>
  <c r="M20" i="35"/>
  <c r="E90" i="3"/>
  <c r="AA23" i="37"/>
  <c r="U40" i="37"/>
  <c r="U38" i="37"/>
  <c r="AA16" i="37"/>
  <c r="AD14" i="37"/>
  <c r="W43" i="37"/>
  <c r="AC26" i="37"/>
  <c r="W40" i="37"/>
  <c r="AC23" i="37"/>
  <c r="AC21" i="37"/>
  <c r="F19" i="37" s="1"/>
  <c r="AB7" i="37"/>
  <c r="V37" i="37"/>
  <c r="AD17" i="37"/>
  <c r="Y27" i="37"/>
  <c r="Y32" i="37" s="1"/>
  <c r="J88" i="3"/>
  <c r="J102" i="3" s="1"/>
  <c r="F102" i="3"/>
  <c r="C11" i="41"/>
  <c r="C36" i="26"/>
  <c r="C40" i="26"/>
  <c r="AD12" i="28"/>
  <c r="AC16" i="28"/>
  <c r="F18" i="28"/>
  <c r="C52" i="26"/>
  <c r="AD24" i="28"/>
  <c r="Y28" i="13"/>
  <c r="S28" i="13" s="1"/>
  <c r="R36" i="13" s="1"/>
  <c r="H31" i="39"/>
  <c r="V9" i="39"/>
  <c r="L12" i="35"/>
  <c r="Z27" i="37"/>
  <c r="Z32" i="37" s="1"/>
  <c r="Z36" i="37"/>
  <c r="AC13" i="37"/>
  <c r="W42" i="37"/>
  <c r="AD9" i="37"/>
  <c r="E22" i="37"/>
  <c r="G22" i="37" s="1"/>
  <c r="P22" i="37" s="1"/>
  <c r="AD24" i="37"/>
  <c r="AD10" i="37"/>
  <c r="AD20" i="37"/>
  <c r="AB18" i="37"/>
  <c r="AD18" i="37" s="1"/>
  <c r="X27" i="37"/>
  <c r="X32" i="37" s="1"/>
  <c r="X36" i="37"/>
  <c r="U37" i="37"/>
  <c r="AA7" i="37"/>
  <c r="AA12" i="37"/>
  <c r="V38" i="37"/>
  <c r="L54" i="41"/>
  <c r="L55" i="41" s="1"/>
  <c r="L61" i="41" s="1"/>
  <c r="L25" i="28"/>
  <c r="L31" i="28" s="1"/>
  <c r="P83" i="3"/>
  <c r="C37" i="26"/>
  <c r="AC13" i="28"/>
  <c r="Z41" i="28"/>
  <c r="C45" i="26"/>
  <c r="F15" i="28"/>
  <c r="AD17" i="28"/>
  <c r="F19" i="28"/>
  <c r="AD21" i="28"/>
  <c r="C53" i="26"/>
  <c r="AD25" i="28"/>
  <c r="Z27" i="13"/>
  <c r="F34" i="39"/>
  <c r="H30" i="39"/>
  <c r="Y19" i="13"/>
  <c r="H22" i="39"/>
  <c r="E34" i="39"/>
  <c r="AD29" i="28"/>
  <c r="Z39" i="37"/>
  <c r="AC22" i="37"/>
  <c r="AC16" i="37"/>
  <c r="W38" i="37"/>
  <c r="U39" i="37"/>
  <c r="AA22" i="37"/>
  <c r="AC5" i="37"/>
  <c r="W36" i="37"/>
  <c r="W27" i="37"/>
  <c r="D23" i="37"/>
  <c r="AA11" i="37"/>
  <c r="AB13" i="37"/>
  <c r="V42" i="37"/>
  <c r="U42" i="37"/>
  <c r="AA13" i="37"/>
  <c r="AC30" i="37"/>
  <c r="AC29" i="37"/>
  <c r="U43" i="37"/>
  <c r="AA26" i="37"/>
  <c r="AC6" i="37"/>
  <c r="M42" i="28"/>
  <c r="M11" i="41" s="1"/>
  <c r="M42" i="37"/>
  <c r="AD20" i="28"/>
  <c r="I8" i="27"/>
  <c r="Z27" i="28"/>
  <c r="Z32" i="28" s="1"/>
  <c r="Z36" i="28"/>
  <c r="C42" i="26"/>
  <c r="AD14" i="28"/>
  <c r="C46" i="26"/>
  <c r="F16" i="28"/>
  <c r="AC22" i="28"/>
  <c r="Z39" i="28"/>
  <c r="AC26" i="28"/>
  <c r="F24" i="28" s="1"/>
  <c r="Z42" i="28"/>
  <c r="C33" i="26"/>
  <c r="AB16" i="37"/>
  <c r="Y38" i="37"/>
  <c r="Y44" i="37" s="1"/>
  <c r="AA6" i="37"/>
  <c r="AA36" i="37" s="1"/>
  <c r="V27" i="37"/>
  <c r="AB5" i="37"/>
  <c r="V36" i="37"/>
  <c r="AD8" i="37"/>
  <c r="W37" i="37"/>
  <c r="AC7" i="37"/>
  <c r="AB11" i="37"/>
  <c r="AB22" i="37"/>
  <c r="V39" i="37"/>
  <c r="AA37" i="28"/>
  <c r="AD8" i="28"/>
  <c r="U27" i="37"/>
  <c r="L43" i="28"/>
  <c r="L12" i="41" s="1"/>
  <c r="L43" i="37"/>
  <c r="AD9" i="28"/>
  <c r="K102" i="3"/>
  <c r="L42" i="37"/>
  <c r="N42" i="37"/>
  <c r="N42" i="28"/>
  <c r="N11" i="41" s="1"/>
  <c r="F5" i="41"/>
  <c r="C23" i="42"/>
  <c r="D16" i="28"/>
  <c r="C49" i="41"/>
  <c r="C45" i="41"/>
  <c r="C48" i="41"/>
  <c r="C44" i="41"/>
  <c r="V93" i="28" l="1"/>
  <c r="E29" i="28" s="1"/>
  <c r="D58" i="41" s="1"/>
  <c r="I68" i="48"/>
  <c r="I73" i="48" s="1"/>
  <c r="G99" i="3"/>
  <c r="AA93" i="28"/>
  <c r="AA92" i="48"/>
  <c r="U92" i="48" s="1"/>
  <c r="AA91" i="48"/>
  <c r="AA92" i="28"/>
  <c r="D80" i="48"/>
  <c r="F45" i="48"/>
  <c r="F46" i="48"/>
  <c r="F55" i="48"/>
  <c r="F42" i="48"/>
  <c r="F44" i="48"/>
  <c r="F43" i="48"/>
  <c r="W95" i="48"/>
  <c r="F56" i="48" s="1"/>
  <c r="F47" i="48"/>
  <c r="AB91" i="28"/>
  <c r="AB90" i="48"/>
  <c r="V90" i="48" s="1"/>
  <c r="AB89" i="28"/>
  <c r="AB88" i="48"/>
  <c r="V88" i="48" s="1"/>
  <c r="AB90" i="28"/>
  <c r="AB89" i="48"/>
  <c r="V89" i="48" s="1"/>
  <c r="J35" i="37"/>
  <c r="J63" i="48"/>
  <c r="F80" i="48"/>
  <c r="G66" i="48"/>
  <c r="P66" i="48" s="1"/>
  <c r="N68" i="48"/>
  <c r="N73" i="48" s="1"/>
  <c r="F62" i="48"/>
  <c r="AA90" i="28"/>
  <c r="AA89" i="48"/>
  <c r="U89" i="48" s="1"/>
  <c r="K68" i="48"/>
  <c r="K73" i="48" s="1"/>
  <c r="J68" i="48"/>
  <c r="J73" i="48" s="1"/>
  <c r="AA89" i="28"/>
  <c r="AA88" i="48"/>
  <c r="U88" i="48" s="1"/>
  <c r="F36" i="48"/>
  <c r="F34" i="48"/>
  <c r="F38" i="48"/>
  <c r="F37" i="48"/>
  <c r="F35" i="48"/>
  <c r="F33" i="48"/>
  <c r="W93" i="48"/>
  <c r="F40" i="48"/>
  <c r="F41" i="48"/>
  <c r="O68" i="48"/>
  <c r="O73" i="48" s="1"/>
  <c r="M68" i="48"/>
  <c r="M73" i="48" s="1"/>
  <c r="G14" i="48"/>
  <c r="G19" i="48" s="1"/>
  <c r="D19" i="48"/>
  <c r="H17" i="39"/>
  <c r="I17" i="39" s="1"/>
  <c r="C51" i="42"/>
  <c r="I42" i="28"/>
  <c r="I11" i="41" s="1"/>
  <c r="F11" i="41" s="1"/>
  <c r="L105" i="3"/>
  <c r="N54" i="41"/>
  <c r="N55" i="41" s="1"/>
  <c r="N61" i="41" s="1"/>
  <c r="AD21" i="37"/>
  <c r="AD19" i="37"/>
  <c r="G23" i="37"/>
  <c r="P23" i="37" s="1"/>
  <c r="K12" i="35"/>
  <c r="R103" i="3"/>
  <c r="M43" i="37"/>
  <c r="C64" i="42"/>
  <c r="D21" i="42"/>
  <c r="D49" i="42" s="1"/>
  <c r="I25" i="37"/>
  <c r="I31" i="37" s="1"/>
  <c r="O42" i="37"/>
  <c r="J100" i="3"/>
  <c r="J105" i="3" s="1"/>
  <c r="J35" i="28"/>
  <c r="J6" i="41" s="1"/>
  <c r="G95" i="3"/>
  <c r="R88" i="3"/>
  <c r="P99" i="3"/>
  <c r="W47" i="3"/>
  <c r="W51" i="3" s="1"/>
  <c r="F58" i="41"/>
  <c r="I59" i="41"/>
  <c r="I39" i="28"/>
  <c r="I10" i="41" s="1"/>
  <c r="F10" i="41" s="1"/>
  <c r="I39" i="37"/>
  <c r="J40" i="37"/>
  <c r="D38" i="42"/>
  <c r="D50" i="42" s="1"/>
  <c r="AA93" i="37"/>
  <c r="U92" i="37" s="1"/>
  <c r="D21" i="37" s="1"/>
  <c r="E39" i="28"/>
  <c r="D9" i="41"/>
  <c r="E52" i="28"/>
  <c r="C14" i="13"/>
  <c r="C15" i="13"/>
  <c r="C11" i="13"/>
  <c r="C22" i="41" s="1"/>
  <c r="C4" i="13"/>
  <c r="C19" i="13" s="1"/>
  <c r="C9" i="13"/>
  <c r="C13" i="13"/>
  <c r="C28" i="13" s="1"/>
  <c r="C5" i="13"/>
  <c r="C16" i="41" s="1"/>
  <c r="C6" i="13"/>
  <c r="C17" i="41" s="1"/>
  <c r="C7" i="13"/>
  <c r="C10" i="13"/>
  <c r="C8" i="13"/>
  <c r="C23" i="13" s="1"/>
  <c r="AD5" i="37"/>
  <c r="L40" i="28"/>
  <c r="L45" i="28" s="1"/>
  <c r="L40" i="37"/>
  <c r="L45" i="37" s="1"/>
  <c r="D37" i="28"/>
  <c r="C50" i="41"/>
  <c r="AD30" i="28"/>
  <c r="AD36" i="28"/>
  <c r="G96" i="3"/>
  <c r="U95" i="28"/>
  <c r="D24" i="28" s="1"/>
  <c r="C54" i="41" s="1"/>
  <c r="AD45" i="28"/>
  <c r="K35" i="37"/>
  <c r="K40" i="37" s="1"/>
  <c r="K100" i="3"/>
  <c r="K105" i="3" s="1"/>
  <c r="K35" i="28"/>
  <c r="X44" i="37"/>
  <c r="R96" i="3"/>
  <c r="I36" i="28"/>
  <c r="I7" i="41" s="1"/>
  <c r="F7" i="41" s="1"/>
  <c r="I36" i="37"/>
  <c r="R81" i="3"/>
  <c r="AD28" i="37"/>
  <c r="D36" i="28"/>
  <c r="D50" i="28" s="1"/>
  <c r="J12" i="35"/>
  <c r="M12" i="35" s="1"/>
  <c r="T9" i="39"/>
  <c r="T14" i="39" s="1"/>
  <c r="Y31" i="13"/>
  <c r="I15" i="41"/>
  <c r="V91" i="28"/>
  <c r="G97" i="3"/>
  <c r="M35" i="28"/>
  <c r="M100" i="3"/>
  <c r="M35" i="37"/>
  <c r="M40" i="37" s="1"/>
  <c r="M45" i="37" s="1"/>
  <c r="G81" i="3"/>
  <c r="P81" i="3" s="1"/>
  <c r="X31" i="13"/>
  <c r="E100" i="3"/>
  <c r="V89" i="28"/>
  <c r="N36" i="37"/>
  <c r="N36" i="28"/>
  <c r="N7" i="41" s="1"/>
  <c r="K54" i="41"/>
  <c r="K55" i="41" s="1"/>
  <c r="K61" i="41" s="1"/>
  <c r="K25" i="28"/>
  <c r="K31" i="28" s="1"/>
  <c r="R31" i="13"/>
  <c r="L23" i="13" s="1"/>
  <c r="I35" i="28"/>
  <c r="I35" i="37"/>
  <c r="I100" i="3"/>
  <c r="I105" i="3" s="1"/>
  <c r="N100" i="3"/>
  <c r="N105" i="3" s="1"/>
  <c r="N35" i="37"/>
  <c r="N35" i="28"/>
  <c r="O25" i="13"/>
  <c r="H10" i="13" s="1"/>
  <c r="I21" i="41" s="1"/>
  <c r="F21" i="41" s="1"/>
  <c r="O27" i="13"/>
  <c r="H12" i="13" s="1"/>
  <c r="I23" i="41" s="1"/>
  <c r="F23" i="41" s="1"/>
  <c r="O28" i="13"/>
  <c r="H13" i="13" s="1"/>
  <c r="I24" i="41" s="1"/>
  <c r="F24" i="41" s="1"/>
  <c r="O22" i="13"/>
  <c r="H7" i="13" s="1"/>
  <c r="I18" i="41" s="1"/>
  <c r="F18" i="41" s="1"/>
  <c r="O21" i="13"/>
  <c r="H6" i="13" s="1"/>
  <c r="I17" i="41" s="1"/>
  <c r="F17" i="41" s="1"/>
  <c r="O20" i="13"/>
  <c r="O23" i="13"/>
  <c r="H8" i="13" s="1"/>
  <c r="I19" i="41" s="1"/>
  <c r="F19" i="41" s="1"/>
  <c r="O26" i="13"/>
  <c r="H11" i="13" s="1"/>
  <c r="I22" i="41" s="1"/>
  <c r="F22" i="41" s="1"/>
  <c r="O30" i="13"/>
  <c r="H15" i="13" s="1"/>
  <c r="I26" i="41" s="1"/>
  <c r="F26" i="41" s="1"/>
  <c r="O29" i="13"/>
  <c r="H14" i="13" s="1"/>
  <c r="I25" i="41" s="1"/>
  <c r="F25" i="41" s="1"/>
  <c r="G94" i="3"/>
  <c r="D100" i="3"/>
  <c r="V8" i="39"/>
  <c r="L11" i="35"/>
  <c r="U24" i="13"/>
  <c r="U31" i="13" s="1"/>
  <c r="O24" i="13"/>
  <c r="H9" i="13" s="1"/>
  <c r="I20" i="41" s="1"/>
  <c r="F20" i="41" s="1"/>
  <c r="AD29" i="37"/>
  <c r="AD25" i="37"/>
  <c r="G88" i="3"/>
  <c r="P88" i="3" s="1"/>
  <c r="U88" i="28"/>
  <c r="D3" i="28" s="1"/>
  <c r="I11" i="35"/>
  <c r="S8" i="39"/>
  <c r="S13" i="39" s="1"/>
  <c r="K43" i="28"/>
  <c r="K12" i="41" s="1"/>
  <c r="K43" i="37"/>
  <c r="R95" i="3"/>
  <c r="O36" i="28"/>
  <c r="O36" i="37"/>
  <c r="O40" i="37" s="1"/>
  <c r="O45" i="37" s="1"/>
  <c r="O100" i="3"/>
  <c r="O105" i="3" s="1"/>
  <c r="I35" i="41"/>
  <c r="I25" i="28"/>
  <c r="I31" i="28" s="1"/>
  <c r="AA92" i="37"/>
  <c r="G98" i="3"/>
  <c r="U44" i="37"/>
  <c r="V44" i="37"/>
  <c r="AB40" i="37"/>
  <c r="E21" i="37"/>
  <c r="E38" i="37" s="1"/>
  <c r="E52" i="37" s="1"/>
  <c r="AA88" i="37"/>
  <c r="U88" i="37" s="1"/>
  <c r="D4" i="37" s="1"/>
  <c r="C25" i="41"/>
  <c r="C29" i="13"/>
  <c r="K42" i="37"/>
  <c r="R102" i="3"/>
  <c r="K42" i="28"/>
  <c r="K11" i="41" s="1"/>
  <c r="AB39" i="37"/>
  <c r="AB91" i="37" s="1"/>
  <c r="V91" i="37" s="1"/>
  <c r="AC37" i="37"/>
  <c r="AC89" i="37" s="1"/>
  <c r="W89" i="37" s="1"/>
  <c r="F5" i="37" s="1"/>
  <c r="C5" i="26"/>
  <c r="AC88" i="28"/>
  <c r="W88" i="28" s="1"/>
  <c r="F3" i="28" s="1"/>
  <c r="D11" i="37"/>
  <c r="D42" i="37" s="1"/>
  <c r="AD13" i="37"/>
  <c r="AA42" i="37"/>
  <c r="W32" i="37"/>
  <c r="AC27" i="37"/>
  <c r="AC32" i="37" s="1"/>
  <c r="J11" i="35"/>
  <c r="H34" i="39"/>
  <c r="T8" i="39"/>
  <c r="K11" i="35"/>
  <c r="U8" i="39"/>
  <c r="U13" i="39" s="1"/>
  <c r="C41" i="26"/>
  <c r="AC41" i="28"/>
  <c r="AD13" i="28"/>
  <c r="O11" i="41"/>
  <c r="AA37" i="37"/>
  <c r="AD7" i="37"/>
  <c r="AC42" i="37"/>
  <c r="F11" i="37"/>
  <c r="F42" i="37" s="1"/>
  <c r="F56" i="37" s="1"/>
  <c r="C20" i="41"/>
  <c r="C24" i="13"/>
  <c r="C23" i="41"/>
  <c r="AC94" i="37"/>
  <c r="F105" i="3"/>
  <c r="G102" i="3"/>
  <c r="P102" i="3" s="1"/>
  <c r="AC40" i="37"/>
  <c r="AC92" i="37" s="1"/>
  <c r="W92" i="37" s="1"/>
  <c r="F21" i="37" s="1"/>
  <c r="F38" i="37" s="1"/>
  <c r="F52" i="37" s="1"/>
  <c r="C51" i="26"/>
  <c r="AC40" i="28"/>
  <c r="AD23" i="28"/>
  <c r="C50" i="26"/>
  <c r="AC39" i="28"/>
  <c r="F20" i="28"/>
  <c r="AD22" i="28"/>
  <c r="AD11" i="37"/>
  <c r="W44" i="37"/>
  <c r="T27" i="13"/>
  <c r="Z31" i="13"/>
  <c r="D45" i="26"/>
  <c r="E45" i="41"/>
  <c r="AD12" i="37"/>
  <c r="U93" i="28"/>
  <c r="D29" i="28" s="1"/>
  <c r="C58" i="41" s="1"/>
  <c r="C26" i="41"/>
  <c r="C30" i="13"/>
  <c r="C18" i="41"/>
  <c r="C22" i="13"/>
  <c r="C21" i="41"/>
  <c r="C25" i="13"/>
  <c r="C44" i="26"/>
  <c r="F14" i="28"/>
  <c r="AD16" i="28"/>
  <c r="AB37" i="37"/>
  <c r="AB89" i="37" s="1"/>
  <c r="V89" i="37" s="1"/>
  <c r="E5" i="37" s="1"/>
  <c r="C58" i="26"/>
  <c r="AC46" i="28"/>
  <c r="AC27" i="28"/>
  <c r="W32" i="28"/>
  <c r="U89" i="28"/>
  <c r="D12" i="28" s="1"/>
  <c r="AB36" i="37"/>
  <c r="AB38" i="37"/>
  <c r="AB90" i="37" s="1"/>
  <c r="AD26" i="37"/>
  <c r="AA43" i="37"/>
  <c r="AC36" i="37"/>
  <c r="AC38" i="37"/>
  <c r="AC90" i="37" s="1"/>
  <c r="F14" i="37"/>
  <c r="F36" i="37" s="1"/>
  <c r="F50" i="37" s="1"/>
  <c r="D49" i="26"/>
  <c r="E49" i="41"/>
  <c r="E45" i="26"/>
  <c r="Z44" i="37"/>
  <c r="C20" i="13"/>
  <c r="S31" i="13"/>
  <c r="M28" i="13" s="1"/>
  <c r="D48" i="26"/>
  <c r="E48" i="26" s="1"/>
  <c r="E48" i="41"/>
  <c r="L13" i="41"/>
  <c r="J42" i="28"/>
  <c r="J11" i="41" s="1"/>
  <c r="J42" i="37"/>
  <c r="AC43" i="37"/>
  <c r="F24" i="37"/>
  <c r="F43" i="37" s="1"/>
  <c r="F57" i="37" s="1"/>
  <c r="AA40" i="37"/>
  <c r="AD23" i="37"/>
  <c r="M4" i="13"/>
  <c r="G90" i="3"/>
  <c r="E103" i="3"/>
  <c r="F28" i="28"/>
  <c r="D57" i="26" s="1"/>
  <c r="C57" i="26"/>
  <c r="D47" i="26"/>
  <c r="E47" i="26" s="1"/>
  <c r="E47" i="41"/>
  <c r="C34" i="26"/>
  <c r="AD6" i="28"/>
  <c r="I27" i="27"/>
  <c r="U32" i="37"/>
  <c r="AA27" i="37"/>
  <c r="V32" i="37"/>
  <c r="AB27" i="37"/>
  <c r="AB32" i="37" s="1"/>
  <c r="AD6" i="37"/>
  <c r="C54" i="26"/>
  <c r="AC42" i="28"/>
  <c r="U12" i="39"/>
  <c r="AD26" i="28"/>
  <c r="U14" i="39"/>
  <c r="N12" i="13"/>
  <c r="O12" i="13" s="1"/>
  <c r="D46" i="26"/>
  <c r="E46" i="26" s="1"/>
  <c r="E46" i="41"/>
  <c r="AC41" i="37"/>
  <c r="AD30" i="37"/>
  <c r="E11" i="37"/>
  <c r="E42" i="37" s="1"/>
  <c r="E56" i="37" s="1"/>
  <c r="AB42" i="37"/>
  <c r="AB94" i="37" s="1"/>
  <c r="AD22" i="37"/>
  <c r="AA39" i="37"/>
  <c r="D20" i="37"/>
  <c r="AC39" i="37"/>
  <c r="AC91" i="37" s="1"/>
  <c r="F20" i="37"/>
  <c r="F37" i="37" s="1"/>
  <c r="F51" i="37" s="1"/>
  <c r="E49" i="26"/>
  <c r="AD16" i="37"/>
  <c r="AA38" i="37"/>
  <c r="C35" i="26"/>
  <c r="AC37" i="28"/>
  <c r="AD7" i="28"/>
  <c r="C46" i="41"/>
  <c r="C47" i="41"/>
  <c r="C14" i="42"/>
  <c r="C18" i="42"/>
  <c r="C15" i="42"/>
  <c r="C19" i="42"/>
  <c r="D21" i="28"/>
  <c r="C39" i="42"/>
  <c r="F63" i="48" l="1"/>
  <c r="F77" i="48" s="1"/>
  <c r="P94" i="3"/>
  <c r="AD88" i="28"/>
  <c r="AD87" i="48"/>
  <c r="P97" i="3"/>
  <c r="AD91" i="28"/>
  <c r="AD90" i="48"/>
  <c r="F76" i="48"/>
  <c r="X88" i="48"/>
  <c r="E35" i="48"/>
  <c r="E38" i="48"/>
  <c r="E40" i="48"/>
  <c r="E34" i="48"/>
  <c r="E41" i="48"/>
  <c r="E33" i="48"/>
  <c r="V87" i="48"/>
  <c r="E37" i="48"/>
  <c r="E36" i="48"/>
  <c r="D57" i="48"/>
  <c r="X92" i="48"/>
  <c r="D33" i="48"/>
  <c r="D36" i="48"/>
  <c r="D34" i="48"/>
  <c r="D35" i="48"/>
  <c r="D37" i="48"/>
  <c r="D41" i="48"/>
  <c r="D40" i="48"/>
  <c r="D38" i="48"/>
  <c r="D55" i="48"/>
  <c r="D44" i="48"/>
  <c r="D46" i="48"/>
  <c r="D47" i="48"/>
  <c r="D43" i="48"/>
  <c r="D45" i="48"/>
  <c r="X89" i="48"/>
  <c r="F64" i="48"/>
  <c r="F78" i="48" s="1"/>
  <c r="G80" i="48"/>
  <c r="P98" i="3"/>
  <c r="AD91" i="48"/>
  <c r="P96" i="3"/>
  <c r="AD90" i="28"/>
  <c r="AD89" i="48"/>
  <c r="P95" i="3"/>
  <c r="AD89" i="28"/>
  <c r="AD88" i="48"/>
  <c r="F50" i="48"/>
  <c r="G50" i="48" s="1"/>
  <c r="P50" i="48" s="1"/>
  <c r="F51" i="48"/>
  <c r="G51" i="48" s="1"/>
  <c r="P51" i="48" s="1"/>
  <c r="F39" i="48"/>
  <c r="F53" i="48" s="1"/>
  <c r="F59" i="48" s="1"/>
  <c r="X93" i="48"/>
  <c r="E55" i="48"/>
  <c r="E46" i="48"/>
  <c r="E45" i="48"/>
  <c r="E43" i="48"/>
  <c r="E44" i="48"/>
  <c r="E42" i="48"/>
  <c r="E47" i="48"/>
  <c r="V95" i="48"/>
  <c r="E56" i="48" s="1"/>
  <c r="G56" i="48" s="1"/>
  <c r="P56" i="48" s="1"/>
  <c r="X90" i="48"/>
  <c r="E48" i="48"/>
  <c r="AD93" i="28"/>
  <c r="AD92" i="48"/>
  <c r="D43" i="28"/>
  <c r="C59" i="26"/>
  <c r="C33" i="41"/>
  <c r="C3" i="42" s="1"/>
  <c r="AC95" i="37"/>
  <c r="C21" i="13"/>
  <c r="C15" i="41"/>
  <c r="F32" i="42"/>
  <c r="C26" i="13"/>
  <c r="E16" i="42"/>
  <c r="F35" i="42"/>
  <c r="F26" i="42"/>
  <c r="F30" i="42"/>
  <c r="C16" i="42"/>
  <c r="E19" i="42"/>
  <c r="E17" i="42"/>
  <c r="E15" i="42"/>
  <c r="F31" i="42"/>
  <c r="F27" i="42"/>
  <c r="C20" i="42"/>
  <c r="C16" i="13"/>
  <c r="E18" i="42"/>
  <c r="F34" i="42"/>
  <c r="C19" i="41"/>
  <c r="C27" i="41" s="1"/>
  <c r="F28" i="42"/>
  <c r="F33" i="42"/>
  <c r="J40" i="28"/>
  <c r="J45" i="28" s="1"/>
  <c r="U93" i="37"/>
  <c r="D29" i="37" s="1"/>
  <c r="J13" i="41"/>
  <c r="F4" i="28"/>
  <c r="D34" i="26" s="1"/>
  <c r="E34" i="26" s="1"/>
  <c r="K45" i="37"/>
  <c r="I40" i="37"/>
  <c r="I45" i="37" s="1"/>
  <c r="F59" i="41"/>
  <c r="F38" i="42"/>
  <c r="J45" i="37"/>
  <c r="N40" i="37"/>
  <c r="N45" i="37" s="1"/>
  <c r="C48" i="42"/>
  <c r="E9" i="37"/>
  <c r="D10" i="41"/>
  <c r="E53" i="28"/>
  <c r="AD37" i="28"/>
  <c r="C24" i="41"/>
  <c r="K6" i="41"/>
  <c r="K13" i="41" s="1"/>
  <c r="K40" i="28"/>
  <c r="K45" i="28" s="1"/>
  <c r="AD40" i="37"/>
  <c r="AD92" i="37" s="1"/>
  <c r="D51" i="28"/>
  <c r="C8" i="41"/>
  <c r="D9" i="13"/>
  <c r="D4" i="13"/>
  <c r="D5" i="13"/>
  <c r="D7" i="13"/>
  <c r="D13" i="13"/>
  <c r="D15" i="13"/>
  <c r="D14" i="13"/>
  <c r="D8" i="13"/>
  <c r="D23" i="13" s="1"/>
  <c r="D11" i="13"/>
  <c r="D6" i="13"/>
  <c r="D10" i="13"/>
  <c r="L22" i="13"/>
  <c r="W9" i="39"/>
  <c r="W14" i="39" s="1"/>
  <c r="D105" i="3"/>
  <c r="G100" i="3"/>
  <c r="P100" i="3" s="1"/>
  <c r="N6" i="41"/>
  <c r="N13" i="41" s="1"/>
  <c r="N40" i="28"/>
  <c r="N45" i="28" s="1"/>
  <c r="V90" i="28"/>
  <c r="X91" i="28"/>
  <c r="E20" i="28"/>
  <c r="G20" i="28" s="1"/>
  <c r="P20" i="28" s="1"/>
  <c r="O7" i="41"/>
  <c r="O13" i="41" s="1"/>
  <c r="O40" i="28"/>
  <c r="O45" i="28" s="1"/>
  <c r="I6" i="41"/>
  <c r="I40" i="28"/>
  <c r="I45" i="28" s="1"/>
  <c r="C12" i="41"/>
  <c r="D57" i="28"/>
  <c r="R100" i="3"/>
  <c r="M105" i="3"/>
  <c r="R105" i="3" s="1"/>
  <c r="D4" i="28"/>
  <c r="C34" i="41" s="1"/>
  <c r="F35" i="41"/>
  <c r="I55" i="41"/>
  <c r="I61" i="41" s="1"/>
  <c r="O31" i="13"/>
  <c r="H5" i="13"/>
  <c r="L19" i="13"/>
  <c r="L26" i="13"/>
  <c r="L27" i="13"/>
  <c r="L20" i="13"/>
  <c r="L28" i="13"/>
  <c r="L21" i="13"/>
  <c r="L25" i="13"/>
  <c r="L24" i="13"/>
  <c r="L30" i="13"/>
  <c r="L29" i="13"/>
  <c r="E5" i="28"/>
  <c r="E12" i="28"/>
  <c r="D42" i="41" s="1"/>
  <c r="V88" i="28"/>
  <c r="E13" i="28"/>
  <c r="D43" i="41" s="1"/>
  <c r="E8" i="28"/>
  <c r="D38" i="41" s="1"/>
  <c r="E7" i="28"/>
  <c r="D37" i="41" s="1"/>
  <c r="E9" i="28"/>
  <c r="D39" i="41" s="1"/>
  <c r="E10" i="28"/>
  <c r="D40" i="41" s="1"/>
  <c r="E6" i="28"/>
  <c r="D36" i="41" s="1"/>
  <c r="M40" i="28"/>
  <c r="M45" i="28" s="1"/>
  <c r="M6" i="41"/>
  <c r="M13" i="41" s="1"/>
  <c r="F15" i="41"/>
  <c r="D28" i="13"/>
  <c r="C55" i="26"/>
  <c r="C61" i="26" s="1"/>
  <c r="C31" i="42"/>
  <c r="C6" i="26"/>
  <c r="W89" i="28"/>
  <c r="X89" i="28" s="1"/>
  <c r="C26" i="42"/>
  <c r="AC93" i="37"/>
  <c r="W93" i="37" s="1"/>
  <c r="F29" i="37" s="1"/>
  <c r="F39" i="37" s="1"/>
  <c r="F53" i="37" s="1"/>
  <c r="AD41" i="37"/>
  <c r="AD93" i="37" s="1"/>
  <c r="W12" i="39"/>
  <c r="E57" i="41"/>
  <c r="D38" i="37"/>
  <c r="G21" i="37"/>
  <c r="P21" i="37" s="1"/>
  <c r="AC44" i="37"/>
  <c r="AC88" i="37"/>
  <c r="W88" i="37" s="1"/>
  <c r="C30" i="42"/>
  <c r="C24" i="42"/>
  <c r="C29" i="42"/>
  <c r="M11" i="35"/>
  <c r="V90" i="37"/>
  <c r="X91" i="37"/>
  <c r="C34" i="42"/>
  <c r="AD38" i="37"/>
  <c r="AD90" i="37" s="1"/>
  <c r="AA90" i="37"/>
  <c r="U90" i="37"/>
  <c r="D37" i="37"/>
  <c r="G103" i="3"/>
  <c r="AB95" i="37"/>
  <c r="V95" i="37" s="1"/>
  <c r="E24" i="37" s="1"/>
  <c r="E43" i="37" s="1"/>
  <c r="E57" i="37" s="1"/>
  <c r="V95" i="28"/>
  <c r="E105" i="3"/>
  <c r="C33" i="42"/>
  <c r="AA95" i="37"/>
  <c r="U95" i="37" s="1"/>
  <c r="AD43" i="37"/>
  <c r="D5" i="28"/>
  <c r="D8" i="28"/>
  <c r="D9" i="28"/>
  <c r="D7" i="28"/>
  <c r="D13" i="28"/>
  <c r="D10" i="28"/>
  <c r="D6" i="28"/>
  <c r="W93" i="28"/>
  <c r="C10" i="26"/>
  <c r="V88" i="37"/>
  <c r="E8" i="37"/>
  <c r="E6" i="37"/>
  <c r="E13" i="37"/>
  <c r="E12" i="37"/>
  <c r="E7" i="37"/>
  <c r="E10" i="37"/>
  <c r="T31" i="13"/>
  <c r="N27" i="13" s="1"/>
  <c r="C31" i="13"/>
  <c r="C32" i="42"/>
  <c r="C11" i="26"/>
  <c r="AD41" i="28"/>
  <c r="G11" i="37"/>
  <c r="P11" i="37" s="1"/>
  <c r="D33" i="26"/>
  <c r="E33" i="41"/>
  <c r="D3" i="37"/>
  <c r="AD39" i="37"/>
  <c r="AD91" i="37" s="1"/>
  <c r="AA91" i="37"/>
  <c r="D54" i="26"/>
  <c r="E54" i="26" s="1"/>
  <c r="F43" i="28"/>
  <c r="E54" i="41"/>
  <c r="AA32" i="37"/>
  <c r="AD27" i="37"/>
  <c r="AD32" i="37" s="1"/>
  <c r="C25" i="42"/>
  <c r="C7" i="26"/>
  <c r="C35" i="42"/>
  <c r="D50" i="26"/>
  <c r="E50" i="26" s="1"/>
  <c r="F37" i="28"/>
  <c r="E50" i="41"/>
  <c r="AD37" i="37"/>
  <c r="AD89" i="37" s="1"/>
  <c r="AA89" i="37"/>
  <c r="U89" i="37" s="1"/>
  <c r="X92" i="37"/>
  <c r="W8" i="39"/>
  <c r="W13" i="39" s="1"/>
  <c r="T13" i="39"/>
  <c r="F13" i="37"/>
  <c r="F8" i="37"/>
  <c r="F6" i="37"/>
  <c r="F10" i="37"/>
  <c r="F12" i="37"/>
  <c r="F7" i="37"/>
  <c r="F9" i="37"/>
  <c r="AA44" i="37"/>
  <c r="C12" i="26"/>
  <c r="AD42" i="28"/>
  <c r="O4" i="13"/>
  <c r="M20" i="13"/>
  <c r="M24" i="13"/>
  <c r="M26" i="13"/>
  <c r="M30" i="13"/>
  <c r="M19" i="13"/>
  <c r="M23" i="13"/>
  <c r="M27" i="13"/>
  <c r="M25" i="13"/>
  <c r="M22" i="13"/>
  <c r="M21" i="13"/>
  <c r="M29" i="13"/>
  <c r="AB44" i="37"/>
  <c r="AC32" i="28"/>
  <c r="AD27" i="28"/>
  <c r="AD32" i="28" s="1"/>
  <c r="D44" i="26"/>
  <c r="E44" i="26" s="1"/>
  <c r="F36" i="28"/>
  <c r="E44" i="41"/>
  <c r="C27" i="42"/>
  <c r="AD46" i="28"/>
  <c r="C8" i="26"/>
  <c r="AD39" i="28"/>
  <c r="C9" i="26"/>
  <c r="AC92" i="28"/>
  <c r="W92" i="28" s="1"/>
  <c r="AD40" i="28"/>
  <c r="AD92" i="28" s="1"/>
  <c r="AD42" i="37"/>
  <c r="AD94" i="37" s="1"/>
  <c r="AA94" i="37"/>
  <c r="E20" i="37"/>
  <c r="E37" i="37" s="1"/>
  <c r="E51" i="37" s="1"/>
  <c r="AD36" i="37"/>
  <c r="AD88" i="37" s="1"/>
  <c r="C7" i="41"/>
  <c r="C17" i="42"/>
  <c r="C38" i="42"/>
  <c r="C50" i="42" s="1"/>
  <c r="D39" i="28"/>
  <c r="D53" i="28" s="1"/>
  <c r="C51" i="41"/>
  <c r="D38" i="28"/>
  <c r="D52" i="28" s="1"/>
  <c r="G38" i="48" l="1"/>
  <c r="P38" i="48" s="1"/>
  <c r="G35" i="48"/>
  <c r="P35" i="48" s="1"/>
  <c r="G46" i="48"/>
  <c r="P46" i="48" s="1"/>
  <c r="D67" i="48"/>
  <c r="G57" i="48"/>
  <c r="P57" i="48" s="1"/>
  <c r="G33" i="48"/>
  <c r="P33" i="48" s="1"/>
  <c r="E63" i="48"/>
  <c r="E77" i="48" s="1"/>
  <c r="F68" i="48"/>
  <c r="G45" i="48"/>
  <c r="P45" i="48" s="1"/>
  <c r="G44" i="48"/>
  <c r="P44" i="48" s="1"/>
  <c r="G36" i="48"/>
  <c r="P36" i="48" s="1"/>
  <c r="G41" i="48"/>
  <c r="P41" i="48" s="1"/>
  <c r="F70" i="48"/>
  <c r="G39" i="48"/>
  <c r="P39" i="48" s="1"/>
  <c r="D64" i="48"/>
  <c r="G43" i="48"/>
  <c r="P43" i="48" s="1"/>
  <c r="G55" i="48"/>
  <c r="D63" i="48"/>
  <c r="D53" i="48"/>
  <c r="G37" i="48"/>
  <c r="P37" i="48" s="1"/>
  <c r="G34" i="48"/>
  <c r="P34" i="48" s="1"/>
  <c r="E65" i="48"/>
  <c r="G48" i="48"/>
  <c r="P48" i="48" s="1"/>
  <c r="E64" i="48"/>
  <c r="E78" i="48" s="1"/>
  <c r="G42" i="48"/>
  <c r="P42" i="48" s="1"/>
  <c r="D34" i="28"/>
  <c r="G47" i="48"/>
  <c r="P47" i="48" s="1"/>
  <c r="X87" i="48"/>
  <c r="E32" i="48"/>
  <c r="G32" i="48" s="1"/>
  <c r="P32" i="48" s="1"/>
  <c r="E31" i="48"/>
  <c r="G40" i="48"/>
  <c r="P40" i="48" s="1"/>
  <c r="F82" i="48"/>
  <c r="C62" i="42"/>
  <c r="C28" i="42"/>
  <c r="AD95" i="37"/>
  <c r="C65" i="42"/>
  <c r="F34" i="28"/>
  <c r="E5" i="41" s="1"/>
  <c r="E34" i="41"/>
  <c r="G105" i="3"/>
  <c r="P105" i="3" s="1"/>
  <c r="X88" i="37"/>
  <c r="D25" i="28"/>
  <c r="D31" i="28" s="1"/>
  <c r="X93" i="37"/>
  <c r="F40" i="42"/>
  <c r="F66" i="42" s="1"/>
  <c r="F50" i="42"/>
  <c r="D9" i="42"/>
  <c r="D7" i="42"/>
  <c r="D12" i="42"/>
  <c r="C4" i="42"/>
  <c r="C45" i="42" s="1"/>
  <c r="D6" i="42"/>
  <c r="D8" i="42"/>
  <c r="D10" i="42"/>
  <c r="D13" i="42"/>
  <c r="C52" i="42"/>
  <c r="C41" i="13"/>
  <c r="C42" i="13"/>
  <c r="F6" i="41"/>
  <c r="F13" i="41" s="1"/>
  <c r="I13" i="41"/>
  <c r="E4" i="28"/>
  <c r="X88" i="28"/>
  <c r="E3" i="28"/>
  <c r="L31" i="13"/>
  <c r="F5" i="42"/>
  <c r="F61" i="42" s="1"/>
  <c r="F55" i="41"/>
  <c r="F61" i="41" s="1"/>
  <c r="D50" i="41"/>
  <c r="E37" i="28"/>
  <c r="G37" i="28" s="1"/>
  <c r="P37" i="28" s="1"/>
  <c r="I16" i="41"/>
  <c r="H16" i="13"/>
  <c r="D16" i="13"/>
  <c r="F24" i="42"/>
  <c r="E35" i="28"/>
  <c r="D35" i="41"/>
  <c r="V96" i="28"/>
  <c r="E16" i="28"/>
  <c r="E18" i="28"/>
  <c r="E14" i="28"/>
  <c r="E15" i="28"/>
  <c r="E17" i="28"/>
  <c r="E19" i="28"/>
  <c r="X90" i="28"/>
  <c r="C13" i="26"/>
  <c r="F35" i="37"/>
  <c r="F49" i="37" s="1"/>
  <c r="E35" i="37"/>
  <c r="E49" i="37" s="1"/>
  <c r="C44" i="13"/>
  <c r="C34" i="13"/>
  <c r="C40" i="13"/>
  <c r="C43" i="13"/>
  <c r="C39" i="13"/>
  <c r="D25" i="41"/>
  <c r="D29" i="13"/>
  <c r="F14" i="13"/>
  <c r="D22" i="41"/>
  <c r="D26" i="13"/>
  <c r="D17" i="41"/>
  <c r="D21" i="13"/>
  <c r="D20" i="41"/>
  <c r="D24" i="13"/>
  <c r="D18" i="41"/>
  <c r="D22" i="13"/>
  <c r="F7" i="13"/>
  <c r="D23" i="41"/>
  <c r="D27" i="13"/>
  <c r="F12" i="13"/>
  <c r="D19" i="41"/>
  <c r="D16" i="41"/>
  <c r="D20" i="13"/>
  <c r="F5" i="13"/>
  <c r="E33" i="26"/>
  <c r="N29" i="13"/>
  <c r="N24" i="13"/>
  <c r="F9" i="13" s="1"/>
  <c r="N20" i="13"/>
  <c r="N23" i="13"/>
  <c r="N22" i="13"/>
  <c r="N30" i="13"/>
  <c r="N26" i="13"/>
  <c r="N19" i="13"/>
  <c r="N28" i="13"/>
  <c r="N21" i="13"/>
  <c r="N25" i="13"/>
  <c r="E4" i="37"/>
  <c r="E3" i="37"/>
  <c r="C39" i="41"/>
  <c r="C45" i="13"/>
  <c r="D19" i="13"/>
  <c r="D15" i="41"/>
  <c r="D21" i="41"/>
  <c r="D25" i="13"/>
  <c r="F10" i="13"/>
  <c r="E20" i="42"/>
  <c r="E3" i="42"/>
  <c r="E23" i="41"/>
  <c r="E27" i="13"/>
  <c r="D23" i="26"/>
  <c r="C37" i="13"/>
  <c r="C40" i="41"/>
  <c r="C38" i="41"/>
  <c r="X95" i="37"/>
  <c r="D24" i="37"/>
  <c r="C35" i="13"/>
  <c r="E24" i="28"/>
  <c r="G20" i="37"/>
  <c r="P20" i="37" s="1"/>
  <c r="E17" i="37"/>
  <c r="E28" i="37"/>
  <c r="E18" i="37"/>
  <c r="E15" i="37"/>
  <c r="E19" i="37"/>
  <c r="E16" i="37"/>
  <c r="E14" i="37"/>
  <c r="E39" i="42"/>
  <c r="E14" i="42"/>
  <c r="E62" i="42" s="1"/>
  <c r="D26" i="41"/>
  <c r="D30" i="13"/>
  <c r="F15" i="13"/>
  <c r="AD44" i="37"/>
  <c r="E8" i="41"/>
  <c r="D8" i="26"/>
  <c r="E8" i="26" s="1"/>
  <c r="F51" i="28"/>
  <c r="D12" i="26"/>
  <c r="E12" i="26" s="1"/>
  <c r="E12" i="41"/>
  <c r="F57" i="28"/>
  <c r="D56" i="37"/>
  <c r="G56" i="37" s="1"/>
  <c r="G42" i="37"/>
  <c r="P42" i="37" s="1"/>
  <c r="G29" i="37"/>
  <c r="P29" i="37" s="1"/>
  <c r="D39" i="37"/>
  <c r="C46" i="13"/>
  <c r="F29" i="28"/>
  <c r="X93" i="28"/>
  <c r="C43" i="41"/>
  <c r="D35" i="28"/>
  <c r="C35" i="41"/>
  <c r="C38" i="13"/>
  <c r="D51" i="37"/>
  <c r="G51" i="37" s="1"/>
  <c r="G37" i="37"/>
  <c r="P37" i="37" s="1"/>
  <c r="F3" i="37"/>
  <c r="F4" i="37"/>
  <c r="E57" i="26"/>
  <c r="X92" i="28"/>
  <c r="F21" i="28"/>
  <c r="D7" i="26"/>
  <c r="E7" i="26" s="1"/>
  <c r="F50" i="28"/>
  <c r="E7" i="41"/>
  <c r="M31" i="13"/>
  <c r="D24" i="41"/>
  <c r="F13" i="13"/>
  <c r="X89" i="37"/>
  <c r="D13" i="37"/>
  <c r="G13" i="37" s="1"/>
  <c r="P13" i="37" s="1"/>
  <c r="D8" i="37"/>
  <c r="G8" i="37" s="1"/>
  <c r="P8" i="37" s="1"/>
  <c r="D6" i="37"/>
  <c r="G6" i="37" s="1"/>
  <c r="P6" i="37" s="1"/>
  <c r="D12" i="37"/>
  <c r="G12" i="37" s="1"/>
  <c r="P12" i="37" s="1"/>
  <c r="D7" i="37"/>
  <c r="G7" i="37" s="1"/>
  <c r="P7" i="37" s="1"/>
  <c r="D9" i="37"/>
  <c r="G9" i="37" s="1"/>
  <c r="P9" i="37" s="1"/>
  <c r="D10" i="37"/>
  <c r="G10" i="37" s="1"/>
  <c r="P10" i="37" s="1"/>
  <c r="D5" i="37"/>
  <c r="C36" i="13"/>
  <c r="D34" i="37"/>
  <c r="C36" i="41"/>
  <c r="C37" i="41"/>
  <c r="C42" i="41"/>
  <c r="X90" i="37"/>
  <c r="D19" i="37"/>
  <c r="D28" i="37"/>
  <c r="D15" i="37"/>
  <c r="D17" i="37"/>
  <c r="D18" i="37"/>
  <c r="D16" i="37"/>
  <c r="D14" i="37"/>
  <c r="G38" i="37"/>
  <c r="P38" i="37" s="1"/>
  <c r="D52" i="37"/>
  <c r="G52" i="37" s="1"/>
  <c r="W94" i="28"/>
  <c r="F10" i="28"/>
  <c r="F12" i="28"/>
  <c r="F8" i="28"/>
  <c r="G8" i="28" s="1"/>
  <c r="P8" i="28" s="1"/>
  <c r="F13" i="28"/>
  <c r="F6" i="28"/>
  <c r="F7" i="28"/>
  <c r="G7" i="28" s="1"/>
  <c r="P7" i="28" s="1"/>
  <c r="F9" i="28"/>
  <c r="G9" i="28" s="1"/>
  <c r="P9" i="28" s="1"/>
  <c r="F5" i="28"/>
  <c r="G5" i="28" s="1"/>
  <c r="P5" i="28" s="1"/>
  <c r="C47" i="42"/>
  <c r="C10" i="41"/>
  <c r="C9" i="41"/>
  <c r="C21" i="42"/>
  <c r="C63" i="42" s="1"/>
  <c r="C59" i="41"/>
  <c r="G31" i="48" l="1"/>
  <c r="P31" i="48" s="1"/>
  <c r="P53" i="48" s="1"/>
  <c r="P59" i="48" s="1"/>
  <c r="E53" i="48"/>
  <c r="E59" i="48" s="1"/>
  <c r="E62" i="48"/>
  <c r="E79" i="48"/>
  <c r="G79" i="48" s="1"/>
  <c r="G65" i="48"/>
  <c r="P65" i="48" s="1"/>
  <c r="D77" i="48"/>
  <c r="G63" i="48"/>
  <c r="P63" i="48" s="1"/>
  <c r="D68" i="48"/>
  <c r="D73" i="48" s="1"/>
  <c r="G70" i="48"/>
  <c r="P70" i="48" s="1"/>
  <c r="F84" i="48"/>
  <c r="G84" i="48" s="1"/>
  <c r="E28" i="28"/>
  <c r="E36" i="28" s="1"/>
  <c r="X96" i="28"/>
  <c r="F73" i="48"/>
  <c r="D81" i="48"/>
  <c r="G81" i="48" s="1"/>
  <c r="G67" i="48"/>
  <c r="P67" i="48" s="1"/>
  <c r="D59" i="48"/>
  <c r="G53" i="48"/>
  <c r="G59" i="48" s="1"/>
  <c r="D78" i="48"/>
  <c r="G78" i="48" s="1"/>
  <c r="G64" i="48"/>
  <c r="P64" i="48" s="1"/>
  <c r="D40" i="28"/>
  <c r="D45" i="28" s="1"/>
  <c r="G15" i="37"/>
  <c r="P15" i="37" s="1"/>
  <c r="G17" i="37"/>
  <c r="P17" i="37" s="1"/>
  <c r="F48" i="28"/>
  <c r="E32" i="42"/>
  <c r="D5" i="26"/>
  <c r="E5" i="26" s="1"/>
  <c r="E4" i="42"/>
  <c r="E45" i="42" s="1"/>
  <c r="G19" i="37"/>
  <c r="P19" i="37" s="1"/>
  <c r="G3" i="37"/>
  <c r="P3" i="37" s="1"/>
  <c r="C60" i="42"/>
  <c r="D20" i="42"/>
  <c r="D63" i="42" s="1"/>
  <c r="D5" i="42"/>
  <c r="D61" i="42" s="1"/>
  <c r="C55" i="41"/>
  <c r="C61" i="41" s="1"/>
  <c r="G50" i="41"/>
  <c r="G18" i="37"/>
  <c r="P18" i="37" s="1"/>
  <c r="G28" i="37"/>
  <c r="P28" i="37" s="1"/>
  <c r="C5" i="41"/>
  <c r="D48" i="28"/>
  <c r="G16" i="37"/>
  <c r="P16" i="37" s="1"/>
  <c r="D47" i="41"/>
  <c r="G17" i="28"/>
  <c r="P17" i="28" s="1"/>
  <c r="D46" i="41"/>
  <c r="G16" i="28"/>
  <c r="P16" i="28" s="1"/>
  <c r="F16" i="41"/>
  <c r="I27" i="41"/>
  <c r="D45" i="41"/>
  <c r="G15" i="28"/>
  <c r="P15" i="28" s="1"/>
  <c r="D57" i="41"/>
  <c r="F46" i="42"/>
  <c r="F55" i="42" s="1"/>
  <c r="G4" i="28"/>
  <c r="P4" i="28" s="1"/>
  <c r="D34" i="41"/>
  <c r="D44" i="41"/>
  <c r="G14" i="28"/>
  <c r="P14" i="28" s="1"/>
  <c r="D8" i="41"/>
  <c r="G8" i="41" s="1"/>
  <c r="E51" i="28"/>
  <c r="G51" i="28" s="1"/>
  <c r="D49" i="41"/>
  <c r="G19" i="28"/>
  <c r="P19" i="28" s="1"/>
  <c r="D48" i="41"/>
  <c r="G18" i="28"/>
  <c r="P18" i="28" s="1"/>
  <c r="E49" i="28"/>
  <c r="D6" i="41"/>
  <c r="D33" i="41"/>
  <c r="E34" i="28"/>
  <c r="G3" i="28"/>
  <c r="P3" i="28" s="1"/>
  <c r="E36" i="37"/>
  <c r="E50" i="37" s="1"/>
  <c r="C5" i="42"/>
  <c r="C13" i="42"/>
  <c r="C10" i="42"/>
  <c r="E48" i="42"/>
  <c r="D30" i="42"/>
  <c r="G4" i="37"/>
  <c r="P4" i="37" s="1"/>
  <c r="N31" i="13"/>
  <c r="E19" i="41"/>
  <c r="E23" i="13"/>
  <c r="D19" i="26"/>
  <c r="F23" i="13"/>
  <c r="D32" i="42"/>
  <c r="G32" i="42" s="1"/>
  <c r="G23" i="41"/>
  <c r="D31" i="42"/>
  <c r="D42" i="26"/>
  <c r="E42" i="26" s="1"/>
  <c r="E42" i="41"/>
  <c r="C12" i="42"/>
  <c r="C6" i="42"/>
  <c r="D36" i="26"/>
  <c r="E36" i="26" s="1"/>
  <c r="E36" i="41"/>
  <c r="D40" i="26"/>
  <c r="E40" i="26" s="1"/>
  <c r="E40" i="41"/>
  <c r="D35" i="42"/>
  <c r="D54" i="41"/>
  <c r="E43" i="28"/>
  <c r="G24" i="28"/>
  <c r="P24" i="28" s="1"/>
  <c r="E25" i="28"/>
  <c r="C8" i="42"/>
  <c r="E21" i="41"/>
  <c r="E25" i="13"/>
  <c r="F25" i="13" s="1"/>
  <c r="D21" i="26"/>
  <c r="E22" i="41"/>
  <c r="E26" i="13"/>
  <c r="F26" i="13" s="1"/>
  <c r="D22" i="26"/>
  <c r="E16" i="41"/>
  <c r="E20" i="13"/>
  <c r="F20" i="13" s="1"/>
  <c r="D16" i="26"/>
  <c r="D28" i="42"/>
  <c r="D26" i="42"/>
  <c r="F35" i="28"/>
  <c r="G35" i="28" s="1"/>
  <c r="P35" i="28" s="1"/>
  <c r="D35" i="26"/>
  <c r="E35" i="41"/>
  <c r="C7" i="42"/>
  <c r="D25" i="37"/>
  <c r="D33" i="42"/>
  <c r="F34" i="37"/>
  <c r="F25" i="37"/>
  <c r="F31" i="37" s="1"/>
  <c r="D49" i="28"/>
  <c r="C6" i="41"/>
  <c r="D58" i="26"/>
  <c r="E58" i="41"/>
  <c r="F39" i="28"/>
  <c r="G29" i="28"/>
  <c r="P29" i="28" s="1"/>
  <c r="D24" i="42"/>
  <c r="D27" i="41"/>
  <c r="C9" i="42"/>
  <c r="E17" i="41"/>
  <c r="E21" i="13"/>
  <c r="D17" i="26"/>
  <c r="E26" i="41"/>
  <c r="E30" i="13"/>
  <c r="D26" i="26"/>
  <c r="E20" i="41"/>
  <c r="E24" i="13"/>
  <c r="D20" i="26"/>
  <c r="D25" i="42"/>
  <c r="D29" i="42"/>
  <c r="F11" i="13"/>
  <c r="D37" i="26"/>
  <c r="E37" i="26" s="1"/>
  <c r="E37" i="41"/>
  <c r="D43" i="26"/>
  <c r="E43" i="26" s="1"/>
  <c r="E43" i="41"/>
  <c r="X94" i="28"/>
  <c r="F23" i="28"/>
  <c r="F22" i="28"/>
  <c r="F11" i="28"/>
  <c r="D39" i="26"/>
  <c r="E39" i="26" s="1"/>
  <c r="E39" i="41"/>
  <c r="D38" i="26"/>
  <c r="E38" i="26" s="1"/>
  <c r="E38" i="41"/>
  <c r="G14" i="37"/>
  <c r="P14" i="37" s="1"/>
  <c r="D36" i="37"/>
  <c r="G12" i="28"/>
  <c r="P12" i="28" s="1"/>
  <c r="G6" i="28"/>
  <c r="P6" i="28" s="1"/>
  <c r="D48" i="37"/>
  <c r="D35" i="37"/>
  <c r="G5" i="37"/>
  <c r="P5" i="37" s="1"/>
  <c r="D51" i="26"/>
  <c r="E51" i="26" s="1"/>
  <c r="F38" i="28"/>
  <c r="E51" i="41"/>
  <c r="G21" i="28"/>
  <c r="P21" i="28" s="1"/>
  <c r="G13" i="28"/>
  <c r="P13" i="28" s="1"/>
  <c r="G39" i="37"/>
  <c r="P39" i="37" s="1"/>
  <c r="D53" i="37"/>
  <c r="G53" i="37" s="1"/>
  <c r="E47" i="42"/>
  <c r="G24" i="37"/>
  <c r="P24" i="37" s="1"/>
  <c r="D43" i="37"/>
  <c r="G10" i="28"/>
  <c r="P10" i="28" s="1"/>
  <c r="D31" i="13"/>
  <c r="D41" i="13" s="1"/>
  <c r="E25" i="37"/>
  <c r="E31" i="37" s="1"/>
  <c r="E34" i="37"/>
  <c r="E24" i="41"/>
  <c r="E28" i="13"/>
  <c r="D24" i="26"/>
  <c r="E18" i="41"/>
  <c r="E22" i="13"/>
  <c r="D18" i="26"/>
  <c r="E25" i="41"/>
  <c r="E29" i="13"/>
  <c r="F29" i="13" s="1"/>
  <c r="D25" i="26"/>
  <c r="F8" i="13"/>
  <c r="F27" i="13"/>
  <c r="D27" i="42"/>
  <c r="F6" i="13"/>
  <c r="D34" i="42"/>
  <c r="C49" i="42"/>
  <c r="C40" i="42"/>
  <c r="C66" i="42" s="1"/>
  <c r="G28" i="28" l="1"/>
  <c r="P28" i="28" s="1"/>
  <c r="G62" i="48"/>
  <c r="E76" i="48"/>
  <c r="E68" i="48"/>
  <c r="E73" i="48" s="1"/>
  <c r="G73" i="48" s="1"/>
  <c r="G77" i="48"/>
  <c r="D82" i="48"/>
  <c r="F87" i="48"/>
  <c r="E60" i="42"/>
  <c r="E25" i="42"/>
  <c r="E28" i="42"/>
  <c r="E33" i="42"/>
  <c r="D65" i="42"/>
  <c r="E27" i="42"/>
  <c r="E26" i="42"/>
  <c r="E30" i="42"/>
  <c r="E29" i="42"/>
  <c r="E34" i="42"/>
  <c r="E35" i="42"/>
  <c r="E31" i="42"/>
  <c r="G20" i="42"/>
  <c r="D48" i="42"/>
  <c r="G48" i="42" s="1"/>
  <c r="D54" i="28"/>
  <c r="D59" i="28" s="1"/>
  <c r="E9" i="42"/>
  <c r="G9" i="42" s="1"/>
  <c r="E7" i="42"/>
  <c r="G7" i="42" s="1"/>
  <c r="E10" i="42"/>
  <c r="G10" i="42" s="1"/>
  <c r="E8" i="42"/>
  <c r="G8" i="42" s="1"/>
  <c r="E13" i="42"/>
  <c r="G13" i="42" s="1"/>
  <c r="C13" i="41"/>
  <c r="E6" i="42"/>
  <c r="G6" i="42" s="1"/>
  <c r="E12" i="42"/>
  <c r="G12" i="42" s="1"/>
  <c r="D46" i="42"/>
  <c r="C61" i="42"/>
  <c r="C67" i="42" s="1"/>
  <c r="G28" i="42"/>
  <c r="C36" i="42"/>
  <c r="C42" i="42" s="1"/>
  <c r="G25" i="41"/>
  <c r="G42" i="41"/>
  <c r="G34" i="42"/>
  <c r="G16" i="41"/>
  <c r="G19" i="41"/>
  <c r="G20" i="41"/>
  <c r="D3" i="42"/>
  <c r="G33" i="41"/>
  <c r="D18" i="42"/>
  <c r="G18" i="42" s="1"/>
  <c r="G48" i="41"/>
  <c r="D4" i="42"/>
  <c r="G4" i="42" s="1"/>
  <c r="G34" i="41"/>
  <c r="D7" i="41"/>
  <c r="G7" i="41" s="1"/>
  <c r="E50" i="28"/>
  <c r="G50" i="28" s="1"/>
  <c r="G36" i="28"/>
  <c r="P36" i="28" s="1"/>
  <c r="D39" i="42"/>
  <c r="D59" i="41"/>
  <c r="G57" i="41"/>
  <c r="D16" i="42"/>
  <c r="G16" i="42" s="1"/>
  <c r="G46" i="41"/>
  <c r="D19" i="42"/>
  <c r="G19" i="42" s="1"/>
  <c r="G49" i="41"/>
  <c r="D14" i="42"/>
  <c r="G44" i="41"/>
  <c r="F25" i="42"/>
  <c r="F65" i="42" s="1"/>
  <c r="F67" i="42" s="1"/>
  <c r="F27" i="41"/>
  <c r="D5" i="41"/>
  <c r="G5" i="41" s="1"/>
  <c r="G34" i="28"/>
  <c r="P34" i="28" s="1"/>
  <c r="E48" i="28"/>
  <c r="E40" i="28"/>
  <c r="E45" i="28" s="1"/>
  <c r="D15" i="42"/>
  <c r="G15" i="42" s="1"/>
  <c r="G45" i="41"/>
  <c r="D17" i="42"/>
  <c r="G17" i="42" s="1"/>
  <c r="G47" i="41"/>
  <c r="G31" i="42"/>
  <c r="F25" i="28"/>
  <c r="F31" i="28" s="1"/>
  <c r="G36" i="41"/>
  <c r="G18" i="41"/>
  <c r="D34" i="13"/>
  <c r="D40" i="13"/>
  <c r="D10" i="26"/>
  <c r="E10" i="26" s="1"/>
  <c r="E10" i="41"/>
  <c r="F53" i="28"/>
  <c r="G39" i="28"/>
  <c r="P39" i="28" s="1"/>
  <c r="G33" i="42"/>
  <c r="G17" i="41"/>
  <c r="D43" i="13"/>
  <c r="D36" i="13"/>
  <c r="D38" i="13"/>
  <c r="G30" i="42"/>
  <c r="G43" i="41"/>
  <c r="D42" i="13"/>
  <c r="E21" i="42"/>
  <c r="E63" i="42" s="1"/>
  <c r="G51" i="41"/>
  <c r="D49" i="37"/>
  <c r="G49" i="37" s="1"/>
  <c r="G35" i="37"/>
  <c r="P35" i="37" s="1"/>
  <c r="D50" i="37"/>
  <c r="G50" i="37" s="1"/>
  <c r="G36" i="37"/>
  <c r="P36" i="37" s="1"/>
  <c r="D41" i="26"/>
  <c r="E41" i="26" s="1"/>
  <c r="F42" i="28"/>
  <c r="E41" i="41"/>
  <c r="G11" i="28"/>
  <c r="P11" i="28" s="1"/>
  <c r="G29" i="42"/>
  <c r="G39" i="41"/>
  <c r="D52" i="42"/>
  <c r="E38" i="42"/>
  <c r="G58" i="41"/>
  <c r="E59" i="41"/>
  <c r="G25" i="37"/>
  <c r="P25" i="37" s="1"/>
  <c r="D31" i="37"/>
  <c r="G31" i="37" s="1"/>
  <c r="P31" i="37" s="1"/>
  <c r="E5" i="42"/>
  <c r="G26" i="42"/>
  <c r="G38" i="41"/>
  <c r="D12" i="41"/>
  <c r="E57" i="28"/>
  <c r="G57" i="28" s="1"/>
  <c r="G43" i="28"/>
  <c r="P43" i="28" s="1"/>
  <c r="G26" i="41"/>
  <c r="G22" i="41"/>
  <c r="E40" i="37"/>
  <c r="E45" i="37" s="1"/>
  <c r="E48" i="37"/>
  <c r="E54" i="37" s="1"/>
  <c r="E59" i="37" s="1"/>
  <c r="D46" i="13"/>
  <c r="D9" i="26"/>
  <c r="E9" i="26" s="1"/>
  <c r="E9" i="41"/>
  <c r="G9" i="41" s="1"/>
  <c r="F52" i="28"/>
  <c r="G52" i="28" s="1"/>
  <c r="G38" i="28"/>
  <c r="G34" i="37"/>
  <c r="P34" i="37" s="1"/>
  <c r="D52" i="26"/>
  <c r="E52" i="26" s="1"/>
  <c r="E52" i="41"/>
  <c r="G22" i="28"/>
  <c r="P22" i="28" s="1"/>
  <c r="D44" i="13"/>
  <c r="F22" i="13"/>
  <c r="E58" i="26"/>
  <c r="D59" i="26"/>
  <c r="G37" i="41"/>
  <c r="E35" i="26"/>
  <c r="F24" i="13"/>
  <c r="G54" i="41"/>
  <c r="D55" i="41"/>
  <c r="G35" i="42"/>
  <c r="F30" i="13"/>
  <c r="G35" i="41"/>
  <c r="G27" i="42"/>
  <c r="G43" i="37"/>
  <c r="P43" i="37" s="1"/>
  <c r="D57" i="37"/>
  <c r="G57" i="37" s="1"/>
  <c r="D40" i="37"/>
  <c r="D53" i="26"/>
  <c r="E53" i="26" s="1"/>
  <c r="G23" i="28"/>
  <c r="P23" i="28" s="1"/>
  <c r="E53" i="41"/>
  <c r="D37" i="13"/>
  <c r="F48" i="37"/>
  <c r="F54" i="37" s="1"/>
  <c r="F59" i="37" s="1"/>
  <c r="F40" i="37"/>
  <c r="F45" i="37" s="1"/>
  <c r="G24" i="41"/>
  <c r="D6" i="26"/>
  <c r="F49" i="28"/>
  <c r="G49" i="28" s="1"/>
  <c r="E6" i="41"/>
  <c r="G6" i="41" s="1"/>
  <c r="F40" i="28"/>
  <c r="D39" i="13"/>
  <c r="D35" i="13"/>
  <c r="E31" i="28"/>
  <c r="F28" i="13"/>
  <c r="F21" i="13"/>
  <c r="E15" i="41"/>
  <c r="E19" i="13"/>
  <c r="D15" i="26"/>
  <c r="E16" i="13"/>
  <c r="K15" i="41" s="1"/>
  <c r="L15" i="41"/>
  <c r="F4" i="13"/>
  <c r="G21" i="41"/>
  <c r="G40" i="41"/>
  <c r="D45" i="13"/>
  <c r="C46" i="42"/>
  <c r="E82" i="48" l="1"/>
  <c r="E87" i="48" s="1"/>
  <c r="G76" i="48"/>
  <c r="G82" i="48"/>
  <c r="D87" i="48"/>
  <c r="G87" i="48" s="1"/>
  <c r="G68" i="48"/>
  <c r="P62" i="48"/>
  <c r="P68" i="48" s="1"/>
  <c r="P73" i="48" s="1"/>
  <c r="G25" i="28"/>
  <c r="G31" i="28" s="1"/>
  <c r="E61" i="42"/>
  <c r="D61" i="41"/>
  <c r="D62" i="42"/>
  <c r="D60" i="42"/>
  <c r="G5" i="42"/>
  <c r="G61" i="42" s="1"/>
  <c r="G14" i="42"/>
  <c r="G62" i="42" s="1"/>
  <c r="G25" i="42"/>
  <c r="C53" i="42"/>
  <c r="C55" i="42"/>
  <c r="D36" i="42"/>
  <c r="G59" i="41"/>
  <c r="P25" i="28"/>
  <c r="P31" i="28" s="1"/>
  <c r="D47" i="42"/>
  <c r="G47" i="42" s="1"/>
  <c r="D40" i="42"/>
  <c r="D66" i="42" s="1"/>
  <c r="G39" i="42"/>
  <c r="G48" i="28"/>
  <c r="E54" i="28"/>
  <c r="E59" i="28" s="1"/>
  <c r="D45" i="42"/>
  <c r="G3" i="42"/>
  <c r="G60" i="42" s="1"/>
  <c r="F45" i="28"/>
  <c r="G45" i="28" s="1"/>
  <c r="F52" i="42"/>
  <c r="F53" i="42" s="1"/>
  <c r="F36" i="42"/>
  <c r="F42" i="42" s="1"/>
  <c r="J15" i="41"/>
  <c r="N15" i="41"/>
  <c r="O15" i="41"/>
  <c r="G12" i="41"/>
  <c r="D13" i="41"/>
  <c r="G10" i="41"/>
  <c r="D54" i="37"/>
  <c r="E27" i="41"/>
  <c r="E24" i="42"/>
  <c r="E65" i="42" s="1"/>
  <c r="G15" i="41"/>
  <c r="G27" i="41" s="1"/>
  <c r="M15" i="41"/>
  <c r="G40" i="37"/>
  <c r="P40" i="37" s="1"/>
  <c r="D45" i="37"/>
  <c r="G45" i="37" s="1"/>
  <c r="P45" i="37" s="1"/>
  <c r="G40" i="28"/>
  <c r="P38" i="28"/>
  <c r="P40" i="28" s="1"/>
  <c r="G41" i="41"/>
  <c r="E11" i="42"/>
  <c r="E49" i="42"/>
  <c r="G49" i="42" s="1"/>
  <c r="G21" i="42"/>
  <c r="G63" i="42" s="1"/>
  <c r="L23" i="41"/>
  <c r="M23" i="41"/>
  <c r="J23" i="41"/>
  <c r="N23" i="41"/>
  <c r="O23" i="41"/>
  <c r="K23" i="41"/>
  <c r="K19" i="41"/>
  <c r="J21" i="41"/>
  <c r="N22" i="41"/>
  <c r="O22" i="41"/>
  <c r="O16" i="41"/>
  <c r="O17" i="41"/>
  <c r="K26" i="41"/>
  <c r="L26" i="41"/>
  <c r="J20" i="41"/>
  <c r="J24" i="41"/>
  <c r="K18" i="41"/>
  <c r="J25" i="41"/>
  <c r="L25" i="41"/>
  <c r="M25" i="41"/>
  <c r="F16" i="13"/>
  <c r="N19" i="41"/>
  <c r="K21" i="41"/>
  <c r="L21" i="41"/>
  <c r="M22" i="41"/>
  <c r="J16" i="41"/>
  <c r="N16" i="41"/>
  <c r="N17" i="41"/>
  <c r="O26" i="41"/>
  <c r="M20" i="41"/>
  <c r="L20" i="41"/>
  <c r="N24" i="41"/>
  <c r="O18" i="41"/>
  <c r="M18" i="41"/>
  <c r="J19" i="41"/>
  <c r="L19" i="41"/>
  <c r="M21" i="41"/>
  <c r="L22" i="41"/>
  <c r="K16" i="41"/>
  <c r="K17" i="41"/>
  <c r="J17" i="41"/>
  <c r="M26" i="41"/>
  <c r="O20" i="41"/>
  <c r="K20" i="41"/>
  <c r="M24" i="41"/>
  <c r="L24" i="41"/>
  <c r="J18" i="41"/>
  <c r="K25" i="41"/>
  <c r="N25" i="41"/>
  <c r="O24" i="41"/>
  <c r="L18" i="41"/>
  <c r="O25" i="41"/>
  <c r="M19" i="41"/>
  <c r="O19" i="41"/>
  <c r="O21" i="41"/>
  <c r="N21" i="41"/>
  <c r="J22" i="41"/>
  <c r="K22" i="41"/>
  <c r="M16" i="41"/>
  <c r="L16" i="41"/>
  <c r="M17" i="41"/>
  <c r="L17" i="41"/>
  <c r="J26" i="41"/>
  <c r="N26" i="41"/>
  <c r="N20" i="41"/>
  <c r="K24" i="41"/>
  <c r="N18" i="41"/>
  <c r="D27" i="26"/>
  <c r="E6" i="26"/>
  <c r="E23" i="42"/>
  <c r="G23" i="42" s="1"/>
  <c r="G53" i="41"/>
  <c r="D55" i="26"/>
  <c r="E55" i="26" s="1"/>
  <c r="E59" i="26"/>
  <c r="E22" i="42"/>
  <c r="G52" i="41"/>
  <c r="E55" i="41"/>
  <c r="E61" i="41" s="1"/>
  <c r="E50" i="42"/>
  <c r="E40" i="42"/>
  <c r="E66" i="42" s="1"/>
  <c r="G38" i="42"/>
  <c r="D11" i="26"/>
  <c r="E11" i="26" s="1"/>
  <c r="F56" i="28"/>
  <c r="G56" i="28" s="1"/>
  <c r="E11" i="41"/>
  <c r="G11" i="41" s="1"/>
  <c r="G42" i="28"/>
  <c r="P42" i="28" s="1"/>
  <c r="E31" i="13"/>
  <c r="F31" i="13" s="1"/>
  <c r="F19" i="13"/>
  <c r="E46" i="42"/>
  <c r="F54" i="28"/>
  <c r="G53" i="28"/>
  <c r="G48" i="37"/>
  <c r="D53" i="42" l="1"/>
  <c r="G22" i="42"/>
  <c r="E64" i="42"/>
  <c r="E67" i="42" s="1"/>
  <c r="D42" i="42"/>
  <c r="D67" i="42"/>
  <c r="G40" i="42"/>
  <c r="G66" i="42" s="1"/>
  <c r="E36" i="42"/>
  <c r="E42" i="42" s="1"/>
  <c r="G45" i="42"/>
  <c r="D55" i="42"/>
  <c r="G46" i="42"/>
  <c r="E55" i="42"/>
  <c r="E57" i="42" s="1"/>
  <c r="G55" i="41"/>
  <c r="G61" i="41" s="1"/>
  <c r="L27" i="41"/>
  <c r="K27" i="41"/>
  <c r="O27" i="41"/>
  <c r="J27" i="41"/>
  <c r="N27" i="41"/>
  <c r="P45" i="28"/>
  <c r="M27" i="41"/>
  <c r="D59" i="37"/>
  <c r="G59" i="37" s="1"/>
  <c r="G54" i="37"/>
  <c r="E46" i="13"/>
  <c r="E42" i="13"/>
  <c r="C23" i="26" s="1"/>
  <c r="E23" i="26" s="1"/>
  <c r="E39" i="13"/>
  <c r="C20" i="26" s="1"/>
  <c r="E20" i="26" s="1"/>
  <c r="E37" i="13"/>
  <c r="C18" i="26" s="1"/>
  <c r="E18" i="26" s="1"/>
  <c r="E40" i="13"/>
  <c r="C21" i="26" s="1"/>
  <c r="E21" i="26" s="1"/>
  <c r="E45" i="13"/>
  <c r="C26" i="26" s="1"/>
  <c r="E26" i="26" s="1"/>
  <c r="E44" i="13"/>
  <c r="C25" i="26" s="1"/>
  <c r="E25" i="26" s="1"/>
  <c r="E38" i="13"/>
  <c r="C19" i="26" s="1"/>
  <c r="E19" i="26" s="1"/>
  <c r="E36" i="13"/>
  <c r="C17" i="26" s="1"/>
  <c r="E17" i="26" s="1"/>
  <c r="E41" i="13"/>
  <c r="C22" i="26" s="1"/>
  <c r="E22" i="26" s="1"/>
  <c r="E43" i="13"/>
  <c r="C24" i="26" s="1"/>
  <c r="E24" i="26" s="1"/>
  <c r="E35" i="13"/>
  <c r="C16" i="26" s="1"/>
  <c r="E16" i="26" s="1"/>
  <c r="G50" i="42"/>
  <c r="D61" i="26"/>
  <c r="E61" i="26" s="1"/>
  <c r="D13" i="26"/>
  <c r="E13" i="26" s="1"/>
  <c r="G11" i="42"/>
  <c r="E51" i="42"/>
  <c r="G51" i="42" s="1"/>
  <c r="E52" i="42"/>
  <c r="G52" i="42" s="1"/>
  <c r="G24" i="42"/>
  <c r="G65" i="42" s="1"/>
  <c r="E34" i="13"/>
  <c r="C15" i="26" s="1"/>
  <c r="F59" i="28"/>
  <c r="G59" i="28" s="1"/>
  <c r="G54" i="28"/>
  <c r="E13" i="41"/>
  <c r="G13" i="41" s="1"/>
  <c r="G70" i="42" l="1"/>
  <c r="G53" i="42"/>
  <c r="G64" i="42"/>
  <c r="G67" i="42" s="1"/>
  <c r="G55" i="42"/>
  <c r="E53" i="42"/>
  <c r="G36" i="42"/>
  <c r="G42" i="42" s="1"/>
  <c r="C27" i="26"/>
  <c r="E27" i="26" s="1"/>
  <c r="E15" i="26"/>
  <c r="F69" i="42" l="1"/>
  <c r="C69" i="42"/>
  <c r="D69" i="42"/>
  <c r="E69" i="42"/>
  <c r="G71" i="42"/>
</calcChain>
</file>

<file path=xl/comments1.xml><?xml version="1.0" encoding="utf-8"?>
<comments xmlns="http://schemas.openxmlformats.org/spreadsheetml/2006/main">
  <authors>
    <author>SCIENCES.PO</author>
  </authors>
  <commentList>
    <comment ref="H27" authorId="0" shapeId="0">
      <text>
        <r>
          <rPr>
            <b/>
            <sz val="9"/>
            <color indexed="81"/>
            <rFont val="Tahoma"/>
            <family val="2"/>
          </rPr>
          <t>SCIENCES.PO:</t>
        </r>
        <r>
          <rPr>
            <sz val="9"/>
            <color indexed="81"/>
            <rFont val="Tahoma"/>
            <family val="2"/>
          </rPr>
          <t xml:space="preserve">
@Adrian: En el SIE segun el balance national de energia de elecricidad el consumo propio es de 49.5 PJ. La cifra de 39.8 PJ entra en los margenes representa el 80% de la cifra del SIE</t>
        </r>
      </text>
    </comment>
    <comment ref="G33" authorId="0" shapeId="0">
      <text>
        <r>
          <rPr>
            <b/>
            <sz val="9"/>
            <color indexed="81"/>
            <rFont val="Tahoma"/>
            <family val="2"/>
          </rPr>
          <t>SCIENCES.PO:</t>
        </r>
        <r>
          <rPr>
            <sz val="9"/>
            <color indexed="81"/>
            <rFont val="Tahoma"/>
            <family val="2"/>
          </rPr>
          <t xml:space="preserve">
@ Adrian: Estamos lejos del precio de 132 centavos el Kwh en la industria en 2013.
EL consumo proio del sector electrico lo contabilizan seguro segun el costo de produccion. La cifra de 12.5 centavos el Kwh te perece realista?</t>
        </r>
      </text>
    </comment>
  </commentList>
</comments>
</file>

<file path=xl/comments2.xml><?xml version="1.0" encoding="utf-8"?>
<comments xmlns="http://schemas.openxmlformats.org/spreadsheetml/2006/main">
  <authors>
    <author>Gissela Landa Rivera</author>
  </authors>
  <commentList>
    <comment ref="I90"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90" authorId="0" shapeId="0">
      <text>
        <r>
          <rPr>
            <b/>
            <sz val="10"/>
            <color rgb="FF000000"/>
            <rFont val="Tahoma"/>
            <family val="2"/>
          </rPr>
          <t>Gissela Landa Rivera:</t>
        </r>
        <r>
          <rPr>
            <sz val="10"/>
            <color rgb="FF000000"/>
            <rFont val="Tahoma"/>
            <family val="2"/>
          </rPr>
          <t xml:space="preserve">
</t>
        </r>
        <r>
          <rPr>
            <sz val="10"/>
            <color rgb="FF000000"/>
            <rFont val="Calibri"/>
            <family val="2"/>
            <scheme val="minor"/>
          </rPr>
          <t>consumption of clean electricity in power sector</t>
        </r>
        <r>
          <rPr>
            <sz val="10"/>
            <color rgb="FF000000"/>
            <rFont val="Calibri"/>
            <family val="2"/>
            <scheme val="minor"/>
          </rPr>
          <t xml:space="preserve">
</t>
        </r>
      </text>
    </comment>
    <comment ref="I103"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103" authorId="0" shapeId="0">
      <text>
        <r>
          <rPr>
            <b/>
            <sz val="10"/>
            <color rgb="FF000000"/>
            <rFont val="Tahoma"/>
            <family val="2"/>
          </rPr>
          <t>Gissela Landa Rivera:</t>
        </r>
        <r>
          <rPr>
            <sz val="10"/>
            <color rgb="FF000000"/>
            <rFont val="Tahoma"/>
            <family val="2"/>
          </rPr>
          <t xml:space="preserve">
</t>
        </r>
        <r>
          <rPr>
            <sz val="10"/>
            <color rgb="FF000000"/>
            <rFont val="Tahoma"/>
            <family val="2"/>
          </rPr>
          <t>consumption of clean electricity in power sector</t>
        </r>
      </text>
    </comment>
  </commentList>
</comments>
</file>

<file path=xl/comments3.xml><?xml version="1.0" encoding="utf-8"?>
<comments xmlns="http://schemas.openxmlformats.org/spreadsheetml/2006/main">
  <authors>
    <author>Gissela Landa Rivera</author>
    <author>SCIENCES.PO</author>
    <author>Administrateur</author>
  </authors>
  <commentList>
    <comment ref="F24" authorId="0" shapeId="0">
      <text>
        <r>
          <rPr>
            <b/>
            <sz val="10"/>
            <color rgb="FF000000"/>
            <rFont val="Tahoma"/>
            <family val="2"/>
          </rPr>
          <t>Gissela Landa Rivera:</t>
        </r>
        <r>
          <rPr>
            <sz val="10"/>
            <color rgb="FF000000"/>
            <rFont val="Tahoma"/>
            <family val="2"/>
          </rPr>
          <t xml:space="preserve">
</t>
        </r>
        <r>
          <rPr>
            <sz val="10"/>
            <color rgb="FF000000"/>
            <rFont val="Tahoma"/>
            <family val="2"/>
          </rPr>
          <t xml:space="preserve">Consumption of clean electricity
</t>
        </r>
      </text>
    </comment>
    <comment ref="F43" authorId="1" shapeId="0">
      <text>
        <r>
          <rPr>
            <b/>
            <sz val="9"/>
            <color rgb="FF000000"/>
            <rFont val="Tahoma"/>
            <family val="2"/>
          </rPr>
          <t>SCIENCES.PO:</t>
        </r>
        <r>
          <rPr>
            <sz val="9"/>
            <color rgb="FF000000"/>
            <rFont val="Tahoma"/>
            <family val="2"/>
          </rPr>
          <t xml:space="preserve">Electricity consumption in the electricity secteur correspond  to "Usos prpios of Prodesen" </t>
        </r>
      </text>
    </comment>
    <comment ref="V90" authorId="2" shapeId="0">
      <text>
        <r>
          <rPr>
            <b/>
            <sz val="9"/>
            <color rgb="FF000000"/>
            <rFont val="Tahoma"/>
            <family val="2"/>
          </rPr>
          <t>Administrateur:</t>
        </r>
        <r>
          <rPr>
            <sz val="9"/>
            <color rgb="FF000000"/>
            <rFont val="Tahoma"/>
            <family val="2"/>
          </rPr>
          <t xml:space="preserve">
</t>
        </r>
        <r>
          <rPr>
            <sz val="9"/>
            <color rgb="FF000000"/>
            <rFont val="Tahoma"/>
            <family val="2"/>
          </rPr>
          <t>we suppose that transport sector pay same prices that service sector</t>
        </r>
      </text>
    </comment>
    <comment ref="W90" authorId="2" shapeId="0">
      <text>
        <r>
          <rPr>
            <b/>
            <sz val="9"/>
            <color indexed="81"/>
            <rFont val="Tahoma"/>
            <family val="2"/>
          </rPr>
          <t>Administrateur:</t>
        </r>
        <r>
          <rPr>
            <sz val="9"/>
            <color indexed="81"/>
            <rFont val="Tahoma"/>
            <family val="2"/>
          </rPr>
          <t xml:space="preserve">
On fait l'hypothèse que les transports font face aux mêmes coûts de l'électricité que l'industrie</t>
        </r>
      </text>
    </comment>
    <comment ref="V94" authorId="0" shapeId="0">
      <text>
        <r>
          <rPr>
            <b/>
            <sz val="10"/>
            <color rgb="FF000000"/>
            <rFont val="Tahoma"/>
            <family val="2"/>
          </rPr>
          <t>Gissela Landa Rivera:</t>
        </r>
        <r>
          <rPr>
            <sz val="10"/>
            <color rgb="FF000000"/>
            <rFont val="Tahoma"/>
            <family val="2"/>
          </rPr>
          <t xml:space="preserve">
</t>
        </r>
        <r>
          <rPr>
            <sz val="10"/>
            <color rgb="FF000000"/>
            <rFont val="Tahoma"/>
            <family val="2"/>
          </rPr>
          <t>use solver to fin price that allow to match compat Nat and consumption in PJ</t>
        </r>
      </text>
    </comment>
  </commentList>
</comments>
</file>

<file path=xl/comments4.xml><?xml version="1.0" encoding="utf-8"?>
<comments xmlns="http://schemas.openxmlformats.org/spreadsheetml/2006/main">
  <authors>
    <author>Gissela Landa Rivera</author>
    <author>SCIENCES.PO</author>
    <author>Administrateur</author>
  </authors>
  <commentList>
    <comment ref="F52" authorId="0" shapeId="0">
      <text>
        <r>
          <rPr>
            <b/>
            <sz val="10"/>
            <color rgb="FF000000"/>
            <rFont val="Tahoma"/>
            <family val="2"/>
          </rPr>
          <t>Gissela Landa Rivera:</t>
        </r>
        <r>
          <rPr>
            <sz val="10"/>
            <color rgb="FF000000"/>
            <rFont val="Tahoma"/>
            <family val="2"/>
          </rPr>
          <t xml:space="preserve">
</t>
        </r>
        <r>
          <rPr>
            <sz val="10"/>
            <color rgb="FF000000"/>
            <rFont val="Tahoma"/>
            <family val="2"/>
          </rPr>
          <t xml:space="preserve">Consumption of clean electricity
</t>
        </r>
      </text>
    </comment>
    <comment ref="F71" authorId="1" shapeId="0">
      <text>
        <r>
          <rPr>
            <b/>
            <sz val="9"/>
            <color rgb="FF000000"/>
            <rFont val="Tahoma"/>
            <family val="2"/>
          </rPr>
          <t>SCIENCES.PO:</t>
        </r>
        <r>
          <rPr>
            <sz val="9"/>
            <color rgb="FF000000"/>
            <rFont val="Tahoma"/>
            <family val="2"/>
          </rPr>
          <t xml:space="preserve">Electricity consumption in the electricity secteur correspond  to "Usos prpios of Prodesen" </t>
        </r>
      </text>
    </comment>
    <comment ref="V89" authorId="2" shapeId="0">
      <text>
        <r>
          <rPr>
            <b/>
            <sz val="9"/>
            <color rgb="FF000000"/>
            <rFont val="Tahoma"/>
            <family val="2"/>
          </rPr>
          <t>Administrateur:</t>
        </r>
        <r>
          <rPr>
            <sz val="9"/>
            <color rgb="FF000000"/>
            <rFont val="Tahoma"/>
            <family val="2"/>
          </rPr>
          <t xml:space="preserve">
</t>
        </r>
        <r>
          <rPr>
            <sz val="9"/>
            <color rgb="FF000000"/>
            <rFont val="Tahoma"/>
            <family val="2"/>
          </rPr>
          <t>we suppose that transport sector pay same prices that service sector</t>
        </r>
      </text>
    </comment>
    <comment ref="W89" authorId="2" shapeId="0">
      <text>
        <r>
          <rPr>
            <b/>
            <sz val="9"/>
            <color indexed="81"/>
            <rFont val="Tahoma"/>
            <family val="2"/>
          </rPr>
          <t>Administrateur:</t>
        </r>
        <r>
          <rPr>
            <sz val="9"/>
            <color indexed="81"/>
            <rFont val="Tahoma"/>
            <family val="2"/>
          </rPr>
          <t xml:space="preserve">
On fait l'hypothèse que les transports font face aux mêmes coûts de l'électricité que l'industrie</t>
        </r>
      </text>
    </comment>
    <comment ref="V93" authorId="0" shapeId="0">
      <text>
        <r>
          <rPr>
            <b/>
            <sz val="10"/>
            <color rgb="FF000000"/>
            <rFont val="Tahoma"/>
            <family val="2"/>
          </rPr>
          <t>Gissela Landa Rivera:</t>
        </r>
        <r>
          <rPr>
            <sz val="10"/>
            <color rgb="FF000000"/>
            <rFont val="Tahoma"/>
            <family val="2"/>
          </rPr>
          <t xml:space="preserve">
</t>
        </r>
        <r>
          <rPr>
            <sz val="10"/>
            <color rgb="FF000000"/>
            <rFont val="Tahoma"/>
            <family val="2"/>
          </rPr>
          <t>use solver to fin price that allow to match compat Nat and consumption in PJ</t>
        </r>
      </text>
    </comment>
  </commentList>
</comments>
</file>

<file path=xl/comments5.xml><?xml version="1.0" encoding="utf-8"?>
<comments xmlns="http://schemas.openxmlformats.org/spreadsheetml/2006/main">
  <authors>
    <author>Gissela Landa Rivera</author>
    <author>SCIENCES.PO</author>
    <author>Administrateur</author>
  </authors>
  <commentList>
    <comment ref="F24" authorId="0" shapeId="0">
      <text>
        <r>
          <rPr>
            <b/>
            <sz val="10"/>
            <color rgb="FF000000"/>
            <rFont val="Tahoma"/>
            <family val="2"/>
          </rPr>
          <t>Gissela Landa Rivera:</t>
        </r>
        <r>
          <rPr>
            <sz val="10"/>
            <color rgb="FF000000"/>
            <rFont val="Tahoma"/>
            <family val="2"/>
          </rPr>
          <t xml:space="preserve">
</t>
        </r>
        <r>
          <rPr>
            <sz val="10"/>
            <color rgb="FF000000"/>
            <rFont val="Tahoma"/>
            <family val="2"/>
          </rPr>
          <t xml:space="preserve">Consumption of clean electricity
</t>
        </r>
      </text>
    </comment>
    <comment ref="C42" authorId="1" shapeId="0">
      <text>
        <r>
          <rPr>
            <b/>
            <sz val="9"/>
            <color rgb="FF000000"/>
            <rFont val="Tahoma"/>
            <family val="2"/>
          </rPr>
          <t>SCIENCES.PO:</t>
        </r>
        <r>
          <rPr>
            <sz val="9"/>
            <color rgb="FF000000"/>
            <rFont val="Tahoma"/>
            <family val="2"/>
          </rPr>
          <t xml:space="preserve">
</t>
        </r>
        <r>
          <rPr>
            <sz val="9"/>
            <color rgb="FF000000"/>
            <rFont val="Tahoma"/>
            <family val="2"/>
          </rPr>
          <t xml:space="preserve">include energy consumption  in Pemex for electricity generation and other use in transformation sector. </t>
        </r>
      </text>
    </comment>
    <comment ref="V90" authorId="2" shapeId="0">
      <text>
        <r>
          <rPr>
            <b/>
            <sz val="9"/>
            <color rgb="FF000000"/>
            <rFont val="Tahoma"/>
            <family val="2"/>
          </rPr>
          <t>Administrateur:</t>
        </r>
        <r>
          <rPr>
            <sz val="9"/>
            <color rgb="FF000000"/>
            <rFont val="Tahoma"/>
            <family val="2"/>
          </rPr>
          <t xml:space="preserve">
we suppose that transport sector pay same prices that service sector</t>
        </r>
      </text>
    </comment>
    <comment ref="W90" authorId="2" shapeId="0">
      <text>
        <r>
          <rPr>
            <b/>
            <sz val="9"/>
            <color indexed="81"/>
            <rFont val="Tahoma"/>
            <family val="2"/>
          </rPr>
          <t>Administrateur:</t>
        </r>
        <r>
          <rPr>
            <sz val="9"/>
            <color indexed="81"/>
            <rFont val="Tahoma"/>
            <family val="2"/>
          </rPr>
          <t xml:space="preserve">
On fait l'hypothèse que les transports font face aux mêmes coûts de l'électricité que l'industrie</t>
        </r>
      </text>
    </comment>
    <comment ref="AB90" authorId="2" shapeId="0">
      <text>
        <r>
          <rPr>
            <b/>
            <sz val="9"/>
            <color indexed="81"/>
            <rFont val="Tahoma"/>
            <family val="2"/>
          </rPr>
          <t>Administrateur:</t>
        </r>
        <r>
          <rPr>
            <sz val="9"/>
            <color indexed="81"/>
            <rFont val="Tahoma"/>
            <family val="2"/>
          </rPr>
          <t xml:space="preserve">
On fait l'hypothèse que les transports font face aux mêmes coûts du gaz 
que l'industrie</t>
        </r>
      </text>
    </comment>
    <comment ref="AC90" authorId="2" shapeId="0">
      <text>
        <r>
          <rPr>
            <b/>
            <sz val="9"/>
            <color indexed="81"/>
            <rFont val="Tahoma"/>
            <family val="2"/>
          </rPr>
          <t>Administrateur:</t>
        </r>
        <r>
          <rPr>
            <sz val="9"/>
            <color indexed="81"/>
            <rFont val="Tahoma"/>
            <family val="2"/>
          </rPr>
          <t xml:space="preserve">
On fait l'hypothèse que les transports font face aux mêmes coûts de l'électricité que l'industrie</t>
        </r>
      </text>
    </comment>
    <comment ref="U94" authorId="2" shapeId="0">
      <text>
        <r>
          <rPr>
            <b/>
            <sz val="9"/>
            <color indexed="81"/>
            <rFont val="Tahoma"/>
            <family val="2"/>
          </rPr>
          <t>Administrateur:</t>
        </r>
        <r>
          <rPr>
            <sz val="9"/>
            <color indexed="81"/>
            <rFont val="Tahoma"/>
            <family val="2"/>
          </rPr>
          <t xml:space="preserve">
price that allow to match enregy consumption in PEMEX using data from CRE (for electricity generation, autogeneration) and PEMEX</t>
        </r>
      </text>
    </comment>
    <comment ref="AA94" authorId="2" shapeId="0">
      <text>
        <r>
          <rPr>
            <b/>
            <sz val="9"/>
            <color indexed="81"/>
            <rFont val="Tahoma"/>
            <family val="2"/>
          </rPr>
          <t>Administrateur:</t>
        </r>
        <r>
          <rPr>
            <sz val="9"/>
            <color indexed="81"/>
            <rFont val="Tahoma"/>
            <family val="2"/>
          </rPr>
          <t xml:space="preserve">
On fait l'hypothèse que le secteur de la transformation fait face aux mêmes coûts que le secteur de l'industrie, quelle que soit la source d'énergie.</t>
        </r>
      </text>
    </comment>
  </commentList>
</comments>
</file>

<file path=xl/comments6.xml><?xml version="1.0" encoding="utf-8"?>
<comments xmlns="http://schemas.openxmlformats.org/spreadsheetml/2006/main">
  <authors>
    <author>SCIENCES.PO</author>
    <author>Gissela Landa Rivera</author>
  </authors>
  <commentList>
    <comment ref="C12" authorId="0" shapeId="0">
      <text>
        <r>
          <rPr>
            <b/>
            <sz val="9"/>
            <color rgb="FF000000"/>
            <rFont val="Tahoma"/>
            <family val="2"/>
          </rPr>
          <t>SCIENCES.PO:</t>
        </r>
        <r>
          <rPr>
            <sz val="9"/>
            <color rgb="FF000000"/>
            <rFont val="Tahoma"/>
            <family val="2"/>
          </rPr>
          <t xml:space="preserve">
</t>
        </r>
        <r>
          <rPr>
            <sz val="9"/>
            <color rgb="FF000000"/>
            <rFont val="Tahoma"/>
            <family val="2"/>
          </rPr>
          <t>for coal consumption we use the data from SIE</t>
        </r>
      </text>
    </comment>
    <comment ref="R19" authorId="1" shapeId="0">
      <text>
        <r>
          <rPr>
            <b/>
            <sz val="10"/>
            <color rgb="FF000000"/>
            <rFont val="Tahoma"/>
            <family val="2"/>
          </rPr>
          <t>Gissela Landa Rivera:</t>
        </r>
        <r>
          <rPr>
            <sz val="10"/>
            <color rgb="FF000000"/>
            <rFont val="Tahoma"/>
            <family val="2"/>
          </rPr>
          <t xml:space="preserve">
</t>
        </r>
        <r>
          <rPr>
            <sz val="10"/>
            <color rgb="FF000000"/>
            <rFont val="Tahoma"/>
            <family val="2"/>
          </rPr>
          <t>we supposse that renouvable technologies dont use gas and oil</t>
        </r>
      </text>
    </comment>
  </commentList>
</comments>
</file>

<file path=xl/comments7.xml><?xml version="1.0" encoding="utf-8"?>
<comments xmlns="http://schemas.openxmlformats.org/spreadsheetml/2006/main">
  <authors>
    <author>SCIENCES.PO</author>
  </authors>
  <commentList>
    <comment ref="F54" authorId="0" shapeId="0">
      <text>
        <r>
          <rPr>
            <b/>
            <sz val="9"/>
            <color indexed="81"/>
            <rFont val="Tahoma"/>
            <family val="2"/>
          </rPr>
          <t>SCIENCES.PO:</t>
        </r>
        <r>
          <rPr>
            <sz val="9"/>
            <color indexed="81"/>
            <rFont val="Tahoma"/>
            <family val="2"/>
          </rPr>
          <t xml:space="preserve">
Biomass consumption is not take in account in national contability (manufature of food and berverage = o in matrix use-supply)</t>
        </r>
      </text>
    </comment>
  </commentList>
</comments>
</file>

<file path=xl/comments8.xml><?xml version="1.0" encoding="utf-8"?>
<comments xmlns="http://schemas.openxmlformats.org/spreadsheetml/2006/main">
  <authors>
    <author>SCIENCES.PO</author>
  </authors>
  <commentList>
    <comment ref="F29" authorId="0" shapeId="0">
      <text>
        <r>
          <rPr>
            <b/>
            <sz val="9"/>
            <color rgb="FF000000"/>
            <rFont val="Tahoma"/>
            <family val="2"/>
          </rPr>
          <t>SCIENCES.PO:</t>
        </r>
        <r>
          <rPr>
            <sz val="9"/>
            <color rgb="FF000000"/>
            <rFont val="Tahoma"/>
            <family val="2"/>
          </rPr>
          <t xml:space="preserve">
</t>
        </r>
        <r>
          <rPr>
            <sz val="9"/>
            <color rgb="FF000000"/>
            <rFont val="Tahoma"/>
            <family val="2"/>
          </rPr>
          <t xml:space="preserve">We dont take in account biomass consumption for the electricity sector.
</t>
        </r>
      </text>
    </comment>
  </commentList>
</comments>
</file>

<file path=xl/sharedStrings.xml><?xml version="1.0" encoding="utf-8"?>
<sst xmlns="http://schemas.openxmlformats.org/spreadsheetml/2006/main" count="3593" uniqueCount="957">
  <si>
    <t>Sector</t>
  </si>
  <si>
    <t>Code</t>
  </si>
  <si>
    <t xml:space="preserve">sector agropecuario                                                          </t>
  </si>
  <si>
    <t>Diesel</t>
  </si>
  <si>
    <t>Electricidad</t>
  </si>
  <si>
    <t>Gas LP</t>
  </si>
  <si>
    <t>Querosenes</t>
  </si>
  <si>
    <t>Total</t>
  </si>
  <si>
    <t>sector comercial</t>
  </si>
  <si>
    <t>Combustoleo</t>
  </si>
  <si>
    <t>Gas seco</t>
  </si>
  <si>
    <t>Solar</t>
  </si>
  <si>
    <t>Bagazo caña</t>
  </si>
  <si>
    <t>Carbon</t>
  </si>
  <si>
    <t>Coque de carbon</t>
  </si>
  <si>
    <t>Coque de petroleo</t>
  </si>
  <si>
    <t>Gasolina</t>
  </si>
  <si>
    <t>Leña</t>
  </si>
  <si>
    <t>Sector final no energetico</t>
  </si>
  <si>
    <t>No energeticos</t>
  </si>
  <si>
    <t>Sector industra (Elaboración de refrescos, Hielo y otras bebidas no alcohólicas, y purificación y embotellamiento de agua.)</t>
  </si>
  <si>
    <t>Sector indutrial Fabricación de autómoviles y camiones</t>
  </si>
  <si>
    <t>Sector industrial elaboracion de azucares</t>
  </si>
  <si>
    <t>Fabricación de Cemento y Productos a base de Cemento en PLantas Integradas</t>
  </si>
  <si>
    <t>Fabricación de Pulpa, Papel y Cartón</t>
  </si>
  <si>
    <t>Sector industria elaboracion de cerveza</t>
  </si>
  <si>
    <t>Sector industrial construccion</t>
  </si>
  <si>
    <t>Sector industrial fabricacion de fertilizantes</t>
  </si>
  <si>
    <t>total</t>
  </si>
  <si>
    <t>sector industria fabricacion de productos de hule</t>
  </si>
  <si>
    <t>Sector industria mienria de materiales metalicos no metalico menos petroleo y gas</t>
  </si>
  <si>
    <t>Sector industrial otras ramas</t>
  </si>
  <si>
    <t>Sector industrial pemex petroquimica</t>
  </si>
  <si>
    <t>Sector industrial industria quimica</t>
  </si>
  <si>
    <t>Sector industria industria basica de hierro y del acero</t>
  </si>
  <si>
    <t>Sector industria elaboracion de prductos de tabaco</t>
  </si>
  <si>
    <t>Sector industria fabricacion de vidrio</t>
  </si>
  <si>
    <t>Sector Consumo publico</t>
  </si>
  <si>
    <t>Sector consumo residencial</t>
  </si>
  <si>
    <t>Sector transporte aereo</t>
  </si>
  <si>
    <t>Sector transporte autotransporte</t>
  </si>
  <si>
    <t>Secctor transporte electrico</t>
  </si>
  <si>
    <t>Sector transporte ferroviario</t>
  </si>
  <si>
    <t>Sector transoporte maritimo</t>
  </si>
  <si>
    <t>Étiquettes de colonnes</t>
  </si>
  <si>
    <t>Étiquettes de lignes</t>
  </si>
  <si>
    <t>Total général</t>
  </si>
  <si>
    <t>Industrial</t>
  </si>
  <si>
    <t>Transporte</t>
  </si>
  <si>
    <t>HCOAL</t>
  </si>
  <si>
    <t>BCOAL</t>
  </si>
  <si>
    <t>COKE</t>
  </si>
  <si>
    <t>CRUDE</t>
  </si>
  <si>
    <t>DIESEL</t>
  </si>
  <si>
    <t>GASOLINE</t>
  </si>
  <si>
    <t>JETFUEL</t>
  </si>
  <si>
    <t>LFO</t>
  </si>
  <si>
    <t>HFO</t>
  </si>
  <si>
    <t>NAPHTA</t>
  </si>
  <si>
    <t>OTHPETRO</t>
  </si>
  <si>
    <t>NATGAS</t>
  </si>
  <si>
    <t>OTHGAS</t>
  </si>
  <si>
    <t>WASTE</t>
  </si>
  <si>
    <t>BIOGASOL</t>
  </si>
  <si>
    <t>BIODIESEL</t>
  </si>
  <si>
    <t>BIOGAS</t>
  </si>
  <si>
    <t>OTHRENEW</t>
  </si>
  <si>
    <t>ELECTR</t>
  </si>
  <si>
    <t>HEATPROD</t>
  </si>
  <si>
    <t>NUCLEAR</t>
  </si>
  <si>
    <t>HYDRO</t>
  </si>
  <si>
    <t>GEOTHERM</t>
  </si>
  <si>
    <t>SOLAR</t>
  </si>
  <si>
    <t>WIND</t>
  </si>
  <si>
    <t>OTHSOURC</t>
  </si>
  <si>
    <t>LOSS</t>
  </si>
  <si>
    <t>Agriculture, Hunting, Forestry and Fishing</t>
  </si>
  <si>
    <t>secAtB</t>
  </si>
  <si>
    <t>Mining and Quarrying</t>
  </si>
  <si>
    <t>secC</t>
  </si>
  <si>
    <t>Food, Beverages and Tobacco</t>
  </si>
  <si>
    <t>sec15t16</t>
  </si>
  <si>
    <t>Textiles and Textile Products</t>
  </si>
  <si>
    <t>sec17t18</t>
  </si>
  <si>
    <t>Leather, Leather and Footwear</t>
  </si>
  <si>
    <t>sec19</t>
  </si>
  <si>
    <t>Wood and Products of Wood and Cork</t>
  </si>
  <si>
    <t>sec20</t>
  </si>
  <si>
    <t>Pulp, Paper, Paper , Printing and Publishing</t>
  </si>
  <si>
    <t>sec21t22</t>
  </si>
  <si>
    <t>Coke, Refined Petroleum and Nuclear Fuel</t>
  </si>
  <si>
    <t>sec23</t>
  </si>
  <si>
    <t>Chemicals and Chemical Products</t>
  </si>
  <si>
    <t>sec24</t>
  </si>
  <si>
    <t>Rubber and Plastics</t>
  </si>
  <si>
    <t>sec25</t>
  </si>
  <si>
    <t>Other Non-Metallic Mineral</t>
  </si>
  <si>
    <t>sec26</t>
  </si>
  <si>
    <t>Basic Metals and Fabricated Metal</t>
  </si>
  <si>
    <t>sec27t28</t>
  </si>
  <si>
    <t>Machinery, Nec</t>
  </si>
  <si>
    <t>sec29</t>
  </si>
  <si>
    <t>Electrical and Optical Equipment</t>
  </si>
  <si>
    <t>sec30t33</t>
  </si>
  <si>
    <t>Transport Equipment</t>
  </si>
  <si>
    <t>sec34t35</t>
  </si>
  <si>
    <t>Manufacturing, Nec; Recycling</t>
  </si>
  <si>
    <t>sec36t37</t>
  </si>
  <si>
    <t>Electricity, Gas and Water Supply</t>
  </si>
  <si>
    <t>secE</t>
  </si>
  <si>
    <t>Construction</t>
  </si>
  <si>
    <t>secF</t>
  </si>
  <si>
    <t>Sale, Maintenance and Repair of Motor Vehicles and Motorcycles; Retail Sale of Fuel</t>
  </si>
  <si>
    <t>sec50</t>
  </si>
  <si>
    <t>Wholesale Trade and Commission Trade, Except of Motor Vehicles and Motorcycles</t>
  </si>
  <si>
    <t>sec51</t>
  </si>
  <si>
    <t>Retail Trade, Except of Motor Vehicles and Motorcycles; Repair of Household Goods</t>
  </si>
  <si>
    <t>sec52</t>
  </si>
  <si>
    <t>Hotels and Restaurants</t>
  </si>
  <si>
    <t>secH</t>
  </si>
  <si>
    <t>Inland Transport</t>
  </si>
  <si>
    <t>sec60</t>
  </si>
  <si>
    <t>Water Transport</t>
  </si>
  <si>
    <t>sec61</t>
  </si>
  <si>
    <t>Air Transport</t>
  </si>
  <si>
    <t>sec62</t>
  </si>
  <si>
    <t>Other Supporting and Auxiliary Transport Activities; Activities of Travel Agencies</t>
  </si>
  <si>
    <t>sec63</t>
  </si>
  <si>
    <t>Post and Telecommunications</t>
  </si>
  <si>
    <t>sec64</t>
  </si>
  <si>
    <t>Financial Intermediation</t>
  </si>
  <si>
    <t>secJ</t>
  </si>
  <si>
    <t>Real Estate Activities</t>
  </si>
  <si>
    <t>sec70</t>
  </si>
  <si>
    <t>Renting of M&amp;Eq and Other Business Activities</t>
  </si>
  <si>
    <t>sec71t74</t>
  </si>
  <si>
    <t>Public Admin and Defence; Compulsory Social Security</t>
  </si>
  <si>
    <t>secL</t>
  </si>
  <si>
    <t>Education</t>
  </si>
  <si>
    <t>secM</t>
  </si>
  <si>
    <t>Health and Social Work</t>
  </si>
  <si>
    <t>secN</t>
  </si>
  <si>
    <t>Other Community, Social and Personal Services</t>
  </si>
  <si>
    <t>secO</t>
  </si>
  <si>
    <t>Private Households with Employed Persons</t>
  </si>
  <si>
    <t>secP</t>
  </si>
  <si>
    <t>Extra-territorial organizations and bodies</t>
  </si>
  <si>
    <t>secQ</t>
  </si>
  <si>
    <t>Total intermediate consumption</t>
  </si>
  <si>
    <t>Final consumption expenditure by households</t>
  </si>
  <si>
    <t>FC_HH</t>
  </si>
  <si>
    <t xml:space="preserve">Corresponding NACE code </t>
  </si>
  <si>
    <t>21, 22</t>
  </si>
  <si>
    <t>27, 28</t>
  </si>
  <si>
    <t>34, 35</t>
  </si>
  <si>
    <t>36, 37</t>
  </si>
  <si>
    <t>40, 41</t>
  </si>
  <si>
    <t xml:space="preserve">01, 02, 05  </t>
  </si>
  <si>
    <t>15, 16</t>
  </si>
  <si>
    <t xml:space="preserve">10, 11, 12,13, 14 </t>
  </si>
  <si>
    <t xml:space="preserve">17, 18 </t>
  </si>
  <si>
    <t>30, 31, 32, 33</t>
  </si>
  <si>
    <t>65, 66, 67</t>
  </si>
  <si>
    <t>71, 72, 73, 74</t>
  </si>
  <si>
    <t>90, 91, 92, 93</t>
  </si>
  <si>
    <t>HH</t>
  </si>
  <si>
    <t>Coke oven/Gas Coke</t>
  </si>
  <si>
    <t>Natural gas (dry)</t>
  </si>
  <si>
    <t>Municipal (non-biomass fraction) and industrial waste</t>
  </si>
  <si>
    <t>Biodiesels</t>
  </si>
  <si>
    <t>Hydroelectric</t>
  </si>
  <si>
    <t>Geothermal</t>
  </si>
  <si>
    <t>Electricity</t>
  </si>
  <si>
    <t>Hard coal and derivatives</t>
  </si>
  <si>
    <t xml:space="preserve">Lignite and derivative </t>
  </si>
  <si>
    <t>Crude oil, NGL and feedstocks</t>
  </si>
  <si>
    <t>Diesel oil for road transport</t>
  </si>
  <si>
    <t>Motor gasoline</t>
  </si>
  <si>
    <t>jet fuel (kersone ans gasoline)</t>
  </si>
  <si>
    <t>Light fuel oil</t>
  </si>
  <si>
    <t>Heavy fuel oil</t>
  </si>
  <si>
    <t>Naphtha</t>
  </si>
  <si>
    <t>Other petroleum products</t>
  </si>
  <si>
    <t>Derived gas</t>
  </si>
  <si>
    <t>Biogasoline (including hydrated ethanol)</t>
  </si>
  <si>
    <t>Biogas</t>
  </si>
  <si>
    <t>Heat</t>
  </si>
  <si>
    <t>Nuclear</t>
  </si>
  <si>
    <t xml:space="preserve">Solar </t>
  </si>
  <si>
    <t>wind power</t>
  </si>
  <si>
    <t>Other sources</t>
  </si>
  <si>
    <t>Distribution losses</t>
  </si>
  <si>
    <t>Other combustible renewable (bagazo de cana y leña)</t>
  </si>
  <si>
    <t>INDUSTRY</t>
  </si>
  <si>
    <t>TRANSPORT</t>
  </si>
  <si>
    <t>SERVICES</t>
  </si>
  <si>
    <t>ENERGY</t>
  </si>
  <si>
    <t>Agriculture, livestockand fishing</t>
  </si>
  <si>
    <t>Forestry</t>
  </si>
  <si>
    <t>Manufacture of food, beverages and snuff</t>
  </si>
  <si>
    <t>Manufacture of articles of paper and paperboard</t>
  </si>
  <si>
    <t>Manufacture of chemical</t>
  </si>
  <si>
    <t>Manufacture of cement and concrete</t>
  </si>
  <si>
    <t>Manufacture of steel</t>
  </si>
  <si>
    <t>Manufature of machine and equipment</t>
  </si>
  <si>
    <t>Extraction of oil and gas</t>
  </si>
  <si>
    <t>Construction of buildings</t>
  </si>
  <si>
    <t>Others industries</t>
  </si>
  <si>
    <t>Air transport</t>
  </si>
  <si>
    <t>Rail transport</t>
  </si>
  <si>
    <t>Water transport</t>
  </si>
  <si>
    <t>Freight transport by road</t>
  </si>
  <si>
    <t>Passager transport by road</t>
  </si>
  <si>
    <t>Other transports</t>
  </si>
  <si>
    <t>Business services</t>
  </si>
  <si>
    <t>Public services</t>
  </si>
  <si>
    <t>Manufacture of petroleum and coal products</t>
  </si>
  <si>
    <t>Gas supply by pipeline to final consumer</t>
  </si>
  <si>
    <t>Hydro</t>
  </si>
  <si>
    <t>Wind</t>
  </si>
  <si>
    <t>Cogeneration</t>
  </si>
  <si>
    <t>Thermoelectric</t>
  </si>
  <si>
    <t>Cabon-based</t>
  </si>
  <si>
    <t>Internal Combustion</t>
  </si>
  <si>
    <t>Combined Cycle</t>
  </si>
  <si>
    <t>ELECTRICITY</t>
  </si>
  <si>
    <t>Agriculture</t>
  </si>
  <si>
    <t>Agropecuario</t>
  </si>
  <si>
    <t>N/D</t>
  </si>
  <si>
    <t>Combustóleo</t>
  </si>
  <si>
    <t>Querosenos</t>
  </si>
  <si>
    <t>Coque de petróleo</t>
  </si>
  <si>
    <t>Coque de carbón</t>
  </si>
  <si>
    <t>Energía eólica</t>
  </si>
  <si>
    <t>Energía solar</t>
  </si>
  <si>
    <t>Geoenergía</t>
  </si>
  <si>
    <t>Hidroenergía</t>
  </si>
  <si>
    <t>Nucleoenergía</t>
  </si>
  <si>
    <t>Carbón</t>
  </si>
  <si>
    <t>Transport</t>
  </si>
  <si>
    <t>Household</t>
  </si>
  <si>
    <t>Residential</t>
  </si>
  <si>
    <t>%</t>
  </si>
  <si>
    <t>Source: INEGI, DataMEX_working_doc_Monetary (spreedsheet: Step8, total production by sector)</t>
  </si>
  <si>
    <t>AGRO</t>
  </si>
  <si>
    <t>INDUSTRIES</t>
  </si>
  <si>
    <t>OTHER USES</t>
  </si>
  <si>
    <t>Balance de Energia (Sectirors),  source: SIE</t>
  </si>
  <si>
    <t>WIOD2013 SECTORS</t>
  </si>
  <si>
    <t>SECTORS</t>
  </si>
  <si>
    <t>ENERGY COMMODITIES</t>
  </si>
  <si>
    <t>WIOD2013 Energy commodities</t>
  </si>
  <si>
    <t>Wiod Code</t>
  </si>
  <si>
    <t>D</t>
  </si>
  <si>
    <t>E</t>
  </si>
  <si>
    <t>GLP</t>
  </si>
  <si>
    <t>Q</t>
  </si>
  <si>
    <t>CO</t>
  </si>
  <si>
    <t>GS</t>
  </si>
  <si>
    <t>S</t>
  </si>
  <si>
    <t>B</t>
  </si>
  <si>
    <t>CC</t>
  </si>
  <si>
    <t>C</t>
  </si>
  <si>
    <t>CP</t>
  </si>
  <si>
    <t>G</t>
  </si>
  <si>
    <t>L</t>
  </si>
  <si>
    <t>NE</t>
  </si>
  <si>
    <t>Balance de energia Energy commodities, source: SIE</t>
  </si>
  <si>
    <t>THREEME-Mex Sectors</t>
  </si>
  <si>
    <t>HOUSEHOLD</t>
  </si>
  <si>
    <t>Services</t>
  </si>
  <si>
    <t>Bagazo de caña</t>
  </si>
  <si>
    <t>Nota:</t>
  </si>
  <si>
    <t>Residencial y comercial</t>
  </si>
  <si>
    <t>Industria</t>
  </si>
  <si>
    <t>Blue</t>
  </si>
  <si>
    <t>Red</t>
  </si>
  <si>
    <t>data sources</t>
  </si>
  <si>
    <t>Steps</t>
  </si>
  <si>
    <t>Otros</t>
  </si>
  <si>
    <t>Autotransporte</t>
  </si>
  <si>
    <t>Residencial</t>
  </si>
  <si>
    <t>Gas natural</t>
  </si>
  <si>
    <t>Pemex Refinación</t>
  </si>
  <si>
    <t>Pemex Gas y Petroquímica Básica</t>
  </si>
  <si>
    <t>Pemex Exploración y Producción</t>
  </si>
  <si>
    <t>Pemex Petroquímica</t>
  </si>
  <si>
    <t>Carbón mineral</t>
  </si>
  <si>
    <t>Coquizadoras y hornos</t>
  </si>
  <si>
    <t>Centro transformador</t>
  </si>
  <si>
    <t>Consumo Propio del Sector Energético</t>
  </si>
  <si>
    <t>Eléctrico</t>
  </si>
  <si>
    <t>Marítimo</t>
  </si>
  <si>
    <t>Gasolinas y naftas</t>
  </si>
  <si>
    <t>Gas licuado</t>
  </si>
  <si>
    <t>Ferroviario</t>
  </si>
  <si>
    <t>Aéreo</t>
  </si>
  <si>
    <t>Público</t>
  </si>
  <si>
    <t>Comercial</t>
  </si>
  <si>
    <t>Residencial, Comercial y Público</t>
  </si>
  <si>
    <t>Elaboración de productos de tabaco</t>
  </si>
  <si>
    <t>Autogeneración</t>
  </si>
  <si>
    <t>Turbogás/Combustión interna</t>
  </si>
  <si>
    <t>Sector Eléctrico</t>
  </si>
  <si>
    <t>Consumo de Combustibles para la Generación Eléctrica</t>
  </si>
  <si>
    <t>Turbogás (Cog. Eficiente)</t>
  </si>
  <si>
    <t>Turbogás (Bioenergía)</t>
  </si>
  <si>
    <t>Turbogás</t>
  </si>
  <si>
    <t>Fabricación de fertilizantes</t>
  </si>
  <si>
    <t>Termoeléctrica Convencional (Bioenergía)</t>
  </si>
  <si>
    <t>Termoeléctrica Convencional</t>
  </si>
  <si>
    <t>Nucleoeléctrica</t>
  </si>
  <si>
    <t>Lecho Fluidizado</t>
  </si>
  <si>
    <t>Hidroeléctrica</t>
  </si>
  <si>
    <t>Fabricación de productos de hule</t>
  </si>
  <si>
    <t>Geotérmica</t>
  </si>
  <si>
    <t>Frenos Regenerativos</t>
  </si>
  <si>
    <t>FIRCO y Generación Distribuida</t>
  </si>
  <si>
    <t>Eólica</t>
  </si>
  <si>
    <t>Combustión Interna (Cog. Eficiente)</t>
  </si>
  <si>
    <t>Combustión Interna (Bioenergía)</t>
  </si>
  <si>
    <t>Fabricación de automóviles y camiones</t>
  </si>
  <si>
    <t>Combustión Interna</t>
  </si>
  <si>
    <t>Ciclo Combinado (Cog. Eficiente)</t>
  </si>
  <si>
    <t>Ciclo Combinado</t>
  </si>
  <si>
    <t>Carboeléctrica</t>
  </si>
  <si>
    <t>Elaboración de refrescos, hielo y otras bebidas no alcohólicas, purificación y embotellado de agua</t>
  </si>
  <si>
    <t>Coque de Carbón</t>
  </si>
  <si>
    <t>Elaboración de cerveza</t>
  </si>
  <si>
    <t>Otras ramas</t>
  </si>
  <si>
    <t>Consumo final Energético</t>
  </si>
  <si>
    <t>Fabricación de vidrio y productos de vidrio</t>
  </si>
  <si>
    <t>Fabricación de pulpa, papel y cartón</t>
  </si>
  <si>
    <t>Minería de minerales metálicos y no metálicos</t>
  </si>
  <si>
    <t>Industria Química</t>
  </si>
  <si>
    <t>Construcción</t>
  </si>
  <si>
    <t>Elaboración de azúcares</t>
  </si>
  <si>
    <t>Fabricación de cemento y productos a base de cemento en plantas integradas</t>
  </si>
  <si>
    <t>Industria básica del hierro y el acero</t>
  </si>
  <si>
    <t>Las emisiones de la rama Residencial no cuentan las emisiones asocidas al consumo de leña.</t>
  </si>
  <si>
    <t>En la categoría de Generación Eléctrica todos los procesos de combustión que utilizan el biogas como combustible, que se contabiliza en Autogeneración, se debe de contabilizar en la cuenta del usuario que hizo la combustión.</t>
  </si>
  <si>
    <t>Pemex Petroquímica está en la sección de consumo final en el Balance Nacional de Energía. Se cambió a la categoría Petróleo y Gas.</t>
  </si>
  <si>
    <t>El principal combustible que se utiliza en la extracción de petróleo es el gas natural y el gas seco.</t>
  </si>
  <si>
    <t>Los aspectos más releventes que se encontraron fueron:</t>
  </si>
  <si>
    <t>Los datos del inventarios nacional de emisiones con datos del 2013 se extrajeron del documento de la SEMARNAT "Primer informe bienal de actualización ante la convención marco de las Naciones Unidas sobre el Cambio Climático"</t>
  </si>
  <si>
    <t>Los factores de emisión del documento del IPCC 2006 so extrajeron del capítulo 2.</t>
  </si>
  <si>
    <t>Los factores de emisión que no estaban en el documento INECC 2014 se calculan con los FE de extraídos de docmento INECC 2014 y de la calculadora RENE (de la semarnat) ajustada con los PCN publicados por la CONUEE.</t>
  </si>
  <si>
    <t>Notas</t>
  </si>
  <si>
    <t>N/A</t>
  </si>
  <si>
    <t>Generación eléctrica</t>
  </si>
  <si>
    <t>Pemex refinación</t>
  </si>
  <si>
    <r>
      <t>Inventario nacional de emisiones [Gg de CO</t>
    </r>
    <r>
      <rPr>
        <b/>
        <vertAlign val="subscript"/>
        <sz val="12"/>
        <color theme="1"/>
        <rFont val="Calibri"/>
        <family val="2"/>
        <scheme val="minor"/>
      </rPr>
      <t>2</t>
    </r>
    <r>
      <rPr>
        <b/>
        <sz val="12"/>
        <color theme="1"/>
        <rFont val="Calibri"/>
        <family val="2"/>
        <scheme val="minor"/>
      </rPr>
      <t>]</t>
    </r>
  </si>
  <si>
    <r>
      <t>COPAR 2015 [Gg de CO</t>
    </r>
    <r>
      <rPr>
        <b/>
        <vertAlign val="subscript"/>
        <sz val="12"/>
        <color theme="1"/>
        <rFont val="Calibri"/>
        <family val="2"/>
        <scheme val="minor"/>
      </rPr>
      <t>2</t>
    </r>
    <r>
      <rPr>
        <b/>
        <sz val="12"/>
        <color theme="1"/>
        <rFont val="Calibri"/>
        <family val="2"/>
        <scheme val="minor"/>
      </rPr>
      <t>]</t>
    </r>
  </si>
  <si>
    <r>
      <t>IPCC@2006 [Gg de CO</t>
    </r>
    <r>
      <rPr>
        <b/>
        <vertAlign val="subscript"/>
        <sz val="12"/>
        <color theme="1"/>
        <rFont val="Calibri (Cuerpo)"/>
      </rPr>
      <t>2</t>
    </r>
    <r>
      <rPr>
        <b/>
        <sz val="12"/>
        <color theme="1"/>
        <rFont val="Calibri"/>
        <family val="2"/>
        <scheme val="minor"/>
      </rPr>
      <t>]</t>
    </r>
  </si>
  <si>
    <r>
      <t>INECC@2014 [Gg de CO</t>
    </r>
    <r>
      <rPr>
        <b/>
        <vertAlign val="subscript"/>
        <sz val="12"/>
        <color theme="1"/>
        <rFont val="Calibri (Cuerpo)"/>
      </rPr>
      <t>2</t>
    </r>
    <r>
      <rPr>
        <b/>
        <sz val="12"/>
        <color theme="1"/>
        <rFont val="Calibri"/>
        <family val="2"/>
        <scheme val="minor"/>
      </rPr>
      <t>]</t>
    </r>
  </si>
  <si>
    <t>Energía [PJ]</t>
  </si>
  <si>
    <t>Categoría</t>
  </si>
  <si>
    <t>Suma de COPAR@2015 [Gg de CO2]</t>
  </si>
  <si>
    <t>Suma de IPCC@2006 [Gg de CO2]</t>
  </si>
  <si>
    <t>Suma de INECC@2014 [Gg de CO2]</t>
  </si>
  <si>
    <t>Suma de Energía [PJ]</t>
  </si>
  <si>
    <r>
      <t>COPAR@2015 [Gg de CO</t>
    </r>
    <r>
      <rPr>
        <b/>
        <vertAlign val="subscript"/>
        <sz val="12"/>
        <color theme="1"/>
        <rFont val="Calibri (Cuerpo)"/>
      </rPr>
      <t>2</t>
    </r>
    <r>
      <rPr>
        <b/>
        <sz val="12"/>
        <color theme="1"/>
        <rFont val="Calibri"/>
        <family val="2"/>
        <scheme val="minor"/>
      </rPr>
      <t>]</t>
    </r>
  </si>
  <si>
    <t>Combustible</t>
  </si>
  <si>
    <t>Rama</t>
  </si>
  <si>
    <t>BNE</t>
  </si>
  <si>
    <t>Bioenergy</t>
  </si>
  <si>
    <t>other clean energy</t>
  </si>
  <si>
    <t xml:space="preserve">TOTAL </t>
  </si>
  <si>
    <t xml:space="preserve">Total </t>
  </si>
  <si>
    <t>Residencilal, commervial y publico</t>
  </si>
  <si>
    <t>Agropecuario Transp</t>
  </si>
  <si>
    <t>Pemex Petroquímica transf</t>
  </si>
  <si>
    <t>Total general</t>
  </si>
  <si>
    <t>Consumo de energia en PJ</t>
  </si>
  <si>
    <t xml:space="preserve">Auxiliary Data/ Production of Matrix Supply-Use in million pesos Mx: agriculture 
</t>
  </si>
  <si>
    <t>Mtoe</t>
  </si>
  <si>
    <t>oil</t>
  </si>
  <si>
    <t>Passager transport by road (not include vehicule)</t>
  </si>
  <si>
    <t>Cars + 2-wheels</t>
  </si>
  <si>
    <t>electricity</t>
  </si>
  <si>
    <t xml:space="preserve">Auxiliary Data/ Enerdata-Medpro 2014: Transport
</t>
  </si>
  <si>
    <t xml:space="preserve">Auxiliary Data/ Enerdata-MedPro, MTOE 2014: Transport 
</t>
  </si>
  <si>
    <t>Maquinaria de construcción Transp</t>
  </si>
  <si>
    <t>Oil&amp;Coal</t>
  </si>
  <si>
    <t>Gas</t>
  </si>
  <si>
    <t>Autogeneration</t>
  </si>
  <si>
    <t>Biomass</t>
  </si>
  <si>
    <t>Industries</t>
  </si>
  <si>
    <t>Transformation</t>
  </si>
  <si>
    <t>Branches</t>
  </si>
  <si>
    <t>PJ</t>
  </si>
  <si>
    <t>Sectors</t>
  </si>
  <si>
    <t>Energy</t>
  </si>
  <si>
    <t>En Gwh</t>
  </si>
  <si>
    <t>Equivalencias</t>
  </si>
  <si>
    <t>1GWh</t>
  </si>
  <si>
    <t xml:space="preserve">Supply-use tables </t>
  </si>
  <si>
    <t xml:space="preserve">Auxiliary data : Avegarage prices of electricity </t>
  </si>
  <si>
    <t>Servicios</t>
  </si>
  <si>
    <t>Agrícola</t>
  </si>
  <si>
    <t>Empresa mediana</t>
  </si>
  <si>
    <t>Gran industria</t>
  </si>
  <si>
    <t>Cálculo de los Usos Propios del Sector Eléctrico por tecnología de generación para el año 2013</t>
  </si>
  <si>
    <t>Tecnología</t>
  </si>
  <si>
    <t>Generación Bruta (GWh)</t>
  </si>
  <si>
    <t>Usos propios (en fracción)</t>
  </si>
  <si>
    <t>(1-usos prop)</t>
  </si>
  <si>
    <t>Geneneración neta (GWh)</t>
  </si>
  <si>
    <t>Usos Propios (GWh)</t>
  </si>
  <si>
    <t>Usos Propios en PJ</t>
  </si>
  <si>
    <t>FIRCO y Generación Distribuida*</t>
  </si>
  <si>
    <t>Consumo intermedio de electricidad del sector electrico
(en millones de pesos)</t>
  </si>
  <si>
    <t>Precio 2013 del Kwh para el sector industria (en centavos de pesos)
sources: tarifas por sector tarifario, SIE</t>
  </si>
  <si>
    <t>Consumo propio en Kwh</t>
  </si>
  <si>
    <t>precio del  kwh por consumo propio de electricidad (en pesos)</t>
  </si>
  <si>
    <t>precio del  kwh por consumo propio de electricidad (en centavos de pesos)</t>
  </si>
  <si>
    <t>sources: SIE, SENER</t>
  </si>
  <si>
    <t>El consumo de Diesel en la rama agropecuario se contabiliza en la rama Transporte (En el SIE esta contabilizado en en sector agropecuario)</t>
  </si>
  <si>
    <t>Electricity generation, trasmission and distribution</t>
  </si>
  <si>
    <t>Oil&amp;coal</t>
  </si>
  <si>
    <t>Domestico</t>
  </si>
  <si>
    <t xml:space="preserve">Generation </t>
  </si>
  <si>
    <t>Aggregate Sectors</t>
  </si>
  <si>
    <t>Equivalencia entre unidades de energía</t>
  </si>
  <si>
    <t>Tabla de conversión</t>
  </si>
  <si>
    <t>Unidades</t>
  </si>
  <si>
    <t>joule</t>
  </si>
  <si>
    <t>kWh</t>
  </si>
  <si>
    <t>BTU</t>
  </si>
  <si>
    <t>kcal</t>
  </si>
  <si>
    <r>
      <t xml:space="preserve">MWd </t>
    </r>
    <r>
      <rPr>
        <vertAlign val="superscript"/>
        <sz val="9.5"/>
        <color rgb="FF000000"/>
        <rFont val="Arial"/>
        <family val="2"/>
      </rPr>
      <t>1/</t>
    </r>
  </si>
  <si>
    <t>Twh</t>
  </si>
  <si>
    <t>million BTU</t>
  </si>
  <si>
    <t>Multiplique</t>
  </si>
  <si>
    <t>Por</t>
  </si>
  <si>
    <t>Para convertir</t>
  </si>
  <si>
    <t xml:space="preserve">    1 joule</t>
  </si>
  <si>
    <r>
      <t>2.788 *10</t>
    </r>
    <r>
      <rPr>
        <vertAlign val="superscript"/>
        <sz val="9.5"/>
        <color rgb="FF000000"/>
        <rFont val="Arial"/>
        <family val="2"/>
      </rPr>
      <t>-7</t>
    </r>
  </si>
  <si>
    <r>
      <t>9.481 x 10</t>
    </r>
    <r>
      <rPr>
        <vertAlign val="superscript"/>
        <sz val="9.5"/>
        <color rgb="FF000000"/>
        <rFont val="Arial"/>
        <family val="2"/>
      </rPr>
      <t>-4</t>
    </r>
  </si>
  <si>
    <r>
      <t>2.389 x 10</t>
    </r>
    <r>
      <rPr>
        <vertAlign val="superscript"/>
        <sz val="9.5"/>
        <color rgb="FF000000"/>
        <rFont val="Arial"/>
        <family val="2"/>
      </rPr>
      <t>-4</t>
    </r>
  </si>
  <si>
    <r>
      <t>1.16 x 10</t>
    </r>
    <r>
      <rPr>
        <vertAlign val="superscript"/>
        <sz val="9.5"/>
        <color rgb="FF000000"/>
        <rFont val="Arial"/>
        <family val="2"/>
      </rPr>
      <t>-11</t>
    </r>
  </si>
  <si>
    <t>acres</t>
  </si>
  <si>
    <t>hectáreas</t>
  </si>
  <si>
    <t xml:space="preserve">    1 kWh</t>
  </si>
  <si>
    <r>
      <t>4.17 x 10</t>
    </r>
    <r>
      <rPr>
        <vertAlign val="superscript"/>
        <sz val="9.5"/>
        <color rgb="FF000000"/>
        <rFont val="Arial"/>
        <family val="2"/>
      </rPr>
      <t>-5</t>
    </r>
  </si>
  <si>
    <t>año</t>
  </si>
  <si>
    <t>horas</t>
  </si>
  <si>
    <t xml:space="preserve">    1 BTU</t>
  </si>
  <si>
    <r>
      <t>2.93 x 10</t>
    </r>
    <r>
      <rPr>
        <vertAlign val="superscript"/>
        <sz val="9.5"/>
        <color rgb="FF000000"/>
        <rFont val="Arial"/>
        <family val="2"/>
      </rPr>
      <t>-4</t>
    </r>
  </si>
  <si>
    <r>
      <t>1.22 x 10</t>
    </r>
    <r>
      <rPr>
        <vertAlign val="superscript"/>
        <sz val="9.5"/>
        <color rgb="FF000000"/>
        <rFont val="Arial"/>
        <family val="2"/>
      </rPr>
      <t>-8</t>
    </r>
  </si>
  <si>
    <t>atmósferas</t>
  </si>
  <si>
    <r>
      <t>kg/cm</t>
    </r>
    <r>
      <rPr>
        <vertAlign val="superscript"/>
        <sz val="10"/>
        <color rgb="FF000000"/>
        <rFont val="Arial"/>
        <family val="2"/>
      </rPr>
      <t>2</t>
    </r>
  </si>
  <si>
    <t xml:space="preserve">    1 kcal</t>
  </si>
  <si>
    <r>
      <t>1.163 x 10</t>
    </r>
    <r>
      <rPr>
        <vertAlign val="superscript"/>
        <sz val="9.5"/>
        <color rgb="FF000000"/>
        <rFont val="Arial"/>
        <family val="2"/>
      </rPr>
      <t>-3</t>
    </r>
  </si>
  <si>
    <r>
      <t>4.84 x 10</t>
    </r>
    <r>
      <rPr>
        <vertAlign val="superscript"/>
        <sz val="9.5"/>
        <color rgb="FF000000"/>
        <rFont val="Arial"/>
        <family val="2"/>
      </rPr>
      <t>-8</t>
    </r>
  </si>
  <si>
    <r>
      <t>lb/pulg</t>
    </r>
    <r>
      <rPr>
        <vertAlign val="superscript"/>
        <sz val="10"/>
        <color rgb="FF000000"/>
        <rFont val="Arial"/>
        <family val="2"/>
      </rPr>
      <t>2</t>
    </r>
  </si>
  <si>
    <t xml:space="preserve">    MWd</t>
  </si>
  <si>
    <r>
      <t xml:space="preserve">8.64 x 10 </t>
    </r>
    <r>
      <rPr>
        <vertAlign val="superscript"/>
        <sz val="9.5"/>
        <color rgb="FF000000"/>
        <rFont val="Arial"/>
        <family val="2"/>
      </rPr>
      <t>10</t>
    </r>
  </si>
  <si>
    <r>
      <t>81.89 x 10</t>
    </r>
    <r>
      <rPr>
        <vertAlign val="superscript"/>
        <sz val="9.5"/>
        <color rgb="FF000000"/>
        <rFont val="Arial"/>
        <family val="2"/>
      </rPr>
      <t>9</t>
    </r>
  </si>
  <si>
    <r>
      <t>20.64 x 10</t>
    </r>
    <r>
      <rPr>
        <vertAlign val="superscript"/>
        <sz val="9.5"/>
        <color rgb="FF000000"/>
        <rFont val="Arial"/>
        <family val="2"/>
      </rPr>
      <t>6</t>
    </r>
  </si>
  <si>
    <t>bars</t>
  </si>
  <si>
    <t>1 PJ</t>
  </si>
  <si>
    <t>Kw</t>
  </si>
  <si>
    <t>barril</t>
  </si>
  <si>
    <t>galones</t>
  </si>
  <si>
    <t>1 Mw</t>
  </si>
  <si>
    <t>litros</t>
  </si>
  <si>
    <t>1 GW</t>
  </si>
  <si>
    <r>
      <t xml:space="preserve">metros </t>
    </r>
    <r>
      <rPr>
        <vertAlign val="superscript"/>
        <sz val="10"/>
        <color rgb="FF000000"/>
        <rFont val="Arial"/>
        <family val="2"/>
      </rPr>
      <t>3</t>
    </r>
  </si>
  <si>
    <t>1 Tw</t>
  </si>
  <si>
    <t>BTU/h</t>
  </si>
  <si>
    <t>W (watts)</t>
  </si>
  <si>
    <t>BTU/hp-h</t>
  </si>
  <si>
    <t>kcal/kWh</t>
  </si>
  <si>
    <t>kJ/kWh</t>
  </si>
  <si>
    <t>MX$</t>
  </si>
  <si>
    <t>BTU/kWh</t>
  </si>
  <si>
    <t>1 US$</t>
  </si>
  <si>
    <t>BTU/lb</t>
  </si>
  <si>
    <t>kcal/kg</t>
  </si>
  <si>
    <t>kJ/kg</t>
  </si>
  <si>
    <t>ºC</t>
  </si>
  <si>
    <t>(ºC x 9/5) + 32</t>
  </si>
  <si>
    <t>ºF</t>
  </si>
  <si>
    <t>ºC + 273.18</t>
  </si>
  <si>
    <t>ºK</t>
  </si>
  <si>
    <t>galón</t>
  </si>
  <si>
    <t>hp (US)</t>
  </si>
  <si>
    <t>kW</t>
  </si>
  <si>
    <t>pulgada de mercurio</t>
  </si>
  <si>
    <r>
      <t>3.453 x 10</t>
    </r>
    <r>
      <rPr>
        <vertAlign val="superscript"/>
        <sz val="10"/>
        <color rgb="FF000000"/>
        <rFont val="Arial"/>
        <family val="2"/>
      </rPr>
      <t>-2</t>
    </r>
  </si>
  <si>
    <t>pulgada de agua ( a 4 ºC)</t>
  </si>
  <si>
    <r>
      <t>2.54 x 10</t>
    </r>
    <r>
      <rPr>
        <vertAlign val="superscript"/>
        <sz val="10"/>
        <color rgb="FF000000"/>
        <rFont val="Arial"/>
        <family val="2"/>
      </rPr>
      <t>-3</t>
    </r>
  </si>
  <si>
    <r>
      <t>3.613 x 10</t>
    </r>
    <r>
      <rPr>
        <vertAlign val="superscript"/>
        <sz val="10"/>
        <color rgb="FF000000"/>
        <rFont val="Arial"/>
        <family val="2"/>
      </rPr>
      <t>-2</t>
    </r>
  </si>
  <si>
    <t>kilogramo</t>
  </si>
  <si>
    <t>libras</t>
  </si>
  <si>
    <r>
      <t>1.102 x 10</t>
    </r>
    <r>
      <rPr>
        <vertAlign val="superscript"/>
        <sz val="10"/>
        <color rgb="FF000000"/>
        <rFont val="Arial"/>
        <family val="2"/>
      </rPr>
      <t>-3</t>
    </r>
  </si>
  <si>
    <t>toneladas cortas</t>
  </si>
  <si>
    <r>
      <t>9.842 x 10</t>
    </r>
    <r>
      <rPr>
        <vertAlign val="superscript"/>
        <sz val="10"/>
        <color rgb="FF000000"/>
        <rFont val="Arial"/>
        <family val="2"/>
      </rPr>
      <t>-4</t>
    </r>
  </si>
  <si>
    <t>toneladas largas</t>
  </si>
  <si>
    <t>libra</t>
  </si>
  <si>
    <t>kilogramos</t>
  </si>
  <si>
    <r>
      <t xml:space="preserve">pie </t>
    </r>
    <r>
      <rPr>
        <vertAlign val="superscript"/>
        <sz val="10"/>
        <color rgb="FF000000"/>
        <rFont val="Arial"/>
        <family val="2"/>
      </rPr>
      <t>3</t>
    </r>
  </si>
  <si>
    <r>
      <t>metro</t>
    </r>
    <r>
      <rPr>
        <vertAlign val="superscript"/>
        <sz val="10"/>
        <color rgb="FF000000"/>
        <rFont val="Arial"/>
        <family val="2"/>
      </rPr>
      <t xml:space="preserve"> 3</t>
    </r>
  </si>
  <si>
    <t>tonelada corta (USA)</t>
  </si>
  <si>
    <t>tonelada larga (UK)</t>
  </si>
  <si>
    <t>tonelada eq. de carbón</t>
  </si>
  <si>
    <t>GWh</t>
  </si>
  <si>
    <t>tonelad eq. de petróleo</t>
  </si>
  <si>
    <r>
      <t xml:space="preserve">2.788 x10 </t>
    </r>
    <r>
      <rPr>
        <vertAlign val="superscript"/>
        <sz val="10"/>
        <color rgb="FF000000"/>
        <rFont val="Arial"/>
        <family val="2"/>
      </rPr>
      <t>-7</t>
    </r>
  </si>
  <si>
    <r>
      <t xml:space="preserve">9.481 x 10 </t>
    </r>
    <r>
      <rPr>
        <vertAlign val="superscript"/>
        <sz val="10"/>
        <color rgb="FF000000"/>
        <rFont val="Arial"/>
        <family val="2"/>
      </rPr>
      <t>-4</t>
    </r>
  </si>
  <si>
    <r>
      <t xml:space="preserve">2.389 x 10 </t>
    </r>
    <r>
      <rPr>
        <vertAlign val="superscript"/>
        <sz val="10"/>
        <color rgb="FF000000"/>
        <rFont val="Arial"/>
        <family val="2"/>
      </rPr>
      <t>-4</t>
    </r>
  </si>
  <si>
    <t>https://www.eia.gov/energyexplained/index.php?page=about_energy_conversion_calculator</t>
  </si>
  <si>
    <t>liters</t>
  </si>
  <si>
    <t>megajoules</t>
  </si>
  <si>
    <t>Btu</t>
  </si>
  <si>
    <t>Barrels</t>
  </si>
  <si>
    <t>kilojoule : 1 kJ</t>
  </si>
  <si>
    <t> 1000 </t>
  </si>
  <si>
    <t>J</t>
  </si>
  <si>
    <t>gigajoule : 1 GJ</t>
  </si>
  <si>
    <t>pétajoule : 1 PJ</t>
  </si>
  <si>
    <t>exajoule : 1 EJ</t>
  </si>
  <si>
    <t>térajoule : 1 TJ </t>
  </si>
  <si>
    <t>mégajoule : 1 MJ</t>
  </si>
  <si>
    <t>Auxiliary Data/Cost of energy by sector (million pesos /PJ)</t>
  </si>
  <si>
    <t>Tipo</t>
  </si>
  <si>
    <t>Año</t>
  </si>
  <si>
    <t>Mes</t>
  </si>
  <si>
    <t>IPGN*</t>
  </si>
  <si>
    <t>Diciembre</t>
  </si>
  <si>
    <t xml:space="preserve">Diciembre </t>
  </si>
  <si>
    <t>Índice ( millones de MXN/PJ)</t>
  </si>
  <si>
    <t>Gasolina Premium</t>
  </si>
  <si>
    <t>Gasolina regular</t>
  </si>
  <si>
    <t>Notas : *El índice nacional hace referencia al Índice de Referencia Nacional de Precios de Gas Natural al Mayoreo (IPGN).</t>
  </si>
  <si>
    <t>Importado</t>
  </si>
  <si>
    <t>Total sector</t>
  </si>
  <si>
    <t>Auxiliary Data/Energy price: Source CRE</t>
  </si>
  <si>
    <t>3ME</t>
  </si>
  <si>
    <t>Agriculture, livestock and fishing</t>
  </si>
  <si>
    <t xml:space="preserve">Rail transport </t>
  </si>
  <si>
    <t xml:space="preserve">Public services </t>
  </si>
  <si>
    <t>Households</t>
  </si>
  <si>
    <t>Passanger transport by road (+freight)</t>
  </si>
  <si>
    <t>Otras ramas (à désagréger)</t>
  </si>
  <si>
    <t>Total General</t>
  </si>
  <si>
    <t>TODAS LAS MODALIDADES (PJ)</t>
  </si>
  <si>
    <t>Cogeneración Eficiente (Ciclo Combinado con cogeneración eficiente, Combustión interna con cogeneración eficiente)</t>
  </si>
  <si>
    <t>Bioenergía (Combustión interna, Termoeléctrica convencional, Turbogás)</t>
  </si>
  <si>
    <t>Other clean energy</t>
  </si>
  <si>
    <t>Otras energias limpias (FIRCO, Generación distribuida, frenos regenerativos )</t>
  </si>
  <si>
    <t>Carboeléctrica y Lecho fluidizado</t>
  </si>
  <si>
    <t>Ciclo combinado, turbo gas</t>
  </si>
  <si>
    <t>Termoelectrica</t>
  </si>
  <si>
    <t>CFE  (PJ)</t>
  </si>
  <si>
    <t>PIE  (PJ)</t>
  </si>
  <si>
    <t>COG  (PJ)</t>
  </si>
  <si>
    <t>BIO (PJ)</t>
  </si>
  <si>
    <t>AUT; EXP; PP; UPC  (PJ)</t>
  </si>
  <si>
    <t>TOTAL</t>
  </si>
  <si>
    <t>TODAS LAS MODALIDADES (PJ) (excluyendo AUT; EXP; PP; UPC)</t>
  </si>
  <si>
    <t>Total Sin Biomass</t>
  </si>
  <si>
    <t>Pemex Petroquímica Transf</t>
  </si>
  <si>
    <t>Generacion de electricidad</t>
  </si>
  <si>
    <t>Transformacion</t>
  </si>
  <si>
    <t>Total Cosumo Final</t>
  </si>
  <si>
    <t>Sectores</t>
  </si>
  <si>
    <t>=</t>
  </si>
  <si>
    <t>Auxiliary Data/Energy consumptionof household (source: Enerdata 2014)</t>
  </si>
  <si>
    <t>Transport (sectors and households)</t>
  </si>
  <si>
    <t>Cost of energy by sector Corrected (million pesos /PJ</t>
  </si>
  <si>
    <t xml:space="preserve">Transport </t>
  </si>
  <si>
    <t>PJ 2013</t>
  </si>
  <si>
    <t>Electricity generation</t>
  </si>
  <si>
    <t>Total </t>
  </si>
  <si>
    <t>Residencial </t>
  </si>
  <si>
    <t>Comercial </t>
  </si>
  <si>
    <t>Agricola</t>
  </si>
  <si>
    <t>Industrial </t>
  </si>
  <si>
    <t>Empresa mediana </t>
  </si>
  <si>
    <t>Gran industria </t>
  </si>
  <si>
    <t>1 centavo de pesos</t>
  </si>
  <si>
    <t>1 E-8 millon de pesos</t>
  </si>
  <si>
    <t>1 KWh </t>
  </si>
  <si>
    <t>3,6 E-9 pétajoule</t>
  </si>
  <si>
    <t>Total Final consumption</t>
  </si>
  <si>
    <t>millones de pesos/PJ</t>
  </si>
  <si>
    <t>La conversion de centavo de pesos/kwh à millones de pesos/PJ implique de diviserr par 0,36.</t>
  </si>
  <si>
    <t>Centavos de pesos/Kwh </t>
  </si>
  <si>
    <t>Prix moyen</t>
  </si>
  <si>
    <t>Difference from SIE</t>
  </si>
  <si>
    <t>Auxiliary Data/Energy consumption in electricity sector by technologie (source:ThreeME)</t>
  </si>
  <si>
    <t>Million pesos</t>
  </si>
  <si>
    <t>Cost of energy by sector (million pesos /PJ) SIE</t>
  </si>
  <si>
    <t>Sistema de Información Energética</t>
  </si>
  <si>
    <t>Secretaría de Energía</t>
  </si>
  <si>
    <t>Dirección General de Planeación e Información Energéticas</t>
  </si>
  <si>
    <t>Balance Nacional de Energía: Consumo de energía para generación eléctrica en el sistema eléctrico nacional</t>
  </si>
  <si>
    <t>(petajoules)</t>
  </si>
  <si>
    <t>REALES</t>
  </si>
  <si>
    <t>Descripción</t>
  </si>
  <si>
    <t>Energía eólica, solar y biogás</t>
  </si>
  <si>
    <t>Centrales públicas</t>
  </si>
  <si>
    <t>Nucleoenergia</t>
  </si>
  <si>
    <t>Hidroenergia</t>
  </si>
  <si>
    <t>Geoenergia</t>
  </si>
  <si>
    <t>Centrales PIEs</t>
  </si>
  <si>
    <t>Centrales de Autogeneración</t>
  </si>
  <si>
    <t>Biogás</t>
  </si>
  <si>
    <t>Otros secundarios</t>
  </si>
  <si>
    <t>Centrales con modalidad de Generación</t>
  </si>
  <si>
    <t>Produccion total</t>
  </si>
  <si>
    <t>Producción en centrales eléctricas</t>
  </si>
  <si>
    <t>Producción en centrales eléctricas PIE</t>
  </si>
  <si>
    <t>Producción en centrales eléctricas autogeneración</t>
  </si>
  <si>
    <t>Producción en centrales eléctricas con modalidad de Generación</t>
  </si>
  <si>
    <t>La suma de los parciales puede no coincidir con los totales, debido al redondeo de las cifras.</t>
  </si>
  <si>
    <t>A partir de 2016 se incluye información de las centrales eléctricas con permiso de generación otorgado por la CRE.</t>
  </si>
  <si>
    <t>Los datos del año 2016 son preliminares y están sujetos a cambios sin previo aviso.</t>
  </si>
  <si>
    <t>Fuente: Sistema de Información Energética con información del Balance Nacional de Energía, SENER.</t>
  </si>
  <si>
    <t>Total consumo de energia sin Biomass</t>
  </si>
  <si>
    <t>SIE</t>
  </si>
  <si>
    <t>CRE</t>
  </si>
  <si>
    <t>CRE (excluyendo AUT; EXP; PP; UPC)</t>
  </si>
  <si>
    <t>Energy consumption PJ</t>
  </si>
  <si>
    <t>Prices (million MXN/PJ)</t>
  </si>
  <si>
    <t>Auxiliary Data/Energy consumption by setors in Million pesos - ThreeME-Mex (source: use-supply Matrix 2013, INEGI)</t>
  </si>
  <si>
    <t>Generacion electricidad</t>
  </si>
  <si>
    <t>CONSUMO DE COMBUSTIBLES PARA LA GENERACIÓN DE ENERGÍA ELÉCTRICA EN PEMEX  (PJ)</t>
  </si>
  <si>
    <t>OIL&amp;COAL</t>
  </si>
  <si>
    <t>GAS</t>
  </si>
  <si>
    <t>ELECTRCITY</t>
  </si>
  <si>
    <t>BIOMASS</t>
  </si>
  <si>
    <t>PEMEX EXPLORACIÓN</t>
  </si>
  <si>
    <t>PEMEX PETROQUIÍMICA</t>
  </si>
  <si>
    <t>PEMEX GAS</t>
  </si>
  <si>
    <t>PEMEX REFINACIÓN</t>
  </si>
  <si>
    <t>Precios nivelados combustibles</t>
  </si>
  <si>
    <t>USD/MWh neto</t>
  </si>
  <si>
    <t>MXN</t>
  </si>
  <si>
    <t>millon de pesos</t>
  </si>
  <si>
    <t> pétajoule</t>
  </si>
  <si>
    <t xml:space="preserve">La conversion de centavo de pesos/kwh à millones de pesos/PJ mutiplier par </t>
  </si>
  <si>
    <t>MXN/MWh</t>
  </si>
  <si>
    <t>1 MXN</t>
  </si>
  <si>
    <t>millones MXN</t>
  </si>
  <si>
    <t>1USD</t>
  </si>
  <si>
    <t>Milones MXN/PJ</t>
  </si>
  <si>
    <t>Millones de pesos Para ThreeMe-Mex</t>
  </si>
  <si>
    <t>Assumption for cost of energy in electricity sector to match with National account</t>
  </si>
  <si>
    <t>Centrales publicas</t>
  </si>
  <si>
    <t>PIEs</t>
  </si>
  <si>
    <t>Autogeneracion</t>
  </si>
  <si>
    <t>(source: SIE, Balance Nacional de Energía: Consumo de energía para generación eléctrica en el sistema eléctrico nacional)</t>
  </si>
  <si>
    <t>Clean energy</t>
  </si>
  <si>
    <t>biogas</t>
  </si>
  <si>
    <t>sous-total (clean energy)</t>
  </si>
  <si>
    <t>Ratio used to disaggregated energy comsuption in power sector in the USE-SUPPLY Matrix</t>
  </si>
  <si>
    <t>Etiquetas de fila</t>
  </si>
  <si>
    <t>Suma de GENERACION BRUTA O IMPORTACION (GWh)</t>
  </si>
  <si>
    <t>Suma de CONSUMO DE AUXILIARES (GWh)</t>
  </si>
  <si>
    <t>Suma de GAS NATURAL (m3)</t>
  </si>
  <si>
    <t>Suma de COMBUSTOLEO (m3)</t>
  </si>
  <si>
    <t>Suma de DIESEL (m3)</t>
  </si>
  <si>
    <t>Suma de BAGAZO DE CAÑA (TON)</t>
  </si>
  <si>
    <t>Suma de GAS L.P. (m3)</t>
  </si>
  <si>
    <t>Suma de BIOGAS (m3)</t>
  </si>
  <si>
    <t>Suma de GAS DE ALTO HORNO (m3)</t>
  </si>
  <si>
    <t>Suma de GAS COQUE (m3)</t>
  </si>
  <si>
    <t>Suma de LICOR NEGRO (TON)</t>
  </si>
  <si>
    <t>Suma de GASOLEO (m^3)</t>
  </si>
  <si>
    <t>Suma de ETANO (m^3)</t>
  </si>
  <si>
    <t>Suma de COQUE DE PETROLEO (Ton)</t>
  </si>
  <si>
    <t>Suma de ASERRÍN (Ton)</t>
  </si>
  <si>
    <t>Suma de ACEITE RESIDUAL   (m3)</t>
  </si>
  <si>
    <t>Suma de CARBON (Ton)</t>
  </si>
  <si>
    <t>Suma de Gas Residual (m3)</t>
  </si>
  <si>
    <t>Suma de Bagazo de Malta        (Ton)</t>
  </si>
  <si>
    <t>Suma de Combustóleo Ligereo Aditivado  (m3)</t>
  </si>
  <si>
    <t>Suma de EXCEDENTES A CFE (GWh)</t>
  </si>
  <si>
    <t>AUT.</t>
  </si>
  <si>
    <t>COMBUSTION INTERNA</t>
  </si>
  <si>
    <t>PEMEX-EXPLORACIÓN Y PRODUCCIÓN ESTACIÓN DE COMPRESIÓN Y MANEJO DE GAS EL RAUDAL</t>
  </si>
  <si>
    <t>PEMEX-EXPLORACIÓN Y PRODUCCIÓN, CENTRO OPERATIVO CAYO ARCAS</t>
  </si>
  <si>
    <t>PEMEX-EXPLORACIÓN Y PRODUCCIÓN, PLATAFORMA AKAL-C INYECCIÓN</t>
  </si>
  <si>
    <t>PEMEX-EXPLORACIÓN Y PRODUCCIÓN, PLATAFORMA ECO-1</t>
  </si>
  <si>
    <t>PEMEX-EXPLORACIÓN Y PRODUCCIÓN, PLATAFORMA HABITACIONAL LITORAL TABASCO HA-LT-01</t>
  </si>
  <si>
    <t>PEMEX-EXPLORACIÓN Y PRODUCCIÓN, PLATAFORMA MARINA COMPLEJO IXTOC-A</t>
  </si>
  <si>
    <t>TURBINA DE GAS</t>
  </si>
  <si>
    <t>PEMEX-EXPLORACIÓN Y PRODUCCIÓN, CENTRO DE PROCESO Y TRANSPORTE DE GAS ATASTA</t>
  </si>
  <si>
    <t>PEMEX-PETROQUÍMICA, TERMINAL REFRIGERADA PAJARITOS</t>
  </si>
  <si>
    <t>TURBINA DE GAS Y COMBUSTION INTERNA</t>
  </si>
  <si>
    <t>PEMEX-EXPLORACIÓN Y PRODUCCIÓN, BARCO DE PROCESO, ALMACENAMIENTO Y DESCARGA, YÙUM K’AK’NAAB</t>
  </si>
  <si>
    <t>PEMEX-EXPLORACIÓN Y PRODUCCIÓN, CENTRO DE PROCESO AKAL-B</t>
  </si>
  <si>
    <t>PEMEX-EXPLORACIÓN Y PRODUCCIÓN, CENTRO DE PROCESO AKAL-C</t>
  </si>
  <si>
    <t>PEMEX-EXPLORACIÓN Y PRODUCCIÓN, CENTRO DE PROCESO AKAL-G</t>
  </si>
  <si>
    <t>PEMEX-EXPLORACIÓN Y PRODUCCIÓN, CENTRO DE PROCESO AKAL-L</t>
  </si>
  <si>
    <t>PEMEX-EXPLORACIÓN Y PRODUCCIÓN, CENTRO DE PROCESO AKAL-N</t>
  </si>
  <si>
    <t>PEMEX-EXPLORACIÓN Y PRODUCCIÓN, CENTRO DE PROCESO KU-M</t>
  </si>
  <si>
    <t>PEMEX-EXPLORACIÓN Y PRODUCCIÓN, CENTRO DE PROCESO KU-S</t>
  </si>
  <si>
    <t>PEMEX-EXPLORACIÓN Y PRODUCCIÓN, CENTRO DE PROCESO ZAAP-C</t>
  </si>
  <si>
    <t>PEMEX-EXPLORACIÓN Y PRODUCCIÓN, COMPLEJO MARINO DE PRODUCCIÓN ABKATÚN INYECCIÓN DE AGUA</t>
  </si>
  <si>
    <t>PEMEX-EXPLORACIÓN Y PRODUCCIÓN, COMPLEJO MARINO DE PRODUCCIÓN ABKATÚN-A</t>
  </si>
  <si>
    <t>PEMEX-EXPLORACIÓN Y PRODUCCIÓN, COMPLEJO MARINO DE PRODUCCIÓN ABKATÚN-D</t>
  </si>
  <si>
    <t>PEMEX-EXPLORACIÓN Y PRODUCCIÓN, COMPLEJO MARINO DE PRODUCCIÓN AKAL-J</t>
  </si>
  <si>
    <t>PEMEX-EXPLORACIÓN Y PRODUCCIÓN, COMPLEJO MARINO DE PRODUCCIÓN KU-A</t>
  </si>
  <si>
    <t>PEMEX-EXPLORACIÓN Y PRODUCCIÓN, COMPLEJO MARINO DE PRODUCCIÓN KU-H</t>
  </si>
  <si>
    <t>PEMEX-EXPLORACIÓN Y PRODUCCIÓN, COMPLEJO MARINO DE PRODUCCIÓN NOHOCH-A</t>
  </si>
  <si>
    <t>PEMEX-EXPLORACIÓN Y PRODUCCIÓN, COMPLEJO MARINO DE PRODUCCIÓN POL-A</t>
  </si>
  <si>
    <t>PEMEX-EXPLORACIÓN Y PRODUCCIÓN, COMPLEJO MARINO DE REBOMBEO</t>
  </si>
  <si>
    <t>PEMEX-EXPLORACIÓN Y PRODUCCIÓN, PLATAFORMA AKAL-C, COMPRESIÓN CA-AC-2</t>
  </si>
  <si>
    <t>PEMEX-EXPLORACIÓN Y PRODUCCIÓN, PLATAFORMA DE GENERACIÓN ELÉCTRICA, PG-ZAAP-C</t>
  </si>
  <si>
    <t>PEMEX-EXPLORACIÓN Y PRODUCCIÓN, SISTEMA DE BOMBEO ELECTROCENTRÍFUGO PARA EL CAMPO EK-BALAM</t>
  </si>
  <si>
    <t>(en blanco)</t>
  </si>
  <si>
    <t>HARINERA LA ESPIGA, S. A. DE C. V.</t>
  </si>
  <si>
    <t>COG.</t>
  </si>
  <si>
    <t>BIO PAPPEL PRINTING, S. A. DE C. V.</t>
  </si>
  <si>
    <t>PEMEX-EXPLORACIÓN Y PRODUCCIÓN, PLANTA ELÉCTRICA CÁRDENAS</t>
  </si>
  <si>
    <t>PEMEX-EXPLORACIÓN Y PRODUCCIÓN, TERMINAL MARÍTIMA DOS BOCAS</t>
  </si>
  <si>
    <t>PEMEX-PETROQUÍMICA, COMPLEJO PETROQUÍMICO COSOLEACAQUE</t>
  </si>
  <si>
    <t>COMPAÑÍA DE NITRÓGENO DE CANTARELL, S. A. DE C. V.</t>
  </si>
  <si>
    <t>TURBINA DE GAS Y TURBINA DE VAPOR</t>
  </si>
  <si>
    <t>PEMEX-GAS Y PETROQUÍMICA BÁSICA, COMPLEJO PROCESADOR DE GAS NUEVO PEMEX</t>
  </si>
  <si>
    <t>TURBINA DE VAPOR</t>
  </si>
  <si>
    <t>PEMEX GAS Y PETROQUÍMICA BÁSICA, COMPLEJO PROCESADOR DE GAS POZA RICA</t>
  </si>
  <si>
    <t>PEMEX-PETROQUÍMICA, COMPLEJO PETROQUÍMICO INDEPENDENCIA</t>
  </si>
  <si>
    <t>PEMEX-REFINACIÓN, ING. ANTONIO M. AMOR</t>
  </si>
  <si>
    <t>PEMEX-REFINACIÓN, REFINERÍA FRANCISCO I. MADERO</t>
  </si>
  <si>
    <t>PEMEX-REFINACIÓN, REFINERÍA GENERAL LÁZARO CÁRDENAS</t>
  </si>
  <si>
    <t>PEMEX-REFINACIÓN, REFINERÍA GENERAL LÁZARO CÁRDENAS, PROYECTO RECONFIGURACIÓN</t>
  </si>
  <si>
    <t>PEMEX-REFINACIÓN, REFINERÍA ING. ANTONIO DOVALÍ JAIME</t>
  </si>
  <si>
    <t>PEMEX-REFINACIÓN, REFINERÍA MIGUEL HIDALGO</t>
  </si>
  <si>
    <t>TURBINA DE VAPOR Y TURBOEXPANSOR</t>
  </si>
  <si>
    <t>PEMEX-REFINACIÓN, REFINERÍA ING. HECTOR LARA SOSA</t>
  </si>
  <si>
    <t>BIO PAPPEL, S. A. B. DE C. V.</t>
  </si>
  <si>
    <t>PEMEX-GAS Y PETROQUÍMICA BÁSICA, COMPLEJO PROCESADOR DE GAS BURGOS</t>
  </si>
  <si>
    <t>Pemex (electricity generation) PJ</t>
  </si>
  <si>
    <t>Por modalidad (SIE)</t>
  </si>
  <si>
    <t>Clean Energy (SIE)</t>
  </si>
  <si>
    <t>Precio centavo de peso/Kwh</t>
  </si>
  <si>
    <t>Centavo de Peso/Kwh</t>
  </si>
  <si>
    <t>Total generation</t>
  </si>
  <si>
    <t>electricity consumption
(millones MXN)</t>
  </si>
  <si>
    <t>centavo de peso/Kwh</t>
  </si>
  <si>
    <t>Total Household</t>
  </si>
  <si>
    <t>Energy consumption by sector (PJ)</t>
  </si>
  <si>
    <t>Biomass and biogas</t>
  </si>
  <si>
    <t>Cars</t>
  </si>
  <si>
    <t>Auxiliary Data/Energy consumption in electricity sector by technologie</t>
  </si>
  <si>
    <t>Source: CRE (all modalities included autogenration)</t>
  </si>
  <si>
    <t xml:space="preserve">Carbon </t>
  </si>
  <si>
    <t>Coal</t>
  </si>
  <si>
    <t>TABLA 3.2.1. CONSUMO BRUTO DE ENERGÍA ELÉCTRICA</t>
  </si>
  <si>
    <t>TABLA 3.1.1. CONSUMO BRUTO DE ENERGÍA ELÉCTRICA POR REGIÓN DE CONTROL</t>
  </si>
  <si>
    <t>(Gigawatt-hora)</t>
  </si>
  <si>
    <t>1
Central</t>
  </si>
  <si>
    <t>2
Oriental</t>
  </si>
  <si>
    <t>3
Occidental</t>
  </si>
  <si>
    <t>4
Noroeste</t>
  </si>
  <si>
    <t>5
Norte</t>
  </si>
  <si>
    <t>6
Noreste</t>
  </si>
  <si>
    <t>7
Peninsular</t>
  </si>
  <si>
    <t>8
Baja California</t>
  </si>
  <si>
    <r>
      <t>9
Baja California Sur</t>
    </r>
    <r>
      <rPr>
        <b/>
        <vertAlign val="superscript"/>
        <sz val="8"/>
        <color rgb="FF000000"/>
        <rFont val="Soberana Sans Light"/>
        <family val="3"/>
      </rPr>
      <t>1/</t>
    </r>
  </si>
  <si>
    <t>10
Mulegé</t>
  </si>
  <si>
    <t>SIN</t>
  </si>
  <si>
    <t>SEN</t>
  </si>
  <si>
    <t>Región de Control</t>
  </si>
  <si>
    <r>
      <t>Consumo 2015</t>
    </r>
    <r>
      <rPr>
        <b/>
        <vertAlign val="superscript"/>
        <sz val="8"/>
        <color rgb="FF000000"/>
        <rFont val="Soberana Sans Light"/>
        <family val="3"/>
      </rPr>
      <t>1/</t>
    </r>
  </si>
  <si>
    <r>
      <t>Consumo 2016</t>
    </r>
    <r>
      <rPr>
        <b/>
        <vertAlign val="superscript"/>
        <sz val="8"/>
        <color rgb="FF000000"/>
        <rFont val="Soberana Sans Light"/>
        <family val="3"/>
      </rPr>
      <t>2/</t>
    </r>
  </si>
  <si>
    <r>
      <t>TCA (%)</t>
    </r>
    <r>
      <rPr>
        <b/>
        <vertAlign val="superscript"/>
        <sz val="8"/>
        <color rgb="FF000000"/>
        <rFont val="Soberana Sans Light"/>
        <family val="3"/>
      </rPr>
      <t xml:space="preserve">3/ </t>
    </r>
  </si>
  <si>
    <t>Central</t>
  </si>
  <si>
    <t>Oriental</t>
  </si>
  <si>
    <t>Occidental</t>
  </si>
  <si>
    <t>Noroeste</t>
  </si>
  <si>
    <t>Norte</t>
  </si>
  <si>
    <t>Noreste</t>
  </si>
  <si>
    <t>Peninsular</t>
  </si>
  <si>
    <t>Baja California</t>
  </si>
  <si>
    <r>
      <t>Baja California Sur</t>
    </r>
    <r>
      <rPr>
        <vertAlign val="superscript"/>
        <sz val="8"/>
        <color rgb="FF000000"/>
        <rFont val="Soberana Sans Light"/>
        <family val="3"/>
      </rPr>
      <t>4/</t>
    </r>
  </si>
  <si>
    <t>Mulegé</t>
  </si>
  <si>
    <r>
      <t>2016</t>
    </r>
    <r>
      <rPr>
        <vertAlign val="superscript"/>
        <sz val="8"/>
        <color rgb="FF000000"/>
        <rFont val="Soberana Sans Light"/>
        <family val="3"/>
      </rPr>
      <t>2/</t>
    </r>
  </si>
  <si>
    <r>
      <rPr>
        <vertAlign val="superscript"/>
        <sz val="7"/>
        <color rgb="FF000000"/>
        <rFont val="Soberana Sans Light"/>
        <family val="3"/>
      </rPr>
      <t>1/</t>
    </r>
    <r>
      <rPr>
        <sz val="7"/>
        <color rgb="FF000000"/>
        <rFont val="Soberana Sans Light"/>
        <family val="3"/>
      </rPr>
      <t xml:space="preserve">Datos revisados. </t>
    </r>
    <r>
      <rPr>
        <vertAlign val="superscript"/>
        <sz val="7"/>
        <color rgb="FF000000"/>
        <rFont val="Soberana Sans Light"/>
        <family val="3"/>
      </rPr>
      <t>2/</t>
    </r>
    <r>
      <rPr>
        <sz val="7"/>
        <color rgb="FF000000"/>
        <rFont val="Soberana Sans Light"/>
        <family val="3"/>
      </rPr>
      <t xml:space="preserve"> Información preliminar. </t>
    </r>
    <r>
      <rPr>
        <vertAlign val="superscript"/>
        <sz val="7"/>
        <color rgb="FF000000"/>
        <rFont val="Soberana Sans Light"/>
        <family val="3"/>
      </rPr>
      <t>3/</t>
    </r>
    <r>
      <rPr>
        <sz val="7"/>
        <color rgb="FF000000"/>
        <rFont val="Soberana Sans Light"/>
        <family val="3"/>
      </rPr>
      <t xml:space="preserve"> TCA: Tasa de Crecimiento Anual. </t>
    </r>
    <r>
      <rPr>
        <vertAlign val="superscript"/>
        <sz val="7"/>
        <color rgb="FF000000"/>
        <rFont val="Soberana Sans Light"/>
        <family val="3"/>
      </rPr>
      <t>4/</t>
    </r>
    <r>
      <rPr>
        <sz val="7"/>
        <color rgb="FF000000"/>
        <rFont val="Soberana Sans Light"/>
        <family val="3"/>
      </rPr>
      <t xml:space="preserve"> Sistema La Paz. Los totales pueden no coincidir por redondeo. </t>
    </r>
  </si>
  <si>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2/</t>
    </r>
    <r>
      <rPr>
        <sz val="7"/>
        <color theme="1"/>
        <rFont val="Soberana Sans"/>
        <family val="3"/>
      </rPr>
      <t xml:space="preserve"> Información preliminar. Los totales pueden no coincidir por redondeo.</t>
    </r>
  </si>
  <si>
    <t>Fuente: Elaborado por la SENER con información del CENACE.</t>
  </si>
  <si>
    <r>
      <t>Fuente: Elaborado por la SENER con información del CENACE</t>
    </r>
    <r>
      <rPr>
        <sz val="8"/>
        <color theme="1"/>
        <rFont val="Soberana Sans"/>
        <family val="3"/>
      </rPr>
      <t>.</t>
    </r>
  </si>
  <si>
    <t>TABLA 3.2.2. USOS PROPIOS DE GENERACIÓN</t>
  </si>
  <si>
    <t>(Megawatt; Gigawatt-hora)</t>
  </si>
  <si>
    <t>1 Central</t>
  </si>
  <si>
    <t>2 Oriental</t>
  </si>
  <si>
    <t>3 Occidental</t>
  </si>
  <si>
    <t>4 Noroeste</t>
  </si>
  <si>
    <t>5 Norte</t>
  </si>
  <si>
    <t>6 Noreste</t>
  </si>
  <si>
    <t>7 Peninsular</t>
  </si>
  <si>
    <t>Demanda (MW)</t>
  </si>
  <si>
    <t>Energía (GWh)</t>
  </si>
  <si>
    <t>8   Baja California</t>
  </si>
  <si>
    <r>
      <t>9  Baja California Sur</t>
    </r>
    <r>
      <rPr>
        <b/>
        <vertAlign val="superscript"/>
        <sz val="8"/>
        <color rgb="FF000000"/>
        <rFont val="Soberana Sans Light"/>
        <family val="3"/>
      </rPr>
      <t>1/</t>
    </r>
  </si>
  <si>
    <t>10 Mulegé</t>
  </si>
  <si>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 xml:space="preserve">2/ </t>
    </r>
    <r>
      <rPr>
        <sz val="7"/>
        <color theme="1"/>
        <rFont val="Soberana Sans"/>
        <family val="3"/>
      </rPr>
      <t>Información preliminar. Los totales pueden no coincidir por redondeo.</t>
    </r>
  </si>
  <si>
    <r>
      <t>TABLA 3.2.3. CONSUMO FINAL</t>
    </r>
    <r>
      <rPr>
        <b/>
        <vertAlign val="superscript"/>
        <sz val="9"/>
        <color theme="1"/>
        <rFont val="Soberana Sans"/>
        <family val="3"/>
      </rPr>
      <t>1/</t>
    </r>
  </si>
  <si>
    <r>
      <t>9
Baja California Sur</t>
    </r>
    <r>
      <rPr>
        <b/>
        <vertAlign val="superscript"/>
        <sz val="8"/>
        <color rgb="FF000000"/>
        <rFont val="Soberana Sans Light"/>
        <family val="3"/>
      </rPr>
      <t>2/</t>
    </r>
  </si>
  <si>
    <r>
      <t>2016</t>
    </r>
    <r>
      <rPr>
        <vertAlign val="superscript"/>
        <sz val="8"/>
        <color rgb="FF000000"/>
        <rFont val="Soberana Sans Light"/>
        <family val="3"/>
      </rPr>
      <t>3/</t>
    </r>
  </si>
  <si>
    <r>
      <rPr>
        <vertAlign val="superscript"/>
        <sz val="7"/>
        <color theme="1"/>
        <rFont val="Soberana Sans"/>
        <family val="3"/>
      </rPr>
      <t xml:space="preserve">1/ </t>
    </r>
    <r>
      <rPr>
        <sz val="7"/>
        <color theme="1"/>
        <rFont val="Soberana Sans"/>
        <family val="3"/>
      </rPr>
      <t xml:space="preserve">Incluye ventas por sector tarifario, autoabastecimiento remoto y ventas asociadas a la reducción de pérdidas no técnicas. </t>
    </r>
    <r>
      <rPr>
        <vertAlign val="superscript"/>
        <sz val="7"/>
        <color theme="1"/>
        <rFont val="Soberana Sans"/>
        <family val="3"/>
      </rPr>
      <t>2/</t>
    </r>
    <r>
      <rPr>
        <sz val="7"/>
        <color theme="1"/>
        <rFont val="Soberana Sans"/>
        <family val="3"/>
      </rPr>
      <t xml:space="preserve"> Sistema La Paz. </t>
    </r>
    <r>
      <rPr>
        <vertAlign val="superscript"/>
        <sz val="7"/>
        <color theme="1"/>
        <rFont val="Soberana Sans"/>
        <family val="3"/>
      </rPr>
      <t>3/</t>
    </r>
    <r>
      <rPr>
        <sz val="7"/>
        <color theme="1"/>
        <rFont val="Soberana Sans"/>
        <family val="3"/>
      </rPr>
      <t xml:space="preserve"> Información preliminar. Los totales pueden no coincidir por redondeo.</t>
    </r>
  </si>
  <si>
    <t xml:space="preserve">TABLA 3.2.5. ENERGÍA ELÉCTRICA DE AUTOABASTECIMIENTO REMOTO </t>
  </si>
  <si>
    <t>TABLA 3.2.6. PÉRDIDAS DE ELECTRICIDAD</t>
  </si>
  <si>
    <r>
      <t>2016</t>
    </r>
    <r>
      <rPr>
        <vertAlign val="superscript"/>
        <sz val="8"/>
        <rFont val="Soberana Sans Light"/>
        <family val="3"/>
      </rPr>
      <t>2/</t>
    </r>
  </si>
  <si>
    <t xml:space="preserve">TABLA 2.1.1. CAPACIDAD INSTALADA POR TIPO DE TECNOLOGÍA </t>
  </si>
  <si>
    <t>TABLA 2.2.1. GENERACIÓN DE ENERGÍA ELÉCTRICA</t>
  </si>
  <si>
    <t>(Megawatt)</t>
  </si>
  <si>
    <r>
      <t>Capacidad
2015</t>
    </r>
    <r>
      <rPr>
        <b/>
        <vertAlign val="superscript"/>
        <sz val="8"/>
        <color rgb="FF000000"/>
        <rFont val="Soberana Sans Light"/>
        <family val="3"/>
      </rPr>
      <t>1/</t>
    </r>
  </si>
  <si>
    <r>
      <t>Capacidad
2016</t>
    </r>
    <r>
      <rPr>
        <b/>
        <vertAlign val="superscript"/>
        <sz val="8"/>
        <color rgb="FF000000"/>
        <rFont val="Soberana Sans Light"/>
        <family val="3"/>
      </rPr>
      <t>2/</t>
    </r>
  </si>
  <si>
    <r>
      <t>TCA (%)</t>
    </r>
    <r>
      <rPr>
        <b/>
        <vertAlign val="superscript"/>
        <sz val="8"/>
        <color theme="1"/>
        <rFont val="Soberana Sans Light"/>
        <family val="3"/>
      </rPr>
      <t>3/</t>
    </r>
  </si>
  <si>
    <r>
      <t>Generación
2015</t>
    </r>
    <r>
      <rPr>
        <b/>
        <vertAlign val="superscript"/>
        <sz val="8"/>
        <color rgb="FF000000"/>
        <rFont val="Soberana Sans Light"/>
        <family val="3"/>
      </rPr>
      <t>1/</t>
    </r>
  </si>
  <si>
    <r>
      <t>Generación
2016</t>
    </r>
    <r>
      <rPr>
        <b/>
        <vertAlign val="superscript"/>
        <sz val="8"/>
        <color rgb="FF000000"/>
        <rFont val="Soberana Sans Light"/>
        <family val="3"/>
      </rPr>
      <t>2/</t>
    </r>
  </si>
  <si>
    <r>
      <t xml:space="preserve">TCA (%) </t>
    </r>
    <r>
      <rPr>
        <b/>
        <vertAlign val="superscript"/>
        <sz val="8"/>
        <color rgb="FF000000"/>
        <rFont val="Soberana Sans Light"/>
        <family val="3"/>
      </rPr>
      <t>3/</t>
    </r>
  </si>
  <si>
    <t>Convencional</t>
  </si>
  <si>
    <t>Ciclo combinado</t>
  </si>
  <si>
    <t>Termoeléctrica convencional</t>
  </si>
  <si>
    <r>
      <t>Turbogás</t>
    </r>
    <r>
      <rPr>
        <vertAlign val="superscript"/>
        <sz val="8"/>
        <color theme="1"/>
        <rFont val="Soberana Sans Light"/>
        <family val="3"/>
      </rPr>
      <t>4/</t>
    </r>
  </si>
  <si>
    <t>Lecho fluidizado</t>
  </si>
  <si>
    <t>Limpia</t>
  </si>
  <si>
    <t>Renovable</t>
  </si>
  <si>
    <r>
      <t>Bioenergía</t>
    </r>
    <r>
      <rPr>
        <vertAlign val="superscript"/>
        <sz val="8"/>
        <color rgb="FF000000"/>
        <rFont val="Soberana Sans Light"/>
        <family val="3"/>
      </rPr>
      <t>5/</t>
    </r>
  </si>
  <si>
    <t>Generación Distribuida (GD)</t>
  </si>
  <si>
    <t>GD Eólica</t>
  </si>
  <si>
    <t>GD Solar</t>
  </si>
  <si>
    <r>
      <t>GD Bioenergía</t>
    </r>
    <r>
      <rPr>
        <vertAlign val="superscript"/>
        <sz val="8"/>
        <color rgb="FF000000"/>
        <rFont val="Soberana Sans Light"/>
        <family val="3"/>
      </rPr>
      <t>5/</t>
    </r>
  </si>
  <si>
    <r>
      <t>GD Híbrida</t>
    </r>
    <r>
      <rPr>
        <vertAlign val="superscript"/>
        <sz val="8"/>
        <color rgb="FF000000"/>
        <rFont val="Soberana Sans Light"/>
        <family val="3"/>
      </rPr>
      <t>6/</t>
    </r>
  </si>
  <si>
    <r>
      <t>FIRCO</t>
    </r>
    <r>
      <rPr>
        <vertAlign val="superscript"/>
        <sz val="8"/>
        <color rgb="FF000000"/>
        <rFont val="Soberana Sans Light"/>
        <family val="3"/>
      </rPr>
      <t>7/</t>
    </r>
  </si>
  <si>
    <t>Otras</t>
  </si>
  <si>
    <t>Cogeneración eficiente</t>
  </si>
  <si>
    <t>Frenos regenerativos</t>
  </si>
  <si>
    <r>
      <t>Total</t>
    </r>
    <r>
      <rPr>
        <b/>
        <vertAlign val="superscript"/>
        <sz val="8"/>
        <color rgb="FF000000"/>
        <rFont val="Soberana Sans Light"/>
        <family val="3"/>
      </rPr>
      <t>8/</t>
    </r>
  </si>
  <si>
    <r>
      <rPr>
        <vertAlign val="superscript"/>
        <sz val="7"/>
        <color theme="1"/>
        <rFont val="Soberana Sans"/>
        <family val="3"/>
      </rPr>
      <t>1/</t>
    </r>
    <r>
      <rPr>
        <sz val="7"/>
        <color theme="1"/>
        <rFont val="Soberana Sans"/>
        <family val="3"/>
      </rPr>
      <t xml:space="preserve"> Datos revisados. </t>
    </r>
    <r>
      <rPr>
        <vertAlign val="superscript"/>
        <sz val="7"/>
        <color theme="1"/>
        <rFont val="Soberana Sans"/>
        <family val="3"/>
      </rPr>
      <t xml:space="preserve">2/ </t>
    </r>
    <r>
      <rPr>
        <sz val="7"/>
        <color theme="1"/>
        <rFont val="Soberana Sans"/>
        <family val="3"/>
      </rPr>
      <t xml:space="preserve">Información preliminar. </t>
    </r>
    <r>
      <rPr>
        <vertAlign val="superscript"/>
        <sz val="7"/>
        <color theme="1"/>
        <rFont val="Soberana Sans"/>
        <family val="3"/>
      </rPr>
      <t>3/</t>
    </r>
    <r>
      <rPr>
        <sz val="7"/>
        <color theme="1"/>
        <rFont val="Soberana Sans"/>
        <family val="3"/>
      </rPr>
      <t xml:space="preserve"> TCA: Tasa de Crecimiento Anual. </t>
    </r>
    <r>
      <rPr>
        <vertAlign val="superscript"/>
        <sz val="7"/>
        <color theme="1"/>
        <rFont val="Soberana Sans"/>
        <family val="3"/>
      </rPr>
      <t>4/</t>
    </r>
    <r>
      <rPr>
        <sz val="7"/>
        <color theme="1"/>
        <rFont val="Soberana Sans"/>
        <family val="3"/>
      </rPr>
      <t xml:space="preserve"> Incluye plantas móviles. </t>
    </r>
    <r>
      <rPr>
        <vertAlign val="superscript"/>
        <sz val="7"/>
        <color theme="1"/>
        <rFont val="Soberana Sans"/>
        <family val="3"/>
      </rPr>
      <t xml:space="preserve">5/ </t>
    </r>
    <r>
      <rPr>
        <sz val="7"/>
        <color theme="1"/>
        <rFont val="Soberana Sans"/>
        <family val="3"/>
      </rPr>
      <t>Incluye uso de biomasa, bagazo de caña, biogás y licor negro como combustibles de acuerdo con la Ley de Promoción y Desarrollo de los Bioenergéticos.</t>
    </r>
    <r>
      <rPr>
        <vertAlign val="superscript"/>
        <sz val="7"/>
        <color theme="1"/>
        <rFont val="Soberana Sans"/>
        <family val="3"/>
      </rPr>
      <t xml:space="preserve"> 6/ </t>
    </r>
    <r>
      <rPr>
        <sz val="7"/>
        <color theme="1"/>
        <rFont val="Soberana Sans"/>
        <family val="3"/>
      </rPr>
      <t xml:space="preserve">Sistemas híbridos eólico-fotovoltaico. </t>
    </r>
    <r>
      <rPr>
        <vertAlign val="superscript"/>
        <sz val="7"/>
        <color theme="1"/>
        <rFont val="Soberana Sans"/>
        <family val="3"/>
      </rPr>
      <t xml:space="preserve">7/ </t>
    </r>
    <r>
      <rPr>
        <sz val="7"/>
        <color theme="1"/>
        <rFont val="Soberana Sans"/>
        <family val="3"/>
      </rPr>
      <t xml:space="preserve">Fideicomiso de Riesgo Compartido (FIRCO). </t>
    </r>
    <r>
      <rPr>
        <vertAlign val="superscript"/>
        <sz val="7"/>
        <color theme="1"/>
        <rFont val="Soberana Sans"/>
        <family val="3"/>
      </rPr>
      <t>8/</t>
    </r>
    <r>
      <rPr>
        <sz val="7"/>
        <color theme="1"/>
        <rFont val="Soberana Sans"/>
        <family val="3"/>
      </rPr>
      <t xml:space="preserve"> Los totales pueden no coincidir por redondeo.</t>
    </r>
  </si>
  <si>
    <t>Fuente: Elaborado por la SENER con datos de la CFE, la CRE, el CENACE y la Subsecretaría de Planeación y Transición Energética.</t>
  </si>
  <si>
    <t>TABLA 2.1.2. CAPACIDAD INSTALADA POR MODALIDAD 2016</t>
  </si>
  <si>
    <t>TABLA 2.2.2. GENERACIÓN DE ENERGÍA ELÉCTRICA POR MODALIDAD 2016</t>
  </si>
  <si>
    <t>Modalidad</t>
  </si>
  <si>
    <t>Capacidad Total</t>
  </si>
  <si>
    <r>
      <t>Participación</t>
    </r>
    <r>
      <rPr>
        <b/>
        <vertAlign val="superscript"/>
        <sz val="8"/>
        <color rgb="FF000000"/>
        <rFont val="Soberana Sans Light"/>
        <family val="3"/>
      </rPr>
      <t xml:space="preserve"> 
</t>
    </r>
    <r>
      <rPr>
        <b/>
        <sz val="8"/>
        <color rgb="FF000000"/>
        <rFont val="Soberana Sans Light"/>
        <family val="3"/>
      </rPr>
      <t>(%)</t>
    </r>
  </si>
  <si>
    <t>Generación Total</t>
  </si>
  <si>
    <t>Participación
 (%)</t>
  </si>
  <si>
    <r>
      <t>Modalidades conforme a la LSPEE</t>
    </r>
    <r>
      <rPr>
        <b/>
        <vertAlign val="superscript"/>
        <sz val="8"/>
        <color rgb="FF000000"/>
        <rFont val="Soberana Sans Light"/>
        <family val="3"/>
      </rPr>
      <t>1/</t>
    </r>
  </si>
  <si>
    <t>CFE</t>
  </si>
  <si>
    <t>Producción independiente</t>
  </si>
  <si>
    <t>Autoabastecimiento</t>
  </si>
  <si>
    <t>Pequeña Producción</t>
  </si>
  <si>
    <t>Cogeneración</t>
  </si>
  <si>
    <t>Exportación</t>
  </si>
  <si>
    <t>Usos Propios Continuos</t>
  </si>
  <si>
    <r>
      <t>Modalidades conforme a la LIE</t>
    </r>
    <r>
      <rPr>
        <b/>
        <vertAlign val="superscript"/>
        <sz val="8"/>
        <color rgb="FF000000"/>
        <rFont val="Soberana Sans Light"/>
        <family val="3"/>
      </rPr>
      <t>2/</t>
    </r>
  </si>
  <si>
    <t>CFE - Generador</t>
  </si>
  <si>
    <t>Generador</t>
  </si>
  <si>
    <r>
      <t>FIRCO y GD</t>
    </r>
    <r>
      <rPr>
        <vertAlign val="superscript"/>
        <sz val="8"/>
        <color rgb="FF000000"/>
        <rFont val="Soberana Sans Light"/>
        <family val="3"/>
      </rPr>
      <t>3/</t>
    </r>
  </si>
  <si>
    <r>
      <t>Total</t>
    </r>
    <r>
      <rPr>
        <b/>
        <vertAlign val="superscript"/>
        <sz val="8"/>
        <color rgb="FF000000"/>
        <rFont val="Soberana Sans Light"/>
        <family val="3"/>
      </rPr>
      <t>4/</t>
    </r>
  </si>
  <si>
    <r>
      <t xml:space="preserve">Total </t>
    </r>
    <r>
      <rPr>
        <b/>
        <vertAlign val="superscript"/>
        <sz val="8"/>
        <color rgb="FF000000"/>
        <rFont val="Soberana Sans Light"/>
        <family val="3"/>
      </rPr>
      <t>4/</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</si>
  <si>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preliminar2016.</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</si>
  <si>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 2016.</t>
    </r>
  </si>
  <si>
    <t>Balance Nacional de Energía: Electricidad</t>
  </si>
  <si>
    <t>(terawatts-hora)</t>
  </si>
  <si>
    <t/>
  </si>
  <si>
    <t>2008</t>
  </si>
  <si>
    <t>2009</t>
  </si>
  <si>
    <t>2010</t>
  </si>
  <si>
    <t>2011</t>
  </si>
  <si>
    <t>2012</t>
  </si>
  <si>
    <t>2013</t>
  </si>
  <si>
    <t>2014</t>
  </si>
  <si>
    <t>2015</t>
  </si>
  <si>
    <t>2016</t>
  </si>
  <si>
    <t>Producción bruta 1/</t>
  </si>
  <si>
    <t>production + exportation</t>
  </si>
  <si>
    <t xml:space="preserve">    Centrales eléctricas públicas</t>
  </si>
  <si>
    <t xml:space="preserve">    Centrales eléctricas PIE</t>
  </si>
  <si>
    <t xml:space="preserve">    Centrales eléctricas autogeneración</t>
  </si>
  <si>
    <t xml:space="preserve">    Centrales eléctricas con modalidad de Generación</t>
  </si>
  <si>
    <t>Importación</t>
  </si>
  <si>
    <t>Oferta</t>
  </si>
  <si>
    <t>Production -exportation +importation</t>
  </si>
  <si>
    <t>Diferencia estadística</t>
  </si>
  <si>
    <t>Demanda</t>
  </si>
  <si>
    <t>Perdidas por transmisión y distribución</t>
  </si>
  <si>
    <t>Consumo propio del sector 2/</t>
  </si>
  <si>
    <t>Consumo final total</t>
  </si>
  <si>
    <t>Consumo final energético</t>
  </si>
  <si>
    <t xml:space="preserve">    Eléctrico</t>
  </si>
  <si>
    <t xml:space="preserve">    Ferroviario</t>
  </si>
  <si>
    <t xml:space="preserve">    Siderurgia</t>
  </si>
  <si>
    <t xml:space="preserve">    Química</t>
  </si>
  <si>
    <t xml:space="preserve">    Azúcar</t>
  </si>
  <si>
    <t xml:space="preserve">    Petroquímica de PEMEX</t>
  </si>
  <si>
    <t xml:space="preserve">    Cemento</t>
  </si>
  <si>
    <t xml:space="preserve">    Minería</t>
  </si>
  <si>
    <t xml:space="preserve">    Celulosa y papel</t>
  </si>
  <si>
    <t xml:space="preserve">    Vidrio</t>
  </si>
  <si>
    <t xml:space="preserve">    Cerveza y malta</t>
  </si>
  <si>
    <t xml:space="preserve">    Fertilizantes</t>
  </si>
  <si>
    <t xml:space="preserve">    Automotriz</t>
  </si>
  <si>
    <t xml:space="preserve">    Aguas envasadas</t>
  </si>
  <si>
    <t xml:space="preserve">    Construcción</t>
  </si>
  <si>
    <t xml:space="preserve">    Hule</t>
  </si>
  <si>
    <t xml:space="preserve">    Aluminio</t>
  </si>
  <si>
    <t xml:space="preserve">    Tabaco</t>
  </si>
  <si>
    <t xml:space="preserve">    Otras ramas</t>
  </si>
  <si>
    <t>Notas:</t>
  </si>
  <si>
    <t xml:space="preserve">    1/ La producción no incluye autogeneración de energía eléctrica</t>
  </si>
  <si>
    <t xml:space="preserve">    2/ Incluye autoconsumo por generación y transmisión.</t>
  </si>
  <si>
    <t xml:space="preserve">    La diferencia estadística equivale a los excedentes de autogeneradores de energía eléctrica.</t>
  </si>
  <si>
    <t xml:space="preserve">    La suma de los parciales puede no coincidir con los totales debido al redondeo de las cifras.</t>
  </si>
  <si>
    <t xml:space="preserve">    Los datos del a&amp;ntilde;o 2016 son preliminares y están sujetos a cambios sin previo aviso.</t>
  </si>
  <si>
    <t>Fuente: Sistema de Informacion Energetica con informacion de SENER.</t>
  </si>
  <si>
    <t>Electricity (usos propios PRODESEN)</t>
  </si>
  <si>
    <t xml:space="preserve">Electricity </t>
  </si>
  <si>
    <t>1 MWh </t>
  </si>
  <si>
    <t>1 GWh</t>
  </si>
  <si>
    <t>1gwh</t>
  </si>
  <si>
    <t>1Gwh</t>
  </si>
  <si>
    <t>Grand Total</t>
  </si>
  <si>
    <t>Transport sector</t>
  </si>
  <si>
    <t>Transport household</t>
  </si>
  <si>
    <t>Tecnologias</t>
  </si>
  <si>
    <t>Generación (Gwh)</t>
  </si>
  <si>
    <t>Generación %</t>
  </si>
  <si>
    <t>Cogeneración Eficiente</t>
  </si>
  <si>
    <t>Bioenergía</t>
  </si>
  <si>
    <t>otras energias limpias (FIRCO, Generacion distribuida, frenos regenerativos )</t>
  </si>
  <si>
    <t>Carboeléctrica, Lecho fluidizado</t>
  </si>
  <si>
    <t>Correction factor PJ</t>
  </si>
  <si>
    <t>Generationof non clean technologies</t>
  </si>
  <si>
    <t>Generatio of non clean technologies (%)</t>
  </si>
  <si>
    <t>Consumption of power sector</t>
  </si>
  <si>
    <t xml:space="preserve">Consumption of power sector without coal </t>
  </si>
  <si>
    <t xml:space="preserve"> Coal&amp;Oil</t>
  </si>
  <si>
    <t>Generation by Power technology to ventilate nergy consumption</t>
  </si>
  <si>
    <t>EN_Gwh_CONFIN</t>
  </si>
  <si>
    <t>Generation of power sector</t>
  </si>
  <si>
    <t>losses and own consumption (%)</t>
  </si>
  <si>
    <t>transport household</t>
  </si>
  <si>
    <t>Agricultura</t>
  </si>
  <si>
    <t xml:space="preserve">Transporte 
</t>
  </si>
  <si>
    <t xml:space="preserve">Generación de electricidad </t>
  </si>
  <si>
    <t xml:space="preserve">Hogares </t>
  </si>
  <si>
    <t>Petróleo y gas</t>
  </si>
  <si>
    <t>Somme de Energía [PJ]</t>
  </si>
  <si>
    <t>Construcción maquinaria</t>
  </si>
  <si>
    <t>Pemex Petroquímica trans</t>
  </si>
  <si>
    <t>construcción maquinaria</t>
  </si>
  <si>
    <t>Maquinaria de construcción</t>
  </si>
  <si>
    <t>Pemex Petroquímica Trans</t>
  </si>
  <si>
    <t>Transport &amp; household</t>
  </si>
  <si>
    <t>Generation</t>
  </si>
  <si>
    <t>manufacture of chemical</t>
  </si>
  <si>
    <t>households</t>
  </si>
  <si>
    <t>Electricity&amp;solar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</si>
</sst>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43" formatCode="_-* #,##0.00\ _€_-;\-* #,##0.00\ _€_-;_-* &quot;-&quot;??\ _€_-;_-@_-"/>
    <numFmt numFmtId="164" formatCode="_-* #,##0.00_-;\-* #,##0.00_-;_-* &quot;-&quot;??_-;_-@_-"/>
    <numFmt numFmtId="165" formatCode="#,##0.0"/>
    <numFmt numFmtId="166" formatCode="0.0"/>
    <numFmt numFmtId="167" formatCode="0.0%"/>
    <numFmt numFmtId="168" formatCode="#,##0.0000"/>
    <numFmt numFmtId="169" formatCode="General_)"/>
    <numFmt numFmtId="170" formatCode="_-* #,##0.0000_-;\-* #,##0.0000_-;_-* &quot;-&quot;??_-;_-@_-"/>
    <numFmt numFmtId="171" formatCode="#,##0.0000000"/>
    <numFmt numFmtId="172" formatCode="_-* #,##0.0_-;\-* #,##0.0_-;_-* &quot;-&quot;??_-;_-@_-"/>
    <numFmt numFmtId="173" formatCode="_-* #,##0.000_-;\-* #,##0.000_-;_-* &quot;-&quot;??_-;_-@_-"/>
    <numFmt numFmtId="174" formatCode="_-* #,##0_-;\-* #,##0_-;_-* &quot;-&quot;??_-;_-@_-"/>
    <numFmt numFmtId="175" formatCode="0.0000000"/>
    <numFmt numFmtId="176" formatCode="0.0000000000"/>
    <numFmt numFmtId="177" formatCode="0.000"/>
    <numFmt numFmtId="178" formatCode="0.00000"/>
    <numFmt numFmtId="179" formatCode="0.000000"/>
    <numFmt numFmtId="180" formatCode="#,##0.000"/>
    <numFmt numFmtId="181" formatCode="0.0000%"/>
    <numFmt numFmtId="182" formatCode="0.0000"/>
  </numFmts>
  <fonts count="9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0"/>
      <name val="Arial"/>
      <family val="2"/>
    </font>
    <font>
      <b/>
      <sz val="10"/>
      <name val="Arial"/>
      <family val="2"/>
    </font>
    <font>
      <u/>
      <sz val="12"/>
      <color theme="10"/>
      <name val="Calibri"/>
      <family val="2"/>
      <scheme val="minor"/>
    </font>
    <font>
      <sz val="10"/>
      <color theme="1"/>
      <name val="TimesNewRomanPSMT"/>
    </font>
    <font>
      <b/>
      <sz val="6"/>
      <color theme="1"/>
      <name val="Calibri"/>
      <family val="2"/>
      <scheme val="minor"/>
    </font>
    <font>
      <b/>
      <sz val="9"/>
      <color theme="1"/>
      <name val="Calibri"/>
      <family val="2"/>
      <scheme val="minor"/>
    </font>
    <font>
      <sz val="11"/>
      <color rgb="FFFF0000"/>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1"/>
      <name val="Calibri"/>
      <family val="2"/>
      <scheme val="minor"/>
    </font>
    <font>
      <b/>
      <sz val="9"/>
      <color indexed="81"/>
      <name val="Tahoma"/>
      <family val="2"/>
    </font>
    <font>
      <sz val="9"/>
      <color indexed="81"/>
      <name val="Tahoma"/>
      <family val="2"/>
    </font>
    <font>
      <sz val="12"/>
      <name val="Calibri"/>
      <family val="2"/>
      <scheme val="minor"/>
    </font>
    <font>
      <b/>
      <sz val="9"/>
      <color rgb="FF000000"/>
      <name val="Tahoma"/>
      <family val="2"/>
    </font>
    <font>
      <sz val="9"/>
      <color rgb="FF000000"/>
      <name val="Tahoma"/>
      <family val="2"/>
    </font>
    <font>
      <b/>
      <vertAlign val="subscript"/>
      <sz val="12"/>
      <color theme="1"/>
      <name val="Calibri"/>
      <family val="2"/>
      <scheme val="minor"/>
    </font>
    <font>
      <b/>
      <vertAlign val="subscript"/>
      <sz val="12"/>
      <color theme="1"/>
      <name val="Calibri (Cuerpo)"/>
    </font>
    <font>
      <sz val="11"/>
      <name val="Calibri"/>
      <family val="2"/>
      <scheme val="minor"/>
    </font>
    <font>
      <b/>
      <sz val="11"/>
      <color rgb="FFFF0000"/>
      <name val="Calibri"/>
      <family val="2"/>
      <scheme val="minor"/>
    </font>
    <font>
      <b/>
      <sz val="11"/>
      <color rgb="FF333333"/>
      <name val="Arial"/>
      <family val="2"/>
    </font>
    <font>
      <sz val="11"/>
      <color rgb="FF00B0F0"/>
      <name val="Calibri"/>
      <family val="2"/>
      <scheme val="minor"/>
    </font>
    <font>
      <b/>
      <sz val="9.6"/>
      <color rgb="FF000000"/>
      <name val="Arial"/>
      <family val="2"/>
    </font>
    <font>
      <sz val="9.6"/>
      <color rgb="FF000000"/>
      <name val="Arial"/>
      <family val="2"/>
    </font>
    <font>
      <sz val="10"/>
      <color theme="1"/>
      <name val="Calibri"/>
      <family val="2"/>
      <scheme val="minor"/>
    </font>
    <font>
      <b/>
      <sz val="12"/>
      <color rgb="FF000000"/>
      <name val="Arial"/>
      <family val="2"/>
    </font>
    <font>
      <sz val="9.5"/>
      <color rgb="FF000000"/>
      <name val="Arial"/>
      <family val="2"/>
    </font>
    <font>
      <vertAlign val="superscript"/>
      <sz val="9.5"/>
      <color rgb="FF000000"/>
      <name val="Arial"/>
      <family val="2"/>
    </font>
    <font>
      <sz val="10"/>
      <color rgb="FF000000"/>
      <name val="Arial"/>
      <family val="2"/>
    </font>
    <font>
      <vertAlign val="superscript"/>
      <sz val="10"/>
      <color rgb="FF000000"/>
      <name val="Arial"/>
      <family val="2"/>
    </font>
    <font>
      <sz val="6"/>
      <color theme="1"/>
      <name val="Calibri"/>
      <family val="2"/>
      <scheme val="minor"/>
    </font>
    <font>
      <b/>
      <sz val="10"/>
      <color theme="1"/>
      <name val="Calibri"/>
      <family val="2"/>
      <scheme val="minor"/>
    </font>
    <font>
      <sz val="11"/>
      <name val="Calibri"/>
      <family val="2"/>
    </font>
    <font>
      <b/>
      <sz val="10"/>
      <color theme="1"/>
      <name val="Arial"/>
      <family val="2"/>
    </font>
    <font>
      <sz val="10"/>
      <color theme="1"/>
      <name val="Arial"/>
      <family val="2"/>
    </font>
    <font>
      <b/>
      <sz val="9"/>
      <color rgb="FF000000"/>
      <name val="Calibri"/>
      <family val="2"/>
    </font>
    <font>
      <sz val="9"/>
      <color rgb="FF000000"/>
      <name val="Calibri"/>
      <family val="2"/>
    </font>
    <font>
      <i/>
      <sz val="9"/>
      <color rgb="FF000000"/>
      <name val="Calibri"/>
      <family val="2"/>
    </font>
    <font>
      <b/>
      <sz val="14"/>
      <name val="Calibri"/>
      <family val="2"/>
      <scheme val="minor"/>
    </font>
    <font>
      <b/>
      <sz val="12"/>
      <name val="Calibri"/>
      <family val="2"/>
      <scheme val="minor"/>
    </font>
    <font>
      <sz val="10"/>
      <color rgb="FF000000"/>
      <name val="Tahoma"/>
      <family val="2"/>
    </font>
    <font>
      <b/>
      <sz val="10"/>
      <color rgb="FF000000"/>
      <name val="Tahoma"/>
      <family val="2"/>
    </font>
    <font>
      <sz val="10"/>
      <color rgb="FF000000"/>
      <name val="Calibri"/>
      <family val="2"/>
      <scheme val="minor"/>
    </font>
    <font>
      <b/>
      <sz val="14"/>
      <color theme="9"/>
      <name val="Calibri"/>
      <family val="2"/>
      <scheme val="minor"/>
    </font>
    <font>
      <sz val="12"/>
      <color theme="9"/>
      <name val="Calibri"/>
      <family val="2"/>
      <scheme val="minor"/>
    </font>
    <font>
      <sz val="10"/>
      <name val="Arial"/>
      <family val="2"/>
    </font>
    <font>
      <b/>
      <sz val="9"/>
      <color theme="1"/>
      <name val="Soberana Sans"/>
      <family val="3"/>
    </font>
    <font>
      <sz val="9"/>
      <color theme="1"/>
      <name val="Soberana Sans"/>
      <family val="3"/>
    </font>
    <font>
      <b/>
      <sz val="8"/>
      <color theme="1"/>
      <name val="Soberana Sans"/>
      <family val="3"/>
    </font>
    <font>
      <b/>
      <sz val="8"/>
      <color rgb="FF000000"/>
      <name val="Soberana Sans Light"/>
      <family val="3"/>
    </font>
    <font>
      <b/>
      <vertAlign val="superscript"/>
      <sz val="8"/>
      <color rgb="FF000000"/>
      <name val="Soberana Sans Light"/>
      <family val="3"/>
    </font>
    <font>
      <sz val="8"/>
      <color rgb="FF000000"/>
      <name val="Soberana Sans Light"/>
      <family val="3"/>
    </font>
    <font>
      <vertAlign val="superscript"/>
      <sz val="8"/>
      <color rgb="FF000000"/>
      <name val="Soberana Sans Light"/>
      <family val="3"/>
    </font>
    <font>
      <sz val="8"/>
      <name val="Soberana Sans Light"/>
      <family val="3"/>
    </font>
    <font>
      <sz val="7"/>
      <color rgb="FF000000"/>
      <name val="Soberana Sans Light"/>
      <family val="3"/>
    </font>
    <font>
      <vertAlign val="superscript"/>
      <sz val="7"/>
      <color rgb="FF000000"/>
      <name val="Soberana Sans Light"/>
      <family val="3"/>
    </font>
    <font>
      <sz val="7"/>
      <color theme="1"/>
      <name val="Soberana Sans"/>
      <family val="3"/>
    </font>
    <font>
      <vertAlign val="superscript"/>
      <sz val="7"/>
      <color theme="1"/>
      <name val="Soberana Sans"/>
      <family val="3"/>
    </font>
    <font>
      <sz val="8"/>
      <color theme="1"/>
      <name val="Soberana Sans"/>
      <family val="3"/>
    </font>
    <font>
      <sz val="11"/>
      <color theme="1"/>
      <name val="Soberana Sans Light"/>
      <family val="3"/>
    </font>
    <font>
      <b/>
      <vertAlign val="superscript"/>
      <sz val="9"/>
      <color theme="1"/>
      <name val="Soberana Sans"/>
      <family val="3"/>
    </font>
    <font>
      <vertAlign val="superscript"/>
      <sz val="8"/>
      <name val="Soberana Sans Light"/>
      <family val="3"/>
    </font>
    <font>
      <b/>
      <vertAlign val="superscript"/>
      <sz val="8"/>
      <color theme="1"/>
      <name val="Soberana Sans Light"/>
      <family val="3"/>
    </font>
    <font>
      <vertAlign val="superscript"/>
      <sz val="8"/>
      <color theme="1"/>
      <name val="Soberana Sans Light"/>
      <family val="3"/>
    </font>
    <font>
      <i/>
      <sz val="8"/>
      <color rgb="FF000000"/>
      <name val="Soberana Sans Light"/>
      <family val="3"/>
    </font>
    <font>
      <sz val="11"/>
      <color theme="1"/>
      <name val="Soberana Sans"/>
      <family val="3"/>
    </font>
    <font>
      <sz val="7"/>
      <color rgb="FF000000"/>
      <name val="Soberana Sans"/>
      <family val="3"/>
    </font>
    <font>
      <vertAlign val="superscript"/>
      <sz val="7"/>
      <color rgb="FF000000"/>
      <name val="Soberana Sans"/>
      <family val="3"/>
    </font>
    <font>
      <b/>
      <sz val="10"/>
      <color rgb="FF000000"/>
      <name val="Arial"/>
      <family val="2"/>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C00000"/>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DBE5F1"/>
        <bgColor indexed="64"/>
      </patternFill>
    </fill>
    <fill>
      <patternFill patternType="solid">
        <fgColor theme="8" tint="0.59999389629810485"/>
        <bgColor indexed="64"/>
      </patternFill>
    </fill>
    <fill>
      <patternFill patternType="solid">
        <fgColor rgb="FFD9D9D9"/>
        <bgColor indexed="64"/>
      </patternFill>
    </fill>
    <fill>
      <patternFill patternType="solid">
        <fgColor rgb="FFF2F2F2"/>
        <bgColor indexed="64"/>
      </patternFill>
    </fill>
  </fills>
  <borders count="67">
    <border>
      <left/>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medium">
        <color auto="1"/>
      </left>
      <right/>
      <top/>
      <bottom/>
      <diagonal/>
    </border>
    <border>
      <left style="medium">
        <color auto="1"/>
      </left>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theme="4" tint="0.3999755851924192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double">
        <color rgb="FFFF0000"/>
      </left>
      <right style="double">
        <color rgb="FFFF0000"/>
      </right>
      <top style="double">
        <color rgb="FFFF0000"/>
      </top>
      <bottom style="medium">
        <color indexed="64"/>
      </bottom>
      <diagonal/>
    </border>
    <border>
      <left style="double">
        <color rgb="FFFF0000"/>
      </left>
      <right style="double">
        <color rgb="FFFF0000"/>
      </right>
      <top/>
      <bottom/>
      <diagonal/>
    </border>
    <border>
      <left style="double">
        <color rgb="FFFF0000"/>
      </left>
      <right style="double">
        <color rgb="FFFF0000"/>
      </right>
      <top/>
      <bottom style="thin">
        <color indexed="64"/>
      </bottom>
      <diagonal/>
    </border>
    <border>
      <left style="double">
        <color rgb="FFFF0000"/>
      </left>
      <right style="double">
        <color rgb="FFFF0000"/>
      </right>
      <top/>
      <bottom style="double">
        <color rgb="FFFF0000"/>
      </bottom>
      <diagonal/>
    </border>
    <border>
      <left style="mediumDashDotDot">
        <color rgb="FFFF0000"/>
      </left>
      <right style="mediumDashDotDot">
        <color rgb="FFFF0000"/>
      </right>
      <top style="mediumDashDotDot">
        <color rgb="FFFF0000"/>
      </top>
      <bottom/>
      <diagonal/>
    </border>
    <border>
      <left style="mediumDashDotDot">
        <color rgb="FFFF0000"/>
      </left>
      <right style="mediumDashDotDot">
        <color rgb="FFFF0000"/>
      </right>
      <top/>
      <bottom/>
      <diagonal/>
    </border>
    <border>
      <left style="mediumDashDotDot">
        <color rgb="FFFF0000"/>
      </left>
      <right style="mediumDashDotDot">
        <color rgb="FFFF0000"/>
      </right>
      <top/>
      <bottom style="mediumDashDotDot">
        <color rgb="FFFF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style="medium">
        <color theme="0"/>
      </bottom>
      <diagonal/>
    </border>
    <border>
      <left/>
      <right/>
      <top style="medium">
        <color theme="0"/>
      </top>
      <bottom/>
      <diagonal/>
    </border>
    <border>
      <left/>
      <right style="medium">
        <color theme="0"/>
      </right>
      <top/>
      <bottom/>
      <diagonal/>
    </border>
    <border>
      <left/>
      <right style="medium">
        <color theme="0"/>
      </right>
      <top/>
      <bottom style="medium">
        <color rgb="FFFFFFFF"/>
      </bottom>
      <diagonal/>
    </border>
    <border>
      <left style="medium">
        <color rgb="FFFFFFFF"/>
      </left>
      <right style="medium">
        <color rgb="FFFFFFFF"/>
      </right>
      <top/>
      <bottom style="medium">
        <color rgb="FFFFFFFF"/>
      </bottom>
      <diagonal/>
    </border>
    <border>
      <left/>
      <right style="medium">
        <color theme="0"/>
      </right>
      <top style="medium">
        <color theme="0"/>
      </top>
      <bottom style="medium">
        <color theme="0"/>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style="medium">
        <color rgb="FFFFFFFF"/>
      </left>
      <right/>
      <top/>
      <bottom style="medium">
        <color rgb="FFFFFFFF"/>
      </bottom>
      <diagonal/>
    </border>
    <border>
      <left/>
      <right/>
      <top style="medium">
        <color rgb="FFFFFFFF"/>
      </top>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diagonal/>
    </border>
    <border>
      <left/>
      <right style="mediumDashDotDot">
        <color auto="1"/>
      </right>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s>
  <cellStyleXfs count="18">
    <xf numFmtId="0" fontId="0" fillId="0" borderId="0"/>
    <xf numFmtId="0" fontId="24" fillId="0" borderId="0"/>
    <xf numFmtId="0" fontId="29" fillId="0" borderId="0"/>
    <xf numFmtId="0" fontId="29" fillId="0" borderId="0"/>
    <xf numFmtId="0" fontId="31" fillId="0" borderId="0" applyNumberFormat="0" applyFill="0" applyBorder="0" applyAlignment="0" applyProtection="0"/>
    <xf numFmtId="0" fontId="29" fillId="0" borderId="0" applyNumberFormat="0" applyFont="0" applyFill="0" applyBorder="0" applyAlignment="0" applyProtection="0"/>
    <xf numFmtId="0" fontId="23" fillId="0" borderId="0"/>
    <xf numFmtId="9" fontId="23" fillId="0" borderId="0" applyFont="0" applyFill="0" applyBorder="0" applyAlignment="0" applyProtection="0"/>
    <xf numFmtId="164" fontId="23" fillId="0" borderId="0" applyFont="0" applyFill="0" applyBorder="0" applyAlignment="0" applyProtection="0"/>
    <xf numFmtId="0" fontId="29" fillId="0" borderId="0"/>
    <xf numFmtId="169" fontId="29" fillId="0" borderId="0"/>
    <xf numFmtId="9" fontId="26" fillId="0" borderId="0" applyFont="0" applyFill="0" applyBorder="0" applyAlignment="0" applyProtection="0"/>
    <xf numFmtId="164" fontId="26" fillId="0" borderId="0" applyFont="0" applyFill="0" applyBorder="0" applyAlignment="0" applyProtection="0"/>
    <xf numFmtId="0" fontId="17" fillId="0" borderId="0"/>
    <xf numFmtId="0" fontId="61" fillId="0" borderId="0"/>
    <xf numFmtId="0" fontId="74" fillId="0" borderId="0" applyNumberFormat="0" applyFont="0" applyFill="0" applyBorder="0" applyAlignment="0" applyProtection="0"/>
    <xf numFmtId="0" fontId="29" fillId="0" borderId="0" applyNumberFormat="0" applyFont="0" applyFill="0" applyBorder="0" applyAlignment="0" applyProtection="0"/>
    <xf numFmtId="9" fontId="29" fillId="0" borderId="0" applyNumberFormat="0" applyFont="0" applyFill="0" applyBorder="0" applyAlignment="0" applyProtection="0"/>
  </cellStyleXfs>
  <cellXfs count="736">
    <xf numFmtId="0" fontId="0" fillId="0" borderId="0" xfId="0"/>
    <xf numFmtId="0" fontId="24" fillId="2" borderId="0" xfId="1" applyFill="1" applyBorder="1"/>
    <xf numFmtId="0" fontId="29" fillId="0" borderId="0" xfId="3" applyFont="1" applyFill="1" applyBorder="1" applyAlignment="1">
      <alignment horizontal="left"/>
    </xf>
    <xf numFmtId="0" fontId="28" fillId="0" borderId="0" xfId="0" applyFont="1"/>
    <xf numFmtId="0" fontId="36" fillId="0" borderId="0" xfId="0" applyFont="1" applyAlignment="1"/>
    <xf numFmtId="0" fontId="0" fillId="0" borderId="0" xfId="0" applyFill="1"/>
    <xf numFmtId="0" fontId="0" fillId="2" borderId="0" xfId="0" applyFill="1" applyBorder="1"/>
    <xf numFmtId="0" fontId="0" fillId="0" borderId="0" xfId="0" applyBorder="1"/>
    <xf numFmtId="3" fontId="29" fillId="0" borderId="0" xfId="2" applyNumberFormat="1" applyBorder="1"/>
    <xf numFmtId="0" fontId="0" fillId="0" borderId="0" xfId="0" pivotButton="1"/>
    <xf numFmtId="0" fontId="33" fillId="2" borderId="0" xfId="0" applyFont="1" applyFill="1" applyBorder="1" applyAlignment="1">
      <alignment vertical="center" wrapText="1"/>
    </xf>
    <xf numFmtId="0" fontId="42" fillId="6" borderId="0" xfId="0" applyFont="1" applyFill="1"/>
    <xf numFmtId="0" fontId="0" fillId="7" borderId="0" xfId="0" applyFill="1"/>
    <xf numFmtId="164" fontId="0" fillId="0" borderId="0" xfId="0" applyNumberFormat="1"/>
    <xf numFmtId="0" fontId="0" fillId="0" borderId="0" xfId="0" applyAlignment="1">
      <alignment horizontal="left" indent="3"/>
    </xf>
    <xf numFmtId="0" fontId="0" fillId="0" borderId="0" xfId="0" applyAlignment="1">
      <alignment horizontal="left" indent="2"/>
    </xf>
    <xf numFmtId="0" fontId="0" fillId="0" borderId="0" xfId="0" applyAlignment="1">
      <alignment horizontal="left" indent="1"/>
    </xf>
    <xf numFmtId="164" fontId="0" fillId="0" borderId="4" xfId="12" applyFont="1" applyBorder="1"/>
    <xf numFmtId="0" fontId="0" fillId="0" borderId="4" xfId="0" applyBorder="1"/>
    <xf numFmtId="164" fontId="0" fillId="0" borderId="0" xfId="12" applyFont="1"/>
    <xf numFmtId="164" fontId="0" fillId="0" borderId="0" xfId="12" applyFont="1" applyBorder="1"/>
    <xf numFmtId="0" fontId="0" fillId="0" borderId="0" xfId="0" applyNumberFormat="1" applyFont="1" applyFill="1" applyBorder="1" applyAlignment="1"/>
    <xf numFmtId="0" fontId="0" fillId="0" borderId="0" xfId="0" applyFill="1" applyBorder="1"/>
    <xf numFmtId="164" fontId="0" fillId="0" borderId="4" xfId="12" applyFont="1" applyBorder="1" applyAlignment="1">
      <alignment horizontal="center"/>
    </xf>
    <xf numFmtId="164" fontId="0" fillId="0" borderId="4" xfId="0" applyNumberFormat="1" applyBorder="1" applyAlignment="1">
      <alignment horizontal="center"/>
    </xf>
    <xf numFmtId="164" fontId="0" fillId="0" borderId="0" xfId="12" applyFont="1" applyBorder="1" applyAlignment="1">
      <alignment horizontal="center"/>
    </xf>
    <xf numFmtId="164" fontId="0" fillId="0" borderId="0" xfId="0" applyNumberFormat="1" applyBorder="1" applyAlignment="1">
      <alignment horizontal="center"/>
    </xf>
    <xf numFmtId="0" fontId="0" fillId="0" borderId="0" xfId="0" applyNumberFormat="1" applyFont="1" applyFill="1" applyBorder="1" applyAlignment="1">
      <alignment horizontal="left" vertical="center"/>
    </xf>
    <xf numFmtId="0" fontId="0" fillId="0" borderId="0" xfId="0" applyBorder="1" applyAlignment="1">
      <alignment horizontal="center"/>
    </xf>
    <xf numFmtId="164" fontId="0" fillId="0" borderId="5" xfId="0" applyNumberFormat="1" applyBorder="1" applyAlignment="1">
      <alignment horizontal="center"/>
    </xf>
    <xf numFmtId="0" fontId="0" fillId="0" borderId="5" xfId="0" applyBorder="1"/>
    <xf numFmtId="0" fontId="28" fillId="0" borderId="2" xfId="0" applyFont="1" applyBorder="1"/>
    <xf numFmtId="0" fontId="28" fillId="0" borderId="2" xfId="4" quotePrefix="1" applyFont="1" applyBorder="1"/>
    <xf numFmtId="0" fontId="28" fillId="0" borderId="1" xfId="0" applyFont="1" applyBorder="1"/>
    <xf numFmtId="164" fontId="0" fillId="0" borderId="0" xfId="0" applyNumberFormat="1" applyBorder="1"/>
    <xf numFmtId="0" fontId="38" fillId="2" borderId="0" xfId="0" applyFont="1" applyFill="1" applyBorder="1"/>
    <xf numFmtId="0" fontId="37" fillId="2" borderId="0" xfId="0" applyFont="1" applyFill="1" applyBorder="1"/>
    <xf numFmtId="0" fontId="36" fillId="2" borderId="0" xfId="0" applyFont="1" applyFill="1" applyBorder="1"/>
    <xf numFmtId="0" fontId="28" fillId="2" borderId="0" xfId="0" applyFont="1" applyFill="1" applyBorder="1"/>
    <xf numFmtId="0" fontId="30" fillId="2" borderId="0" xfId="2" applyFont="1" applyFill="1" applyBorder="1"/>
    <xf numFmtId="0" fontId="30" fillId="2" borderId="0" xfId="2" applyFont="1" applyFill="1" applyBorder="1" applyAlignment="1">
      <alignment wrapText="1"/>
    </xf>
    <xf numFmtId="0" fontId="0" fillId="2" borderId="0" xfId="0" applyFill="1" applyBorder="1" applyAlignment="1">
      <alignment wrapText="1"/>
    </xf>
    <xf numFmtId="0" fontId="29" fillId="2" borderId="0" xfId="3" applyFont="1" applyFill="1" applyBorder="1" applyAlignment="1">
      <alignment horizontal="left"/>
    </xf>
    <xf numFmtId="0" fontId="32" fillId="2" borderId="0" xfId="0" applyFont="1" applyFill="1" applyBorder="1" applyAlignment="1">
      <alignment horizontal="left"/>
    </xf>
    <xf numFmtId="0" fontId="29" fillId="2" borderId="0" xfId="2" applyFill="1" applyBorder="1" applyAlignment="1">
      <alignment horizontal="left"/>
    </xf>
    <xf numFmtId="0" fontId="32" fillId="2" borderId="0" xfId="0" applyFont="1" applyFill="1" applyBorder="1"/>
    <xf numFmtId="3" fontId="29" fillId="2" borderId="0" xfId="2" applyNumberFormat="1" applyFill="1" applyBorder="1"/>
    <xf numFmtId="0" fontId="29" fillId="0" borderId="0" xfId="2" applyBorder="1"/>
    <xf numFmtId="0" fontId="28" fillId="0" borderId="0" xfId="0" applyFont="1" applyBorder="1"/>
    <xf numFmtId="0" fontId="24" fillId="0" borderId="0" xfId="1" applyFill="1" applyBorder="1"/>
    <xf numFmtId="0" fontId="34" fillId="0" borderId="0" xfId="0" applyFont="1" applyFill="1" applyBorder="1" applyAlignment="1">
      <alignment horizontal="left" vertical="center" wrapText="1"/>
    </xf>
    <xf numFmtId="0" fontId="25" fillId="0" borderId="0" xfId="1" applyFont="1" applyFill="1" applyBorder="1"/>
    <xf numFmtId="165" fontId="25" fillId="0" borderId="0" xfId="1" applyNumberFormat="1" applyFont="1" applyFill="1" applyBorder="1"/>
    <xf numFmtId="0" fontId="25" fillId="0" borderId="0" xfId="1" applyFont="1" applyFill="1" applyBorder="1" applyAlignment="1">
      <alignment wrapText="1"/>
    </xf>
    <xf numFmtId="4" fontId="25" fillId="0" borderId="0" xfId="1" applyNumberFormat="1" applyFont="1" applyFill="1" applyBorder="1"/>
    <xf numFmtId="0" fontId="25" fillId="0" borderId="0" xfId="1" applyFont="1" applyFill="1" applyBorder="1" applyAlignment="1">
      <alignment horizontal="center" wrapText="1"/>
    </xf>
    <xf numFmtId="165" fontId="28" fillId="0" borderId="0" xfId="0" applyNumberFormat="1" applyFont="1" applyFill="1" applyBorder="1"/>
    <xf numFmtId="0" fontId="22" fillId="0" borderId="0" xfId="1" applyFont="1" applyFill="1" applyBorder="1"/>
    <xf numFmtId="4" fontId="22" fillId="0" borderId="0" xfId="1" applyNumberFormat="1" applyFont="1" applyFill="1" applyBorder="1"/>
    <xf numFmtId="0" fontId="36" fillId="0" borderId="0" xfId="0" applyFont="1" applyAlignment="1">
      <alignment wrapText="1"/>
    </xf>
    <xf numFmtId="0" fontId="26" fillId="0" borderId="0" xfId="1" applyFont="1" applyFill="1" applyBorder="1" applyAlignment="1"/>
    <xf numFmtId="0" fontId="28" fillId="0" borderId="0" xfId="0" applyFont="1" applyFill="1" applyBorder="1"/>
    <xf numFmtId="9" fontId="28" fillId="0" borderId="0" xfId="11" applyFont="1" applyFill="1" applyBorder="1"/>
    <xf numFmtId="0" fontId="28" fillId="0" borderId="0" xfId="0" applyFont="1" applyFill="1" applyBorder="1" applyAlignment="1">
      <alignment wrapText="1"/>
    </xf>
    <xf numFmtId="4" fontId="28" fillId="0" borderId="0" xfId="0" applyNumberFormat="1" applyFont="1" applyFill="1" applyBorder="1"/>
    <xf numFmtId="0" fontId="26" fillId="0" borderId="12" xfId="0" applyFont="1" applyFill="1" applyBorder="1" applyAlignment="1">
      <alignment wrapText="1"/>
    </xf>
    <xf numFmtId="165" fontId="26" fillId="0" borderId="0" xfId="0" applyNumberFormat="1" applyFont="1" applyFill="1" applyBorder="1"/>
    <xf numFmtId="0" fontId="26" fillId="0" borderId="0" xfId="0" applyFont="1"/>
    <xf numFmtId="49" fontId="26" fillId="0" borderId="0" xfId="0" applyNumberFormat="1" applyFont="1" applyFill="1" applyBorder="1" applyAlignment="1">
      <alignment horizontal="center"/>
    </xf>
    <xf numFmtId="0" fontId="26" fillId="0" borderId="0" xfId="0" applyFont="1" applyFill="1" applyBorder="1" applyAlignment="1">
      <alignment horizontal="center"/>
    </xf>
    <xf numFmtId="0" fontId="26" fillId="0" borderId="0" xfId="0" applyFont="1" applyFill="1" applyBorder="1" applyAlignment="1">
      <alignment wrapText="1"/>
    </xf>
    <xf numFmtId="9" fontId="26" fillId="0" borderId="0" xfId="11" applyFont="1" applyFill="1" applyBorder="1"/>
    <xf numFmtId="165" fontId="22" fillId="0" borderId="0" xfId="1" applyNumberFormat="1" applyFont="1" applyFill="1" applyBorder="1"/>
    <xf numFmtId="9" fontId="22" fillId="0" borderId="0" xfId="11" applyFont="1" applyFill="1" applyBorder="1"/>
    <xf numFmtId="0" fontId="22" fillId="8" borderId="0" xfId="1" applyFont="1" applyFill="1" applyBorder="1"/>
    <xf numFmtId="4" fontId="22" fillId="8" borderId="0" xfId="1" applyNumberFormat="1" applyFont="1" applyFill="1" applyBorder="1"/>
    <xf numFmtId="4" fontId="25" fillId="8" borderId="0" xfId="1" applyNumberFormat="1" applyFont="1" applyFill="1" applyBorder="1"/>
    <xf numFmtId="0" fontId="0" fillId="0" borderId="0" xfId="0" applyFont="1"/>
    <xf numFmtId="3" fontId="22" fillId="0" borderId="0" xfId="1" applyNumberFormat="1" applyFont="1" applyFill="1" applyBorder="1"/>
    <xf numFmtId="165" fontId="21" fillId="0" borderId="0" xfId="1" applyNumberFormat="1" applyFont="1" applyFill="1" applyBorder="1"/>
    <xf numFmtId="166" fontId="21" fillId="0" borderId="0" xfId="1" applyNumberFormat="1" applyFont="1" applyFill="1" applyBorder="1"/>
    <xf numFmtId="166" fontId="21" fillId="0" borderId="0" xfId="1" applyNumberFormat="1" applyFont="1" applyFill="1" applyBorder="1" applyAlignment="1">
      <alignment wrapText="1"/>
    </xf>
    <xf numFmtId="4" fontId="21" fillId="0" borderId="0" xfId="1" applyNumberFormat="1" applyFont="1" applyFill="1" applyBorder="1"/>
    <xf numFmtId="0" fontId="21" fillId="0" borderId="0" xfId="1" applyFont="1" applyFill="1" applyBorder="1"/>
    <xf numFmtId="0" fontId="39" fillId="8" borderId="0" xfId="1" applyFont="1" applyFill="1" applyBorder="1"/>
    <xf numFmtId="166" fontId="25" fillId="0" borderId="0" xfId="1" applyNumberFormat="1" applyFont="1" applyFill="1" applyBorder="1"/>
    <xf numFmtId="166" fontId="21" fillId="0" borderId="0" xfId="0" applyNumberFormat="1" applyFont="1"/>
    <xf numFmtId="166" fontId="48" fillId="0" borderId="0" xfId="0" applyNumberFormat="1" applyFont="1"/>
    <xf numFmtId="166" fontId="35" fillId="0" borderId="0" xfId="0" applyNumberFormat="1" applyFont="1"/>
    <xf numFmtId="0" fontId="21" fillId="0" borderId="0" xfId="0" applyFont="1" applyFill="1" applyBorder="1"/>
    <xf numFmtId="0" fontId="25" fillId="0" borderId="0" xfId="0" applyFont="1" applyFill="1" applyBorder="1"/>
    <xf numFmtId="0" fontId="25" fillId="0" borderId="0" xfId="0" applyFont="1" applyFill="1" applyBorder="1" applyAlignment="1">
      <alignment wrapText="1"/>
    </xf>
    <xf numFmtId="0" fontId="21" fillId="0" borderId="0" xfId="0" applyFont="1"/>
    <xf numFmtId="2" fontId="49" fillId="0" borderId="0" xfId="0" applyNumberFormat="1" applyFont="1"/>
    <xf numFmtId="166" fontId="21" fillId="0" borderId="0" xfId="0" applyNumberFormat="1" applyFont="1" applyFill="1" applyBorder="1"/>
    <xf numFmtId="166" fontId="25" fillId="0" borderId="0" xfId="0" applyNumberFormat="1" applyFont="1" applyFill="1" applyBorder="1"/>
    <xf numFmtId="0" fontId="21" fillId="0" borderId="0" xfId="0" applyFont="1" applyAlignment="1">
      <alignment horizontal="left"/>
    </xf>
    <xf numFmtId="165" fontId="21" fillId="0" borderId="0" xfId="0" applyNumberFormat="1" applyFont="1"/>
    <xf numFmtId="0" fontId="25" fillId="0" borderId="0" xfId="0" applyFont="1"/>
    <xf numFmtId="2" fontId="25" fillId="0" borderId="0" xfId="0" applyNumberFormat="1" applyFont="1"/>
    <xf numFmtId="0" fontId="21" fillId="0" borderId="0" xfId="0" applyFont="1" applyAlignment="1">
      <alignment horizontal="left" indent="1"/>
    </xf>
    <xf numFmtId="165" fontId="21" fillId="0" borderId="0" xfId="0" applyNumberFormat="1" applyFont="1" applyFill="1" applyBorder="1"/>
    <xf numFmtId="165" fontId="25" fillId="0" borderId="0" xfId="0" applyNumberFormat="1" applyFont="1" applyFill="1" applyBorder="1"/>
    <xf numFmtId="2" fontId="25" fillId="0" borderId="0" xfId="0" applyNumberFormat="1" applyFont="1" applyFill="1" applyBorder="1"/>
    <xf numFmtId="165" fontId="47" fillId="8" borderId="0" xfId="0" applyNumberFormat="1" applyFont="1" applyFill="1" applyBorder="1"/>
    <xf numFmtId="0" fontId="50" fillId="0" borderId="0" xfId="0" applyFont="1"/>
    <xf numFmtId="0" fontId="21" fillId="0" borderId="0" xfId="1" applyFont="1" applyFill="1" applyBorder="1" applyAlignment="1">
      <alignment wrapText="1"/>
    </xf>
    <xf numFmtId="0" fontId="21" fillId="0" borderId="0" xfId="0" applyFont="1" applyFill="1" applyBorder="1" applyAlignment="1">
      <alignment vertical="center" wrapText="1"/>
    </xf>
    <xf numFmtId="0" fontId="21" fillId="0" borderId="0" xfId="0" applyFont="1" applyFill="1" applyBorder="1" applyAlignment="1">
      <alignment horizontal="left" vertical="center" wrapText="1"/>
    </xf>
    <xf numFmtId="0" fontId="25" fillId="0" borderId="0" xfId="0" applyFont="1" applyFill="1" applyBorder="1" applyAlignment="1">
      <alignment horizontal="left" vertical="center" wrapText="1"/>
    </xf>
    <xf numFmtId="166" fontId="48" fillId="0" borderId="0" xfId="1" applyNumberFormat="1" applyFont="1" applyFill="1" applyBorder="1"/>
    <xf numFmtId="0" fontId="21" fillId="2" borderId="0" xfId="0" applyFont="1" applyFill="1"/>
    <xf numFmtId="0" fontId="0" fillId="2" borderId="0" xfId="0" applyFill="1"/>
    <xf numFmtId="3" fontId="0" fillId="2" borderId="0" xfId="0" applyNumberFormat="1" applyFill="1"/>
    <xf numFmtId="3" fontId="28" fillId="2" borderId="0" xfId="0" applyNumberFormat="1" applyFont="1" applyFill="1"/>
    <xf numFmtId="3" fontId="25" fillId="0" borderId="0" xfId="0" applyNumberFormat="1" applyFont="1" applyFill="1" applyBorder="1"/>
    <xf numFmtId="0" fontId="51" fillId="2" borderId="0" xfId="0" applyFont="1" applyFill="1" applyBorder="1" applyAlignment="1">
      <alignment horizontal="left" vertical="center" wrapText="1"/>
    </xf>
    <xf numFmtId="0" fontId="52" fillId="2" borderId="0" xfId="0" applyFont="1" applyFill="1" applyBorder="1" applyAlignment="1">
      <alignment horizontal="center" vertical="center" wrapText="1"/>
    </xf>
    <xf numFmtId="166" fontId="52" fillId="2" borderId="0" xfId="0" applyNumberFormat="1" applyFont="1" applyFill="1" applyBorder="1" applyAlignment="1">
      <alignment horizontal="right" vertical="center" wrapText="1"/>
    </xf>
    <xf numFmtId="0" fontId="52" fillId="2" borderId="0" xfId="0" applyFont="1" applyFill="1" applyBorder="1" applyAlignment="1">
      <alignment horizontal="left" vertical="center" wrapText="1"/>
    </xf>
    <xf numFmtId="0" fontId="28" fillId="2" borderId="0" xfId="0" applyFont="1" applyFill="1"/>
    <xf numFmtId="0" fontId="53" fillId="2" borderId="0" xfId="0" applyFont="1" applyFill="1" applyBorder="1" applyAlignment="1">
      <alignment horizontal="left" vertical="center" wrapText="1"/>
    </xf>
    <xf numFmtId="0" fontId="0" fillId="2" borderId="0" xfId="0" applyFont="1" applyFill="1" applyAlignment="1">
      <alignment wrapText="1"/>
    </xf>
    <xf numFmtId="0" fontId="0" fillId="2" borderId="0" xfId="0" applyFont="1" applyFill="1" applyBorder="1"/>
    <xf numFmtId="0" fontId="20" fillId="0" borderId="0" xfId="1" applyFont="1" applyFill="1" applyBorder="1"/>
    <xf numFmtId="3" fontId="20" fillId="0" borderId="0" xfId="0" applyNumberFormat="1" applyFont="1" applyFill="1" applyBorder="1"/>
    <xf numFmtId="3" fontId="20" fillId="0" borderId="0" xfId="12" applyNumberFormat="1" applyFont="1" applyFill="1" applyBorder="1"/>
    <xf numFmtId="0" fontId="25" fillId="0" borderId="0" xfId="0" applyFont="1" applyFill="1" applyBorder="1" applyAlignment="1">
      <alignment horizontal="center" vertical="center"/>
    </xf>
    <xf numFmtId="0" fontId="25" fillId="0" borderId="0" xfId="0" applyFont="1" applyFill="1" applyBorder="1" applyAlignment="1">
      <alignment horizontal="center" vertical="center" wrapText="1"/>
    </xf>
    <xf numFmtId="0" fontId="25" fillId="0" borderId="0" xfId="0" quotePrefix="1" applyFont="1" applyFill="1" applyBorder="1" applyAlignment="1">
      <alignment horizontal="center" vertical="center" wrapText="1"/>
    </xf>
    <xf numFmtId="3" fontId="20" fillId="0" borderId="0" xfId="11" applyNumberFormat="1" applyFont="1" applyFill="1" applyBorder="1"/>
    <xf numFmtId="3" fontId="25" fillId="0" borderId="0" xfId="12" applyNumberFormat="1" applyFont="1" applyFill="1" applyBorder="1"/>
    <xf numFmtId="3" fontId="25" fillId="0" borderId="0" xfId="11" applyNumberFormat="1" applyFont="1" applyFill="1" applyBorder="1"/>
    <xf numFmtId="0" fontId="28" fillId="2" borderId="20" xfId="0" applyFont="1" applyFill="1" applyBorder="1" applyAlignment="1">
      <alignment wrapText="1"/>
    </xf>
    <xf numFmtId="166" fontId="28" fillId="2" borderId="21" xfId="0" applyNumberFormat="1" applyFont="1" applyFill="1" applyBorder="1"/>
    <xf numFmtId="166" fontId="28" fillId="2" borderId="22" xfId="0" applyNumberFormat="1" applyFont="1" applyFill="1" applyBorder="1"/>
    <xf numFmtId="165" fontId="0" fillId="2" borderId="0" xfId="0" applyNumberFormat="1" applyFill="1"/>
    <xf numFmtId="165" fontId="28" fillId="2" borderId="0" xfId="0" applyNumberFormat="1" applyFont="1" applyFill="1"/>
    <xf numFmtId="0" fontId="19" fillId="0" borderId="0" xfId="1" applyFont="1" applyFill="1" applyBorder="1"/>
    <xf numFmtId="3" fontId="19" fillId="0" borderId="0" xfId="1" applyNumberFormat="1" applyFont="1" applyFill="1" applyBorder="1"/>
    <xf numFmtId="3" fontId="25" fillId="0" borderId="0" xfId="1" applyNumberFormat="1" applyFont="1" applyFill="1" applyBorder="1"/>
    <xf numFmtId="0" fontId="28" fillId="0" borderId="0" xfId="0" applyFont="1" applyFill="1"/>
    <xf numFmtId="4" fontId="21" fillId="0" borderId="0" xfId="0" applyNumberFormat="1" applyFont="1"/>
    <xf numFmtId="3" fontId="19" fillId="10" borderId="0" xfId="1" applyNumberFormat="1" applyFont="1" applyFill="1" applyBorder="1"/>
    <xf numFmtId="3" fontId="25" fillId="0" borderId="0" xfId="0" applyNumberFormat="1" applyFont="1"/>
    <xf numFmtId="10" fontId="19" fillId="0" borderId="0" xfId="11" applyNumberFormat="1" applyFont="1" applyFill="1" applyBorder="1"/>
    <xf numFmtId="0" fontId="17" fillId="0" borderId="0" xfId="1" applyFont="1" applyFill="1" applyBorder="1"/>
    <xf numFmtId="0" fontId="17" fillId="0" borderId="0" xfId="0" applyFont="1"/>
    <xf numFmtId="3" fontId="21" fillId="0" borderId="0" xfId="0" applyNumberFormat="1" applyFont="1"/>
    <xf numFmtId="0" fontId="25" fillId="5" borderId="0" xfId="0" applyFont="1" applyFill="1" applyBorder="1" applyAlignment="1">
      <alignment wrapText="1"/>
    </xf>
    <xf numFmtId="1" fontId="21" fillId="0" borderId="0" xfId="0" applyNumberFormat="1" applyFont="1"/>
    <xf numFmtId="0" fontId="54" fillId="0" borderId="0" xfId="13" applyFont="1" applyAlignment="1">
      <alignment horizontal="left" vertical="center"/>
    </xf>
    <xf numFmtId="0" fontId="17" fillId="0" borderId="0" xfId="13"/>
    <xf numFmtId="0" fontId="55" fillId="11" borderId="23" xfId="13" applyFont="1" applyFill="1" applyBorder="1" applyAlignment="1">
      <alignment horizontal="left" vertical="center" wrapText="1" indent="1"/>
    </xf>
    <xf numFmtId="0" fontId="55" fillId="11" borderId="24" xfId="13" applyFont="1" applyFill="1" applyBorder="1" applyAlignment="1">
      <alignment horizontal="center" vertical="center" wrapText="1"/>
    </xf>
    <xf numFmtId="0" fontId="55" fillId="11" borderId="25" xfId="13" applyFont="1" applyFill="1" applyBorder="1" applyAlignment="1">
      <alignment horizontal="center" vertical="center" wrapText="1"/>
    </xf>
    <xf numFmtId="0" fontId="55" fillId="11" borderId="0" xfId="13" applyFont="1" applyFill="1" applyBorder="1" applyAlignment="1">
      <alignment horizontal="center" vertical="center" wrapText="1"/>
    </xf>
    <xf numFmtId="0" fontId="57" fillId="11" borderId="23" xfId="13" applyFont="1" applyFill="1" applyBorder="1" applyAlignment="1">
      <alignment horizontal="center" vertical="center" wrapText="1"/>
    </xf>
    <xf numFmtId="0" fontId="57" fillId="11" borderId="25" xfId="13" applyFont="1" applyFill="1" applyBorder="1" applyAlignment="1">
      <alignment horizontal="center" vertical="center" wrapText="1"/>
    </xf>
    <xf numFmtId="0" fontId="55" fillId="2" borderId="26" xfId="13" applyFont="1" applyFill="1" applyBorder="1" applyAlignment="1">
      <alignment horizontal="left" vertical="center" wrapText="1"/>
    </xf>
    <xf numFmtId="0" fontId="55" fillId="2" borderId="0" xfId="13" applyFont="1" applyFill="1" applyAlignment="1">
      <alignment horizontal="center" vertical="center" wrapText="1"/>
    </xf>
    <xf numFmtId="2" fontId="55" fillId="2" borderId="0" xfId="13" applyNumberFormat="1" applyFont="1" applyFill="1" applyAlignment="1">
      <alignment horizontal="center" vertical="center" wrapText="1"/>
    </xf>
    <xf numFmtId="0" fontId="55" fillId="2" borderId="27" xfId="13" applyFont="1" applyFill="1" applyBorder="1" applyAlignment="1">
      <alignment horizontal="center" vertical="center" wrapText="1"/>
    </xf>
    <xf numFmtId="0" fontId="55" fillId="2" borderId="0" xfId="13" applyFont="1" applyFill="1" applyBorder="1" applyAlignment="1">
      <alignment horizontal="center" vertical="center" wrapText="1"/>
    </xf>
    <xf numFmtId="0" fontId="57" fillId="4" borderId="26" xfId="13" applyFont="1" applyFill="1" applyBorder="1" applyAlignment="1">
      <alignment horizontal="left" vertical="center" wrapText="1" indent="1"/>
    </xf>
    <xf numFmtId="0" fontId="57" fillId="4" borderId="27" xfId="13" applyFont="1" applyFill="1" applyBorder="1" applyAlignment="1">
      <alignment horizontal="right" vertical="center" wrapText="1"/>
    </xf>
    <xf numFmtId="0" fontId="57" fillId="4" borderId="27" xfId="13" applyFont="1" applyFill="1" applyBorder="1" applyAlignment="1">
      <alignment horizontal="left" vertical="center" wrapText="1" indent="1"/>
    </xf>
    <xf numFmtId="3" fontId="55" fillId="2" borderId="0" xfId="13" applyNumberFormat="1" applyFont="1" applyFill="1" applyAlignment="1">
      <alignment horizontal="center" vertical="center" wrapText="1"/>
    </xf>
    <xf numFmtId="3" fontId="57" fillId="4" borderId="27" xfId="13" applyNumberFormat="1" applyFont="1" applyFill="1" applyBorder="1" applyAlignment="1">
      <alignment horizontal="right" vertical="center" wrapText="1"/>
    </xf>
    <xf numFmtId="4" fontId="55" fillId="2" borderId="0" xfId="13" applyNumberFormat="1" applyFont="1" applyFill="1" applyAlignment="1">
      <alignment horizontal="center" vertical="center" wrapText="1"/>
    </xf>
    <xf numFmtId="0" fontId="55" fillId="2" borderId="28" xfId="13" applyFont="1" applyFill="1" applyBorder="1" applyAlignment="1">
      <alignment horizontal="left" vertical="center" wrapText="1"/>
    </xf>
    <xf numFmtId="0" fontId="55" fillId="2" borderId="29" xfId="13" applyFont="1" applyFill="1" applyBorder="1" applyAlignment="1">
      <alignment horizontal="center" vertical="center" wrapText="1"/>
    </xf>
    <xf numFmtId="3" fontId="55" fillId="2" borderId="29" xfId="13" applyNumberFormat="1" applyFont="1" applyFill="1" applyBorder="1" applyAlignment="1">
      <alignment horizontal="center" vertical="center" wrapText="1"/>
    </xf>
    <xf numFmtId="0" fontId="55" fillId="2" borderId="30" xfId="13" applyFont="1" applyFill="1" applyBorder="1" applyAlignment="1">
      <alignment horizontal="center" vertical="center" wrapText="1"/>
    </xf>
    <xf numFmtId="0" fontId="17" fillId="2" borderId="0" xfId="13" applyFill="1"/>
    <xf numFmtId="0" fontId="55" fillId="2" borderId="0" xfId="13" applyFont="1" applyFill="1" applyBorder="1" applyAlignment="1">
      <alignment horizontal="left" vertical="center" wrapText="1"/>
    </xf>
    <xf numFmtId="0" fontId="57" fillId="4" borderId="26" xfId="13" applyFont="1" applyFill="1" applyBorder="1" applyAlignment="1">
      <alignment horizontal="center" vertical="center" wrapText="1"/>
    </xf>
    <xf numFmtId="4" fontId="57" fillId="4" borderId="27" xfId="13" applyNumberFormat="1" applyFont="1" applyFill="1" applyBorder="1" applyAlignment="1">
      <alignment horizontal="right" vertical="center" wrapText="1"/>
    </xf>
    <xf numFmtId="0" fontId="57" fillId="4" borderId="28" xfId="13" applyFont="1" applyFill="1" applyBorder="1" applyAlignment="1">
      <alignment horizontal="left" vertical="center" wrapText="1" indent="1"/>
    </xf>
    <xf numFmtId="0" fontId="57" fillId="4" borderId="30" xfId="13" applyFont="1" applyFill="1" applyBorder="1" applyAlignment="1">
      <alignment horizontal="right" vertical="center" wrapText="1"/>
    </xf>
    <xf numFmtId="0" fontId="57" fillId="4" borderId="30" xfId="13" applyFont="1" applyFill="1" applyBorder="1" applyAlignment="1">
      <alignment horizontal="left" vertical="center" wrapText="1" indent="1"/>
    </xf>
    <xf numFmtId="3" fontId="17" fillId="0" borderId="0" xfId="13" applyNumberFormat="1" applyAlignment="1">
      <alignment horizontal="right"/>
    </xf>
    <xf numFmtId="0" fontId="0" fillId="0" borderId="0" xfId="0" applyAlignment="1"/>
    <xf numFmtId="0" fontId="53" fillId="0" borderId="0" xfId="0" applyFont="1" applyAlignment="1">
      <alignment wrapText="1"/>
    </xf>
    <xf numFmtId="0" fontId="53" fillId="0" borderId="0" xfId="0" applyFont="1"/>
    <xf numFmtId="1" fontId="53" fillId="0" borderId="0" xfId="0" applyNumberFormat="1" applyFont="1"/>
    <xf numFmtId="3" fontId="59" fillId="0" borderId="0" xfId="0" applyNumberFormat="1" applyFont="1" applyBorder="1" applyAlignment="1">
      <alignment horizontal="center" vertical="center"/>
    </xf>
    <xf numFmtId="165" fontId="0" fillId="0" borderId="0" xfId="0" applyNumberFormat="1" applyFont="1" applyFill="1" applyBorder="1"/>
    <xf numFmtId="0" fontId="22" fillId="0" borderId="0" xfId="1" applyFont="1" applyFill="1" applyBorder="1" applyAlignment="1">
      <alignment horizontal="center"/>
    </xf>
    <xf numFmtId="0" fontId="16" fillId="0" borderId="0" xfId="1" applyFont="1" applyFill="1" applyBorder="1"/>
    <xf numFmtId="0" fontId="15" fillId="0" borderId="0" xfId="1" applyFont="1" applyFill="1" applyBorder="1"/>
    <xf numFmtId="0" fontId="15" fillId="0" borderId="0" xfId="1" applyFont="1" applyFill="1" applyBorder="1" applyAlignment="1">
      <alignment horizontal="center" vertical="center"/>
    </xf>
    <xf numFmtId="165" fontId="15" fillId="0" borderId="0" xfId="0" applyNumberFormat="1" applyFont="1" applyFill="1" applyBorder="1" applyAlignment="1">
      <alignment vertical="center"/>
    </xf>
    <xf numFmtId="0" fontId="0" fillId="0" borderId="0" xfId="0" applyAlignment="1">
      <alignment horizontal="left"/>
    </xf>
    <xf numFmtId="0" fontId="36" fillId="0" borderId="0" xfId="0" applyFont="1" applyAlignment="1">
      <alignment horizontal="left" vertical="top" wrapText="1"/>
    </xf>
    <xf numFmtId="0" fontId="0" fillId="0" borderId="7" xfId="0" applyBorder="1"/>
    <xf numFmtId="0" fontId="0" fillId="0" borderId="9" xfId="0" applyBorder="1"/>
    <xf numFmtId="0" fontId="0" fillId="0" borderId="7" xfId="0" applyBorder="1" applyAlignment="1">
      <alignment wrapText="1"/>
    </xf>
    <xf numFmtId="0" fontId="0" fillId="0" borderId="0" xfId="0" applyBorder="1" applyAlignment="1">
      <alignment wrapText="1"/>
    </xf>
    <xf numFmtId="164" fontId="0" fillId="0" borderId="0" xfId="12" applyFont="1" applyBorder="1" applyAlignment="1">
      <alignment wrapText="1"/>
    </xf>
    <xf numFmtId="164" fontId="0" fillId="0" borderId="9" xfId="12" applyFont="1" applyBorder="1" applyAlignment="1">
      <alignment wrapText="1"/>
    </xf>
    <xf numFmtId="0" fontId="0" fillId="0" borderId="10" xfId="0" applyBorder="1" applyAlignment="1">
      <alignment wrapText="1"/>
    </xf>
    <xf numFmtId="0" fontId="0" fillId="0" borderId="3" xfId="0" applyBorder="1" applyAlignment="1">
      <alignment wrapText="1"/>
    </xf>
    <xf numFmtId="164" fontId="0" fillId="0" borderId="3" xfId="12" applyFont="1" applyBorder="1" applyAlignment="1">
      <alignment wrapText="1"/>
    </xf>
    <xf numFmtId="164" fontId="0" fillId="0" borderId="11" xfId="12" applyFont="1" applyBorder="1" applyAlignment="1">
      <alignment wrapText="1"/>
    </xf>
    <xf numFmtId="0" fontId="0" fillId="0" borderId="33" xfId="0" applyBorder="1"/>
    <xf numFmtId="0" fontId="0" fillId="0" borderId="34" xfId="0" applyBorder="1"/>
    <xf numFmtId="0" fontId="0" fillId="0" borderId="33" xfId="0" applyBorder="1" applyAlignment="1">
      <alignment wrapText="1"/>
    </xf>
    <xf numFmtId="164" fontId="0" fillId="0" borderId="34" xfId="12" applyFont="1" applyBorder="1" applyAlignment="1">
      <alignment wrapText="1"/>
    </xf>
    <xf numFmtId="0" fontId="0" fillId="0" borderId="6" xfId="0" applyBorder="1" applyAlignment="1">
      <alignment wrapText="1"/>
    </xf>
    <xf numFmtId="0" fontId="0" fillId="0" borderId="4" xfId="0" applyBorder="1" applyAlignment="1">
      <alignment wrapText="1"/>
    </xf>
    <xf numFmtId="164" fontId="0" fillId="0" borderId="4" xfId="12" applyFont="1" applyBorder="1" applyAlignment="1">
      <alignment wrapText="1"/>
    </xf>
    <xf numFmtId="164" fontId="0" fillId="0" borderId="15" xfId="12" applyFont="1" applyBorder="1" applyAlignment="1">
      <alignment wrapText="1"/>
    </xf>
    <xf numFmtId="3" fontId="21" fillId="0" borderId="0" xfId="0" applyNumberFormat="1" applyFont="1" applyAlignment="1">
      <alignment horizontal="center" vertical="center"/>
    </xf>
    <xf numFmtId="3" fontId="17" fillId="0" borderId="0" xfId="0" applyNumberFormat="1" applyFont="1" applyAlignment="1">
      <alignment horizontal="center" vertical="center"/>
    </xf>
    <xf numFmtId="0" fontId="17" fillId="0" borderId="0" xfId="1" applyFont="1" applyFill="1" applyBorder="1" applyAlignment="1">
      <alignment horizontal="left" vertical="center"/>
    </xf>
    <xf numFmtId="0" fontId="17" fillId="0" borderId="0" xfId="0" applyFont="1" applyAlignment="1">
      <alignment horizontal="left" vertical="center"/>
    </xf>
    <xf numFmtId="3" fontId="47" fillId="8" borderId="0" xfId="0" applyNumberFormat="1" applyFont="1" applyFill="1" applyAlignment="1">
      <alignment horizontal="center" vertical="center"/>
    </xf>
    <xf numFmtId="3" fontId="21" fillId="8" borderId="0" xfId="0" applyNumberFormat="1" applyFont="1" applyFill="1" applyAlignment="1">
      <alignment horizontal="center" vertical="center"/>
    </xf>
    <xf numFmtId="0" fontId="14" fillId="0" borderId="0" xfId="0" applyFont="1" applyFill="1" applyBorder="1"/>
    <xf numFmtId="0" fontId="28" fillId="5" borderId="0" xfId="0" applyFont="1" applyFill="1" applyAlignment="1">
      <alignment horizontal="center" vertical="center"/>
    </xf>
    <xf numFmtId="0" fontId="25" fillId="5" borderId="0" xfId="0" applyFont="1" applyFill="1" applyBorder="1" applyAlignment="1">
      <alignment horizontal="center" vertical="center" wrapText="1"/>
    </xf>
    <xf numFmtId="166" fontId="21" fillId="0" borderId="0" xfId="0" applyNumberFormat="1" applyFont="1" applyFill="1" applyBorder="1" applyAlignment="1">
      <alignment horizontal="center"/>
    </xf>
    <xf numFmtId="165" fontId="47" fillId="0" borderId="0" xfId="0" applyNumberFormat="1" applyFont="1" applyFill="1" applyBorder="1"/>
    <xf numFmtId="0" fontId="25" fillId="5" borderId="0" xfId="0" applyFont="1" applyFill="1" applyBorder="1"/>
    <xf numFmtId="164" fontId="28" fillId="0" borderId="0" xfId="0" applyNumberFormat="1" applyFont="1"/>
    <xf numFmtId="0" fontId="13" fillId="0" borderId="0" xfId="0" applyFont="1"/>
    <xf numFmtId="164" fontId="53" fillId="0" borderId="0" xfId="12" applyFont="1" applyFill="1"/>
    <xf numFmtId="0" fontId="53" fillId="0" borderId="0" xfId="0" applyFont="1" applyFill="1"/>
    <xf numFmtId="0" fontId="62" fillId="0" borderId="2" xfId="0" applyFont="1" applyBorder="1" applyAlignment="1">
      <alignment horizontal="center" vertical="center"/>
    </xf>
    <xf numFmtId="0" fontId="62" fillId="0" borderId="2" xfId="0" applyFont="1" applyBorder="1" applyAlignment="1">
      <alignment horizontal="center" vertical="center" wrapText="1"/>
    </xf>
    <xf numFmtId="0" fontId="60" fillId="0" borderId="2" xfId="0" applyFont="1" applyBorder="1" applyAlignment="1">
      <alignment horizontal="center" vertical="center" wrapText="1"/>
    </xf>
    <xf numFmtId="0" fontId="60" fillId="0" borderId="2" xfId="0" quotePrefix="1" applyFont="1" applyBorder="1" applyAlignment="1">
      <alignment horizontal="center" vertical="center" wrapText="1"/>
    </xf>
    <xf numFmtId="0" fontId="60" fillId="0" borderId="16" xfId="0" applyFont="1" applyBorder="1" applyAlignment="1">
      <alignment horizontal="center" vertical="center" wrapText="1"/>
    </xf>
    <xf numFmtId="0" fontId="63" fillId="0" borderId="0" xfId="0" applyFont="1" applyFill="1" applyBorder="1"/>
    <xf numFmtId="3" fontId="63" fillId="0" borderId="0" xfId="0" applyNumberFormat="1" applyFont="1" applyFill="1" applyBorder="1"/>
    <xf numFmtId="170" fontId="53" fillId="3" borderId="0" xfId="12" applyNumberFormat="1" applyFont="1" applyFill="1" applyBorder="1"/>
    <xf numFmtId="164" fontId="53" fillId="3" borderId="0" xfId="12" applyFont="1" applyFill="1" applyBorder="1"/>
    <xf numFmtId="164" fontId="53" fillId="3" borderId="17" xfId="12" applyFont="1" applyFill="1" applyBorder="1"/>
    <xf numFmtId="9" fontId="53" fillId="3" borderId="17" xfId="11" applyFont="1" applyFill="1" applyBorder="1"/>
    <xf numFmtId="170" fontId="53" fillId="3" borderId="17" xfId="12" applyNumberFormat="1" applyFont="1" applyFill="1" applyBorder="1"/>
    <xf numFmtId="0" fontId="53" fillId="3" borderId="0" xfId="0" applyFont="1" applyFill="1" applyBorder="1"/>
    <xf numFmtId="0" fontId="63" fillId="0" borderId="4" xfId="0" applyFont="1" applyBorder="1"/>
    <xf numFmtId="3" fontId="63" fillId="0" borderId="4" xfId="0" applyNumberFormat="1" applyFont="1" applyBorder="1"/>
    <xf numFmtId="0" fontId="53" fillId="3" borderId="4" xfId="0" applyFont="1" applyFill="1" applyBorder="1"/>
    <xf numFmtId="164" fontId="53" fillId="3" borderId="4" xfId="12" applyFont="1" applyFill="1" applyBorder="1"/>
    <xf numFmtId="164" fontId="53" fillId="3" borderId="18" xfId="12" applyFont="1" applyFill="1" applyBorder="1"/>
    <xf numFmtId="0" fontId="62" fillId="0" borderId="4" xfId="0" applyFont="1" applyBorder="1"/>
    <xf numFmtId="3" fontId="62" fillId="0" borderId="4" xfId="0" applyNumberFormat="1" applyFont="1" applyBorder="1"/>
    <xf numFmtId="164" fontId="60" fillId="3" borderId="4" xfId="12" applyFont="1" applyFill="1" applyBorder="1"/>
    <xf numFmtId="164" fontId="60" fillId="3" borderId="19" xfId="12" applyFont="1" applyFill="1" applyBorder="1"/>
    <xf numFmtId="9" fontId="60" fillId="3" borderId="19" xfId="11" applyFont="1" applyFill="1" applyBorder="1"/>
    <xf numFmtId="43" fontId="53" fillId="0" borderId="0" xfId="0" applyNumberFormat="1" applyFont="1" applyFill="1"/>
    <xf numFmtId="0" fontId="63" fillId="0" borderId="0" xfId="0" applyFont="1" applyFill="1" applyBorder="1" applyAlignment="1">
      <alignment wrapText="1"/>
    </xf>
    <xf numFmtId="3" fontId="53" fillId="0" borderId="0" xfId="0" applyNumberFormat="1" applyFont="1" applyBorder="1" applyAlignment="1"/>
    <xf numFmtId="43" fontId="53" fillId="0" borderId="0" xfId="0" applyNumberFormat="1" applyFont="1"/>
    <xf numFmtId="0" fontId="53" fillId="0" borderId="0" xfId="0" applyFont="1" applyFill="1" applyAlignment="1"/>
    <xf numFmtId="168" fontId="53" fillId="0" borderId="0" xfId="0" applyNumberFormat="1" applyFont="1" applyBorder="1" applyAlignment="1"/>
    <xf numFmtId="2" fontId="53" fillId="0" borderId="0" xfId="0" applyNumberFormat="1" applyFont="1" applyFill="1" applyAlignment="1"/>
    <xf numFmtId="0" fontId="53" fillId="0" borderId="13" xfId="0" applyFont="1" applyBorder="1"/>
    <xf numFmtId="0" fontId="53" fillId="0" borderId="5" xfId="0" applyFont="1" applyBorder="1"/>
    <xf numFmtId="0" fontId="53" fillId="0" borderId="14" xfId="0" applyFont="1" applyBorder="1"/>
    <xf numFmtId="0" fontId="53" fillId="0" borderId="6" xfId="0" applyFont="1" applyBorder="1"/>
    <xf numFmtId="0" fontId="53" fillId="0" borderId="4" xfId="0" applyFont="1" applyBorder="1"/>
    <xf numFmtId="0" fontId="53" fillId="0" borderId="15" xfId="0" applyFont="1" applyBorder="1"/>
    <xf numFmtId="43" fontId="28" fillId="0" borderId="0" xfId="0" applyNumberFormat="1" applyFont="1"/>
    <xf numFmtId="0" fontId="26" fillId="0" borderId="0" xfId="0" applyFont="1" applyAlignment="1">
      <alignment horizontal="left"/>
    </xf>
    <xf numFmtId="0" fontId="13" fillId="0" borderId="0" xfId="1" applyFont="1" applyFill="1" applyBorder="1"/>
    <xf numFmtId="2" fontId="0" fillId="0" borderId="0" xfId="0" applyNumberFormat="1" applyAlignment="1">
      <alignment horizontal="center" vertical="center"/>
    </xf>
    <xf numFmtId="166" fontId="0" fillId="0" borderId="0" xfId="0" applyNumberFormat="1" applyAlignment="1">
      <alignment horizontal="center" vertical="center"/>
    </xf>
    <xf numFmtId="0" fontId="53" fillId="0" borderId="13" xfId="0" applyFont="1" applyBorder="1" applyAlignment="1">
      <alignment horizontal="left" indent="2"/>
    </xf>
    <xf numFmtId="3" fontId="53" fillId="0" borderId="5" xfId="1" applyNumberFormat="1" applyFont="1" applyFill="1" applyBorder="1"/>
    <xf numFmtId="3" fontId="60" fillId="0" borderId="14" xfId="0" applyNumberFormat="1" applyFont="1" applyBorder="1"/>
    <xf numFmtId="0" fontId="53" fillId="0" borderId="6" xfId="0" applyFont="1" applyBorder="1" applyAlignment="1">
      <alignment horizontal="left" indent="2"/>
    </xf>
    <xf numFmtId="3" fontId="53" fillId="0" borderId="4" xfId="1" applyNumberFormat="1" applyFont="1" applyFill="1" applyBorder="1"/>
    <xf numFmtId="3" fontId="60" fillId="0" borderId="15" xfId="0" applyNumberFormat="1" applyFont="1" applyBorder="1"/>
    <xf numFmtId="0" fontId="13" fillId="0" borderId="0" xfId="0" applyFont="1" applyFill="1" applyBorder="1"/>
    <xf numFmtId="166" fontId="21" fillId="5" borderId="0" xfId="0" applyNumberFormat="1" applyFont="1" applyFill="1" applyBorder="1"/>
    <xf numFmtId="166" fontId="25" fillId="5" borderId="0" xfId="0" applyNumberFormat="1" applyFont="1" applyFill="1" applyBorder="1"/>
    <xf numFmtId="165" fontId="21" fillId="0" borderId="0" xfId="0" applyNumberFormat="1" applyFont="1" applyFill="1" applyBorder="1" applyAlignment="1">
      <alignment horizontal="center"/>
    </xf>
    <xf numFmtId="165" fontId="25" fillId="0" borderId="0" xfId="0" applyNumberFormat="1" applyFont="1" applyFill="1" applyBorder="1" applyAlignment="1">
      <alignment horizontal="center"/>
    </xf>
    <xf numFmtId="165" fontId="21" fillId="0" borderId="0" xfId="0" applyNumberFormat="1" applyFont="1" applyFill="1" applyBorder="1" applyAlignment="1">
      <alignment horizontal="center" vertical="center"/>
    </xf>
    <xf numFmtId="0" fontId="53" fillId="0" borderId="0" xfId="0" applyFont="1" applyBorder="1" applyAlignment="1">
      <alignment horizontal="left" indent="2"/>
    </xf>
    <xf numFmtId="0" fontId="21" fillId="5" borderId="0" xfId="0" applyFont="1" applyFill="1" applyBorder="1"/>
    <xf numFmtId="0" fontId="25" fillId="5" borderId="0" xfId="1" applyFont="1" applyFill="1" applyBorder="1"/>
    <xf numFmtId="0" fontId="21" fillId="0" borderId="0" xfId="0" applyFont="1" applyFill="1"/>
    <xf numFmtId="0" fontId="64" fillId="0" borderId="0" xfId="0" applyFont="1" applyFill="1"/>
    <xf numFmtId="0" fontId="66" fillId="0" borderId="0" xfId="0" applyFont="1" applyFill="1"/>
    <xf numFmtId="0" fontId="65" fillId="0" borderId="0" xfId="0" applyFont="1" applyFill="1"/>
    <xf numFmtId="0" fontId="65" fillId="0" borderId="13" xfId="0" applyFont="1" applyFill="1" applyBorder="1"/>
    <xf numFmtId="0" fontId="65" fillId="0" borderId="5" xfId="0" applyFont="1" applyFill="1" applyBorder="1" applyAlignment="1">
      <alignment horizontal="center"/>
    </xf>
    <xf numFmtId="0" fontId="65" fillId="0" borderId="6" xfId="0" applyFont="1" applyFill="1" applyBorder="1"/>
    <xf numFmtId="0" fontId="65" fillId="0" borderId="4" xfId="0" applyFont="1" applyFill="1" applyBorder="1" applyAlignment="1">
      <alignment horizontal="center"/>
    </xf>
    <xf numFmtId="0" fontId="65" fillId="0" borderId="0" xfId="0" applyFont="1" applyFill="1" applyAlignment="1">
      <alignment horizontal="center" vertical="center" wrapText="1"/>
    </xf>
    <xf numFmtId="0" fontId="42" fillId="0" borderId="0" xfId="0" applyFont="1"/>
    <xf numFmtId="0" fontId="21" fillId="0" borderId="14" xfId="0" applyFont="1" applyFill="1" applyBorder="1"/>
    <xf numFmtId="0" fontId="21" fillId="0" borderId="15" xfId="0" applyFont="1" applyFill="1" applyBorder="1"/>
    <xf numFmtId="43" fontId="21" fillId="0" borderId="0" xfId="0" applyNumberFormat="1" applyFont="1" applyFill="1" applyBorder="1"/>
    <xf numFmtId="11" fontId="21" fillId="0" borderId="0" xfId="0" applyNumberFormat="1" applyFont="1" applyFill="1" applyBorder="1"/>
    <xf numFmtId="0" fontId="64" fillId="0" borderId="0" xfId="0" applyFont="1" applyFill="1" applyAlignment="1">
      <alignment horizontal="left" vertical="center"/>
    </xf>
    <xf numFmtId="0" fontId="64" fillId="0" borderId="0" xfId="0" applyFont="1" applyFill="1" applyAlignment="1">
      <alignment horizontal="left"/>
    </xf>
    <xf numFmtId="0" fontId="31" fillId="0" borderId="0" xfId="4"/>
    <xf numFmtId="0" fontId="21" fillId="0" borderId="0" xfId="0" applyFont="1" applyFill="1" applyBorder="1" applyAlignment="1">
      <alignment horizontal="left"/>
    </xf>
    <xf numFmtId="1" fontId="65" fillId="0" borderId="0" xfId="0" applyNumberFormat="1" applyFont="1" applyFill="1" applyAlignment="1">
      <alignment horizontal="center"/>
    </xf>
    <xf numFmtId="1" fontId="21" fillId="0" borderId="0" xfId="0" applyNumberFormat="1" applyFont="1" applyFill="1"/>
    <xf numFmtId="1" fontId="21" fillId="0" borderId="0" xfId="0" applyNumberFormat="1" applyFont="1" applyFill="1" applyBorder="1" applyAlignment="1">
      <alignment horizontal="center"/>
    </xf>
    <xf numFmtId="3" fontId="21" fillId="0" borderId="0" xfId="0" applyNumberFormat="1" applyFont="1" applyFill="1" applyBorder="1" applyAlignment="1">
      <alignment horizontal="center"/>
    </xf>
    <xf numFmtId="166" fontId="35" fillId="0" borderId="0" xfId="0" applyNumberFormat="1" applyFont="1" applyFill="1" applyBorder="1"/>
    <xf numFmtId="165" fontId="48" fillId="0" borderId="0" xfId="0" applyNumberFormat="1" applyFont="1" applyFill="1" applyBorder="1" applyAlignment="1">
      <alignment horizontal="center"/>
    </xf>
    <xf numFmtId="166" fontId="48" fillId="0" borderId="0" xfId="0" applyNumberFormat="1" applyFont="1" applyFill="1" applyBorder="1"/>
    <xf numFmtId="0" fontId="48" fillId="5" borderId="0" xfId="1" applyFont="1" applyFill="1" applyBorder="1"/>
    <xf numFmtId="0" fontId="35" fillId="0" borderId="0" xfId="1" applyFont="1" applyFill="1" applyBorder="1"/>
    <xf numFmtId="0" fontId="35" fillId="0" borderId="0" xfId="0" applyFont="1"/>
    <xf numFmtId="165" fontId="27" fillId="0" borderId="0" xfId="0" applyNumberFormat="1" applyFont="1" applyFill="1" applyBorder="1"/>
    <xf numFmtId="0" fontId="35" fillId="0" borderId="0" xfId="0" applyFont="1" applyFill="1" applyBorder="1"/>
    <xf numFmtId="0" fontId="48" fillId="0" borderId="0" xfId="1" applyFont="1" applyFill="1" applyBorder="1"/>
    <xf numFmtId="165" fontId="21" fillId="5" borderId="0" xfId="0" applyNumberFormat="1" applyFont="1" applyFill="1" applyBorder="1"/>
    <xf numFmtId="0" fontId="39" fillId="0" borderId="0" xfId="1" applyFont="1" applyFill="1" applyBorder="1"/>
    <xf numFmtId="0" fontId="12" fillId="0" borderId="0" xfId="0" applyFont="1" applyFill="1" applyBorder="1"/>
    <xf numFmtId="2" fontId="21" fillId="0" borderId="0" xfId="0" applyNumberFormat="1" applyFont="1" applyFill="1" applyBorder="1"/>
    <xf numFmtId="0" fontId="25" fillId="0" borderId="0" xfId="0" applyFont="1" applyFill="1"/>
    <xf numFmtId="166" fontId="25" fillId="0" borderId="0" xfId="0" applyNumberFormat="1" applyFont="1" applyFill="1" applyAlignment="1">
      <alignment horizontal="center" vertical="center"/>
    </xf>
    <xf numFmtId="1" fontId="0" fillId="0" borderId="0" xfId="0" applyNumberFormat="1"/>
    <xf numFmtId="0" fontId="0" fillId="0" borderId="0" xfId="0" applyAlignment="1">
      <alignment wrapText="1"/>
    </xf>
    <xf numFmtId="3" fontId="0" fillId="0" borderId="0" xfId="0" applyNumberFormat="1"/>
    <xf numFmtId="166" fontId="0" fillId="0" borderId="0" xfId="0" quotePrefix="1" applyNumberFormat="1"/>
    <xf numFmtId="164" fontId="0" fillId="0" borderId="34" xfId="12" applyFont="1" applyBorder="1"/>
    <xf numFmtId="0" fontId="0" fillId="0" borderId="6" xfId="0" applyBorder="1"/>
    <xf numFmtId="164" fontId="0" fillId="0" borderId="15" xfId="12" applyFont="1" applyBorder="1"/>
    <xf numFmtId="3" fontId="11" fillId="0" borderId="0" xfId="1" applyNumberFormat="1" applyFont="1" applyFill="1" applyBorder="1"/>
    <xf numFmtId="165" fontId="26" fillId="3" borderId="0" xfId="0" applyNumberFormat="1" applyFont="1" applyFill="1" applyBorder="1"/>
    <xf numFmtId="0" fontId="13" fillId="3" borderId="0" xfId="0" applyFont="1" applyFill="1" applyBorder="1"/>
    <xf numFmtId="3" fontId="21" fillId="3" borderId="0" xfId="0" applyNumberFormat="1" applyFont="1" applyFill="1"/>
    <xf numFmtId="0" fontId="47" fillId="0" borderId="0" xfId="0" applyFont="1" applyFill="1"/>
    <xf numFmtId="0" fontId="50" fillId="0" borderId="0" xfId="0" applyFont="1" applyFill="1"/>
    <xf numFmtId="0" fontId="21" fillId="0" borderId="5" xfId="0" applyFont="1" applyFill="1" applyBorder="1"/>
    <xf numFmtId="171" fontId="47" fillId="0" borderId="4" xfId="0" applyNumberFormat="1" applyFont="1" applyFill="1" applyBorder="1"/>
    <xf numFmtId="165" fontId="21" fillId="12" borderId="0" xfId="0" applyNumberFormat="1" applyFont="1" applyFill="1" applyBorder="1" applyAlignment="1">
      <alignment horizontal="center" vertical="center"/>
    </xf>
    <xf numFmtId="10" fontId="25" fillId="0" borderId="0" xfId="11" applyNumberFormat="1" applyFont="1" applyFill="1" applyBorder="1" applyAlignment="1">
      <alignment horizontal="center"/>
    </xf>
    <xf numFmtId="2" fontId="19" fillId="0" borderId="0" xfId="11" applyNumberFormat="1" applyFont="1" applyFill="1" applyBorder="1"/>
    <xf numFmtId="0" fontId="0" fillId="0" borderId="14" xfId="0" applyBorder="1"/>
    <xf numFmtId="0" fontId="28" fillId="0" borderId="13" xfId="0" applyFont="1" applyBorder="1"/>
    <xf numFmtId="0" fontId="28" fillId="0" borderId="5" xfId="0" applyFont="1" applyBorder="1"/>
    <xf numFmtId="0" fontId="28" fillId="0" borderId="14" xfId="0" applyFont="1" applyBorder="1"/>
    <xf numFmtId="166" fontId="0" fillId="0" borderId="0" xfId="0" applyNumberFormat="1" applyBorder="1"/>
    <xf numFmtId="166" fontId="0" fillId="0" borderId="4" xfId="0" applyNumberFormat="1" applyBorder="1"/>
    <xf numFmtId="0" fontId="28" fillId="0" borderId="6" xfId="0" applyFont="1" applyBorder="1"/>
    <xf numFmtId="0" fontId="28" fillId="0" borderId="4" xfId="0" applyFont="1" applyBorder="1"/>
    <xf numFmtId="0" fontId="28" fillId="0" borderId="15" xfId="0" applyFont="1" applyBorder="1"/>
    <xf numFmtId="166" fontId="0" fillId="0" borderId="34" xfId="0" applyNumberFormat="1" applyBorder="1"/>
    <xf numFmtId="166" fontId="28" fillId="0" borderId="4" xfId="0" applyNumberFormat="1" applyFont="1" applyBorder="1"/>
    <xf numFmtId="166" fontId="28" fillId="0" borderId="15" xfId="0" applyNumberFormat="1" applyFont="1" applyBorder="1"/>
    <xf numFmtId="166" fontId="0" fillId="0" borderId="15" xfId="0" applyNumberFormat="1" applyBorder="1"/>
    <xf numFmtId="172" fontId="28" fillId="0" borderId="0" xfId="0" applyNumberFormat="1" applyFont="1"/>
    <xf numFmtId="0" fontId="28" fillId="0" borderId="34" xfId="0" applyFont="1" applyBorder="1"/>
    <xf numFmtId="0" fontId="28" fillId="0" borderId="6" xfId="0" applyFont="1" applyFill="1" applyBorder="1"/>
    <xf numFmtId="4" fontId="25" fillId="3" borderId="0" xfId="1" applyNumberFormat="1" applyFont="1" applyFill="1" applyBorder="1"/>
    <xf numFmtId="0" fontId="36" fillId="0" borderId="0" xfId="0" applyFont="1"/>
    <xf numFmtId="0" fontId="72" fillId="0" borderId="0" xfId="0" applyFont="1"/>
    <xf numFmtId="173" fontId="72" fillId="0" borderId="0" xfId="12" applyNumberFormat="1" applyFont="1"/>
    <xf numFmtId="0" fontId="73" fillId="0" borderId="0" xfId="0" applyFont="1"/>
    <xf numFmtId="173" fontId="73" fillId="0" borderId="0" xfId="12" applyNumberFormat="1" applyFont="1"/>
    <xf numFmtId="173" fontId="0" fillId="0" borderId="0" xfId="12" applyNumberFormat="1" applyFont="1"/>
    <xf numFmtId="0" fontId="10" fillId="0" borderId="0" xfId="1" applyFont="1" applyFill="1" applyBorder="1" applyAlignment="1">
      <alignment wrapText="1"/>
    </xf>
    <xf numFmtId="0" fontId="17" fillId="2" borderId="0" xfId="1" applyFont="1" applyFill="1" applyBorder="1"/>
    <xf numFmtId="0" fontId="17" fillId="2" borderId="0" xfId="0" applyFont="1" applyFill="1"/>
    <xf numFmtId="0" fontId="13" fillId="2" borderId="0" xfId="0" applyFont="1" applyFill="1"/>
    <xf numFmtId="165" fontId="26" fillId="2" borderId="0" xfId="0" applyNumberFormat="1" applyFont="1" applyFill="1" applyBorder="1"/>
    <xf numFmtId="0" fontId="64" fillId="0" borderId="0" xfId="0" applyFont="1" applyFill="1" applyAlignment="1">
      <alignment horizontal="left" wrapText="1"/>
    </xf>
    <xf numFmtId="0" fontId="64" fillId="0" borderId="0" xfId="0" applyFont="1" applyFill="1" applyAlignment="1">
      <alignment horizontal="left" vertical="center" wrapText="1"/>
    </xf>
    <xf numFmtId="0" fontId="28" fillId="2" borderId="0" xfId="0" applyFont="1" applyFill="1" applyAlignment="1">
      <alignment wrapText="1"/>
    </xf>
    <xf numFmtId="0" fontId="0" fillId="2" borderId="0" xfId="0" applyFill="1" applyAlignment="1">
      <alignment vertical="center"/>
    </xf>
    <xf numFmtId="166" fontId="0" fillId="2" borderId="0" xfId="0" applyNumberFormat="1" applyFill="1"/>
    <xf numFmtId="2" fontId="0" fillId="2" borderId="0" xfId="0" applyNumberFormat="1" applyFill="1"/>
    <xf numFmtId="1" fontId="0" fillId="2" borderId="0" xfId="0" applyNumberFormat="1" applyFill="1"/>
    <xf numFmtId="0" fontId="25" fillId="2" borderId="0" xfId="0" applyFont="1" applyFill="1"/>
    <xf numFmtId="0" fontId="0" fillId="2" borderId="21" xfId="0" applyFill="1" applyBorder="1"/>
    <xf numFmtId="166" fontId="0" fillId="2" borderId="21" xfId="0" applyNumberFormat="1" applyFill="1" applyBorder="1"/>
    <xf numFmtId="166" fontId="28" fillId="2" borderId="0" xfId="0" applyNumberFormat="1" applyFont="1" applyFill="1" applyBorder="1"/>
    <xf numFmtId="0" fontId="0" fillId="2" borderId="13" xfId="0" applyFill="1" applyBorder="1"/>
    <xf numFmtId="0" fontId="0" fillId="2" borderId="5" xfId="0" applyFill="1" applyBorder="1"/>
    <xf numFmtId="3" fontId="0" fillId="2" borderId="14" xfId="0" applyNumberFormat="1" applyFill="1" applyBorder="1"/>
    <xf numFmtId="0" fontId="0" fillId="2" borderId="6" xfId="0" applyFill="1" applyBorder="1"/>
    <xf numFmtId="0" fontId="0" fillId="2" borderId="4" xfId="0" applyFill="1" applyBorder="1"/>
    <xf numFmtId="3" fontId="0" fillId="2" borderId="15" xfId="0" applyNumberFormat="1" applyFill="1" applyBorder="1"/>
    <xf numFmtId="0" fontId="28" fillId="2" borderId="0" xfId="0" applyFont="1" applyFill="1" applyAlignment="1"/>
    <xf numFmtId="166" fontId="0" fillId="2" borderId="22" xfId="0" applyNumberFormat="1" applyFill="1" applyBorder="1"/>
    <xf numFmtId="166" fontId="0" fillId="2" borderId="21" xfId="0" applyNumberFormat="1" applyFill="1" applyBorder="1" applyAlignment="1">
      <alignment horizontal="center"/>
    </xf>
    <xf numFmtId="166" fontId="28" fillId="2" borderId="20" xfId="0" applyNumberFormat="1" applyFont="1" applyFill="1" applyBorder="1"/>
    <xf numFmtId="3" fontId="0" fillId="2" borderId="0" xfId="0" applyNumberFormat="1" applyFill="1" applyBorder="1"/>
    <xf numFmtId="165" fontId="0" fillId="2" borderId="0" xfId="0" applyNumberFormat="1" applyFill="1" applyBorder="1"/>
    <xf numFmtId="1" fontId="0" fillId="2" borderId="0" xfId="0" applyNumberFormat="1" applyFill="1" applyBorder="1"/>
    <xf numFmtId="3" fontId="28" fillId="2" borderId="0" xfId="0" applyNumberFormat="1" applyFont="1" applyFill="1" applyBorder="1"/>
    <xf numFmtId="3" fontId="0" fillId="2" borderId="0" xfId="0" applyNumberFormat="1" applyFill="1" applyBorder="1" applyAlignment="1">
      <alignment horizontal="center"/>
    </xf>
    <xf numFmtId="3" fontId="28" fillId="2" borderId="0" xfId="0" applyNumberFormat="1" applyFont="1" applyFill="1" applyBorder="1" applyAlignment="1">
      <alignment horizontal="center"/>
    </xf>
    <xf numFmtId="166" fontId="25" fillId="0" borderId="0" xfId="0" applyNumberFormat="1" applyFont="1" applyFill="1" applyBorder="1" applyAlignment="1">
      <alignment horizontal="center"/>
    </xf>
    <xf numFmtId="166" fontId="25" fillId="0" borderId="0" xfId="0" applyNumberFormat="1" applyFont="1" applyFill="1" applyBorder="1" applyAlignment="1">
      <alignment horizontal="right"/>
    </xf>
    <xf numFmtId="165" fontId="25" fillId="0" borderId="0" xfId="0" applyNumberFormat="1" applyFont="1" applyFill="1" applyBorder="1" applyAlignment="1">
      <alignment horizontal="right"/>
    </xf>
    <xf numFmtId="3" fontId="28" fillId="2" borderId="0" xfId="0" applyNumberFormat="1" applyFont="1" applyFill="1" applyBorder="1" applyAlignment="1">
      <alignment horizontal="right"/>
    </xf>
    <xf numFmtId="0" fontId="28" fillId="2" borderId="0" xfId="0" applyFont="1" applyFill="1" applyAlignment="1">
      <alignment horizontal="right"/>
    </xf>
    <xf numFmtId="0" fontId="0" fillId="2" borderId="0" xfId="0" applyFont="1" applyFill="1" applyBorder="1" applyAlignment="1">
      <alignment horizontal="right" wrapText="1"/>
    </xf>
    <xf numFmtId="0" fontId="0" fillId="2" borderId="0" xfId="0" applyFont="1" applyFill="1" applyBorder="1" applyAlignment="1">
      <alignment horizontal="right"/>
    </xf>
    <xf numFmtId="0" fontId="28" fillId="2" borderId="0" xfId="0" applyFont="1" applyFill="1" applyBorder="1" applyAlignment="1">
      <alignment horizontal="right" wrapText="1"/>
    </xf>
    <xf numFmtId="0" fontId="0" fillId="2" borderId="0" xfId="0" applyFill="1" applyBorder="1" applyAlignment="1">
      <alignment horizontal="right"/>
    </xf>
    <xf numFmtId="3" fontId="0" fillId="2" borderId="0" xfId="0" applyNumberFormat="1" applyFill="1" applyBorder="1" applyAlignment="1">
      <alignment horizontal="right"/>
    </xf>
    <xf numFmtId="0" fontId="0" fillId="2" borderId="0" xfId="0" applyFill="1" applyAlignment="1">
      <alignment horizontal="right"/>
    </xf>
    <xf numFmtId="166" fontId="0" fillId="2" borderId="0" xfId="0" applyNumberFormat="1" applyFont="1" applyFill="1" applyBorder="1"/>
    <xf numFmtId="0" fontId="28" fillId="2" borderId="0" xfId="0" applyFont="1" applyFill="1" applyAlignment="1">
      <alignment horizontal="center" wrapText="1"/>
    </xf>
    <xf numFmtId="0" fontId="28" fillId="2" borderId="0" xfId="0" applyFont="1" applyFill="1" applyAlignment="1">
      <alignment horizontal="right" wrapText="1"/>
    </xf>
    <xf numFmtId="0" fontId="9" fillId="2" borderId="0" xfId="0" applyFont="1" applyFill="1"/>
    <xf numFmtId="1" fontId="0" fillId="3" borderId="0" xfId="0" applyNumberFormat="1" applyFill="1"/>
    <xf numFmtId="0" fontId="21" fillId="0" borderId="34" xfId="0" applyFont="1" applyFill="1" applyBorder="1"/>
    <xf numFmtId="0" fontId="36" fillId="0" borderId="0" xfId="0" applyFont="1" applyAlignment="1">
      <alignment horizontal="left" vertical="top" wrapText="1"/>
    </xf>
    <xf numFmtId="0" fontId="25" fillId="0" borderId="0" xfId="0" applyFont="1" applyAlignment="1">
      <alignment horizontal="center"/>
    </xf>
    <xf numFmtId="0" fontId="65" fillId="12" borderId="0" xfId="0" applyFont="1" applyFill="1" applyAlignment="1">
      <alignment horizontal="center" vertical="center" wrapText="1"/>
    </xf>
    <xf numFmtId="0" fontId="75" fillId="2" borderId="0" xfId="15" applyFont="1" applyFill="1"/>
    <xf numFmtId="0" fontId="74" fillId="2" borderId="0" xfId="15" applyFill="1"/>
    <xf numFmtId="0" fontId="74" fillId="0" borderId="0" xfId="15" applyNumberFormat="1" applyFont="1" applyFill="1" applyBorder="1" applyAlignment="1"/>
    <xf numFmtId="0" fontId="76" fillId="2" borderId="0" xfId="15" applyFont="1" applyFill="1"/>
    <xf numFmtId="0" fontId="77" fillId="2" borderId="0" xfId="15" applyFont="1" applyFill="1" applyAlignment="1">
      <alignment horizontal="center" vertical="center"/>
    </xf>
    <xf numFmtId="0" fontId="76" fillId="0" borderId="0" xfId="15" applyFont="1" applyFill="1" applyBorder="1" applyAlignment="1">
      <alignment horizontal="left" vertical="center" wrapText="1"/>
    </xf>
    <xf numFmtId="0" fontId="75" fillId="2" borderId="0" xfId="15" applyFont="1" applyFill="1" applyBorder="1" applyAlignment="1">
      <alignment horizontal="left" vertical="center"/>
    </xf>
    <xf numFmtId="0" fontId="78" fillId="13" borderId="35" xfId="15" applyFont="1" applyFill="1" applyBorder="1" applyAlignment="1">
      <alignment horizontal="center" vertical="center" wrapText="1"/>
    </xf>
    <xf numFmtId="0" fontId="78" fillId="13" borderId="36" xfId="15" applyFont="1" applyFill="1" applyBorder="1" applyAlignment="1">
      <alignment horizontal="center" vertical="center" wrapText="1"/>
    </xf>
    <xf numFmtId="0" fontId="78" fillId="13" borderId="37" xfId="15" applyFont="1" applyFill="1" applyBorder="1" applyAlignment="1">
      <alignment horizontal="center" vertical="center" wrapText="1"/>
    </xf>
    <xf numFmtId="0" fontId="80" fillId="14" borderId="35" xfId="15" applyFont="1" applyFill="1" applyBorder="1" applyAlignment="1">
      <alignment horizontal="center" vertical="center" wrapText="1"/>
    </xf>
    <xf numFmtId="3" fontId="80" fillId="14" borderId="35" xfId="15" applyNumberFormat="1" applyFont="1" applyFill="1" applyBorder="1" applyAlignment="1">
      <alignment horizontal="right" vertical="center" wrapText="1"/>
    </xf>
    <xf numFmtId="0" fontId="80" fillId="14" borderId="35" xfId="15" applyFont="1" applyFill="1" applyBorder="1" applyAlignment="1">
      <alignment horizontal="left" vertical="center"/>
    </xf>
    <xf numFmtId="3" fontId="80" fillId="14" borderId="35" xfId="15" applyNumberFormat="1" applyFont="1" applyFill="1" applyBorder="1" applyAlignment="1">
      <alignment horizontal="right" vertical="center"/>
    </xf>
    <xf numFmtId="166" fontId="80" fillId="14" borderId="35" xfId="15" applyNumberFormat="1" applyFont="1" applyFill="1" applyBorder="1" applyAlignment="1">
      <alignment horizontal="right" vertical="center"/>
    </xf>
    <xf numFmtId="0" fontId="78" fillId="5" borderId="35" xfId="15" applyFont="1" applyFill="1" applyBorder="1" applyAlignment="1">
      <alignment horizontal="left" vertical="center"/>
    </xf>
    <xf numFmtId="3" fontId="78" fillId="5" borderId="35" xfId="15" applyNumberFormat="1" applyFont="1" applyFill="1" applyBorder="1" applyAlignment="1">
      <alignment horizontal="right" vertical="center"/>
    </xf>
    <xf numFmtId="166" fontId="78" fillId="5" borderId="35" xfId="15" applyNumberFormat="1" applyFont="1" applyFill="1" applyBorder="1" applyAlignment="1">
      <alignment horizontal="right" vertical="center"/>
    </xf>
    <xf numFmtId="0" fontId="80" fillId="3" borderId="35" xfId="15" applyFont="1" applyFill="1" applyBorder="1" applyAlignment="1">
      <alignment horizontal="center" vertical="center" wrapText="1"/>
    </xf>
    <xf numFmtId="3" fontId="80" fillId="3" borderId="35" xfId="15" applyNumberFormat="1" applyFont="1" applyFill="1" applyBorder="1" applyAlignment="1">
      <alignment horizontal="right" vertical="center" wrapText="1"/>
    </xf>
    <xf numFmtId="0" fontId="80" fillId="14" borderId="0" xfId="15" applyFont="1" applyFill="1" applyBorder="1" applyAlignment="1">
      <alignment horizontal="center" vertical="center" wrapText="1"/>
    </xf>
    <xf numFmtId="3" fontId="80" fillId="14" borderId="0" xfId="15" applyNumberFormat="1" applyFont="1" applyFill="1" applyBorder="1" applyAlignment="1">
      <alignment horizontal="right" vertical="center" wrapText="1"/>
    </xf>
    <xf numFmtId="3" fontId="82" fillId="14" borderId="0" xfId="15" applyNumberFormat="1" applyFont="1" applyFill="1" applyBorder="1" applyAlignment="1">
      <alignment horizontal="right" vertical="center" wrapText="1"/>
    </xf>
    <xf numFmtId="0" fontId="85" fillId="2" borderId="0" xfId="15" applyFont="1" applyFill="1" applyAlignment="1">
      <alignment horizontal="left" vertical="center" indent="1"/>
    </xf>
    <xf numFmtId="0" fontId="80" fillId="14" borderId="41" xfId="15" applyFont="1" applyFill="1" applyBorder="1" applyAlignment="1">
      <alignment horizontal="center" vertical="center" wrapText="1"/>
    </xf>
    <xf numFmtId="3" fontId="80" fillId="14" borderId="41" xfId="15" applyNumberFormat="1" applyFont="1" applyFill="1" applyBorder="1" applyAlignment="1">
      <alignment horizontal="right" vertical="center" wrapText="1"/>
    </xf>
    <xf numFmtId="0" fontId="88" fillId="2" borderId="0" xfId="15" applyFont="1" applyFill="1"/>
    <xf numFmtId="0" fontId="80" fillId="3" borderId="41" xfId="15" applyFont="1" applyFill="1" applyBorder="1" applyAlignment="1">
      <alignment horizontal="center" vertical="center" wrapText="1"/>
    </xf>
    <xf numFmtId="3" fontId="80" fillId="3" borderId="41" xfId="15" applyNumberFormat="1" applyFont="1" applyFill="1" applyBorder="1" applyAlignment="1">
      <alignment horizontal="right" vertical="center" wrapText="1"/>
    </xf>
    <xf numFmtId="0" fontId="78" fillId="13" borderId="43" xfId="15" applyFont="1" applyFill="1" applyBorder="1" applyAlignment="1">
      <alignment horizontal="center" vertical="center" wrapText="1"/>
    </xf>
    <xf numFmtId="0" fontId="82" fillId="14" borderId="0" xfId="15" applyFont="1" applyFill="1" applyBorder="1" applyAlignment="1">
      <alignment horizontal="center" vertical="center" wrapText="1"/>
    </xf>
    <xf numFmtId="0" fontId="76" fillId="2" borderId="44" xfId="15" applyFont="1" applyFill="1" applyBorder="1" applyAlignment="1">
      <alignment vertical="center"/>
    </xf>
    <xf numFmtId="0" fontId="75" fillId="2" borderId="44" xfId="15" applyFont="1" applyFill="1" applyBorder="1" applyAlignment="1">
      <alignment vertical="center"/>
    </xf>
    <xf numFmtId="0" fontId="78" fillId="13" borderId="45" xfId="15" applyFont="1" applyFill="1" applyBorder="1" applyAlignment="1">
      <alignment horizontal="center" vertical="center" wrapText="1"/>
    </xf>
    <xf numFmtId="0" fontId="78" fillId="5" borderId="46" xfId="15" applyFont="1" applyFill="1" applyBorder="1" applyAlignment="1">
      <alignment horizontal="left" vertical="center" wrapText="1"/>
    </xf>
    <xf numFmtId="3" fontId="78" fillId="5" borderId="46" xfId="15" applyNumberFormat="1" applyFont="1" applyFill="1" applyBorder="1" applyAlignment="1">
      <alignment horizontal="right" vertical="center" wrapText="1"/>
    </xf>
    <xf numFmtId="165" fontId="78" fillId="5" borderId="46" xfId="15" applyNumberFormat="1" applyFont="1" applyFill="1" applyBorder="1" applyAlignment="1">
      <alignment horizontal="right" vertical="center" wrapText="1"/>
    </xf>
    <xf numFmtId="3" fontId="80" fillId="4" borderId="41" xfId="15" applyNumberFormat="1" applyFont="1" applyFill="1" applyBorder="1" applyAlignment="1">
      <alignment horizontal="left" vertical="center" wrapText="1"/>
    </xf>
    <xf numFmtId="3" fontId="80" fillId="4" borderId="41" xfId="15" applyNumberFormat="1" applyFont="1" applyFill="1" applyBorder="1" applyAlignment="1">
      <alignment horizontal="right" vertical="center" wrapText="1"/>
    </xf>
    <xf numFmtId="165" fontId="80" fillId="4" borderId="41" xfId="15" applyNumberFormat="1" applyFont="1" applyFill="1" applyBorder="1" applyAlignment="1">
      <alignment horizontal="right" vertical="center" wrapText="1"/>
    </xf>
    <xf numFmtId="3" fontId="93" fillId="4" borderId="41" xfId="15" applyNumberFormat="1" applyFont="1" applyFill="1" applyBorder="1" applyAlignment="1">
      <alignment horizontal="left" vertical="center" wrapText="1"/>
    </xf>
    <xf numFmtId="3" fontId="80" fillId="4" borderId="41" xfId="15" applyNumberFormat="1" applyFont="1" applyFill="1" applyBorder="1" applyAlignment="1">
      <alignment horizontal="left" vertical="center" wrapText="1" indent="2"/>
    </xf>
    <xf numFmtId="174" fontId="80" fillId="4" borderId="41" xfId="15" applyNumberFormat="1" applyFont="1" applyFill="1" applyBorder="1" applyAlignment="1">
      <alignment horizontal="right" vertical="center" wrapText="1"/>
    </xf>
    <xf numFmtId="3" fontId="80" fillId="4" borderId="41" xfId="15" applyNumberFormat="1" applyFont="1" applyFill="1" applyBorder="1" applyAlignment="1">
      <alignment horizontal="left" vertical="center" wrapText="1" indent="3"/>
    </xf>
    <xf numFmtId="174" fontId="80" fillId="4" borderId="47" xfId="15" applyNumberFormat="1" applyFont="1" applyFill="1" applyBorder="1" applyAlignment="1">
      <alignment horizontal="right" vertical="center" wrapText="1"/>
    </xf>
    <xf numFmtId="165" fontId="80" fillId="4" borderId="47" xfId="15" applyNumberFormat="1" applyFont="1" applyFill="1" applyBorder="1" applyAlignment="1">
      <alignment horizontal="right" vertical="center" wrapText="1"/>
    </xf>
    <xf numFmtId="1" fontId="80" fillId="4" borderId="47" xfId="15" applyNumberFormat="1" applyFont="1" applyFill="1" applyBorder="1" applyAlignment="1">
      <alignment horizontal="right" vertical="center" wrapText="1"/>
    </xf>
    <xf numFmtId="3" fontId="80" fillId="4" borderId="47" xfId="15" applyNumberFormat="1" applyFont="1" applyFill="1" applyBorder="1" applyAlignment="1">
      <alignment horizontal="right" vertical="center" wrapText="1"/>
    </xf>
    <xf numFmtId="4" fontId="80" fillId="4" borderId="47" xfId="15" applyNumberFormat="1" applyFont="1" applyFill="1" applyBorder="1" applyAlignment="1">
      <alignment horizontal="right" vertical="center" wrapText="1"/>
    </xf>
    <xf numFmtId="164" fontId="80" fillId="4" borderId="41" xfId="15" applyNumberFormat="1" applyFont="1" applyFill="1" applyBorder="1" applyAlignment="1">
      <alignment horizontal="right" vertical="center" wrapText="1"/>
    </xf>
    <xf numFmtId="0" fontId="75" fillId="2" borderId="44" xfId="15" applyFont="1" applyFill="1" applyBorder="1" applyAlignment="1">
      <alignment horizontal="left" vertical="center"/>
    </xf>
    <xf numFmtId="0" fontId="75" fillId="2" borderId="0" xfId="15" applyFont="1" applyFill="1" applyAlignment="1">
      <alignment horizontal="left" vertical="center"/>
    </xf>
    <xf numFmtId="0" fontId="75" fillId="2" borderId="0" xfId="15" applyFont="1" applyFill="1" applyBorder="1" applyAlignment="1">
      <alignment horizontal="center"/>
    </xf>
    <xf numFmtId="0" fontId="76" fillId="2" borderId="0" xfId="15" applyFont="1" applyFill="1" applyAlignment="1">
      <alignment vertical="center"/>
    </xf>
    <xf numFmtId="0" fontId="94" fillId="2" borderId="0" xfId="15" applyFont="1" applyFill="1"/>
    <xf numFmtId="0" fontId="78" fillId="5" borderId="46" xfId="15" applyFont="1" applyFill="1" applyBorder="1" applyAlignment="1">
      <alignment horizontal="center" vertical="center" wrapText="1"/>
    </xf>
    <xf numFmtId="3" fontId="80" fillId="4" borderId="47" xfId="15" applyNumberFormat="1" applyFont="1" applyFill="1" applyBorder="1" applyAlignment="1">
      <alignment horizontal="left" vertical="center" wrapText="1"/>
    </xf>
    <xf numFmtId="1" fontId="80" fillId="4" borderId="41" xfId="15" applyNumberFormat="1" applyFont="1" applyFill="1" applyBorder="1" applyAlignment="1">
      <alignment horizontal="right" vertical="center" wrapText="1"/>
    </xf>
    <xf numFmtId="3" fontId="78" fillId="5" borderId="41" xfId="15" applyNumberFormat="1" applyFont="1" applyFill="1" applyBorder="1" applyAlignment="1">
      <alignment horizontal="right" vertical="center" wrapText="1"/>
    </xf>
    <xf numFmtId="165" fontId="78" fillId="5" borderId="41" xfId="15" applyNumberFormat="1" applyFont="1" applyFill="1" applyBorder="1" applyAlignment="1">
      <alignment horizontal="right" vertical="center" wrapText="1"/>
    </xf>
    <xf numFmtId="0" fontId="30" fillId="0" borderId="0" xfId="16" applyNumberFormat="1" applyFont="1" applyFill="1" applyBorder="1" applyAlignment="1"/>
    <xf numFmtId="0" fontId="29" fillId="0" borderId="0" xfId="16" applyNumberFormat="1" applyFont="1" applyFill="1" applyBorder="1" applyAlignment="1"/>
    <xf numFmtId="4" fontId="30" fillId="0" borderId="0" xfId="16" applyNumberFormat="1" applyFont="1" applyFill="1" applyBorder="1" applyAlignment="1"/>
    <xf numFmtId="4" fontId="29" fillId="0" borderId="0" xfId="16" applyNumberFormat="1" applyFont="1" applyFill="1" applyBorder="1" applyAlignment="1"/>
    <xf numFmtId="4" fontId="29" fillId="3" borderId="0" xfId="16" applyNumberFormat="1" applyFont="1" applyFill="1" applyBorder="1" applyAlignment="1"/>
    <xf numFmtId="167" fontId="29" fillId="0" borderId="0" xfId="17" applyNumberFormat="1" applyFont="1" applyFill="1" applyBorder="1" applyAlignment="1"/>
    <xf numFmtId="167" fontId="29" fillId="0" borderId="0" xfId="16" applyNumberFormat="1" applyFont="1" applyFill="1" applyBorder="1" applyAlignment="1"/>
    <xf numFmtId="3" fontId="8" fillId="8" borderId="0" xfId="0" applyNumberFormat="1" applyFont="1" applyFill="1" applyAlignment="1">
      <alignment horizontal="center" vertical="center"/>
    </xf>
    <xf numFmtId="176" fontId="65" fillId="0" borderId="5" xfId="0" applyNumberFormat="1" applyFont="1" applyFill="1" applyBorder="1"/>
    <xf numFmtId="0" fontId="7" fillId="0" borderId="6" xfId="0" applyFont="1" applyFill="1" applyBorder="1"/>
    <xf numFmtId="0" fontId="7" fillId="0" borderId="15" xfId="0" applyFont="1" applyFill="1" applyBorder="1"/>
    <xf numFmtId="0" fontId="65" fillId="0" borderId="0" xfId="0" applyFont="1" applyFill="1" applyBorder="1" applyAlignment="1">
      <alignment horizontal="center"/>
    </xf>
    <xf numFmtId="176" fontId="0" fillId="0" borderId="0" xfId="0" applyNumberFormat="1" applyBorder="1"/>
    <xf numFmtId="0" fontId="65" fillId="0" borderId="33" xfId="0" applyFont="1" applyFill="1" applyBorder="1"/>
    <xf numFmtId="0" fontId="7" fillId="0" borderId="4" xfId="0" applyFont="1" applyFill="1" applyBorder="1"/>
    <xf numFmtId="0" fontId="65" fillId="0" borderId="5" xfId="0" applyFont="1" applyFill="1" applyBorder="1"/>
    <xf numFmtId="0" fontId="65" fillId="0" borderId="4" xfId="0" applyFont="1" applyFill="1" applyBorder="1"/>
    <xf numFmtId="0" fontId="21" fillId="2" borderId="0" xfId="0" applyFont="1" applyFill="1" applyBorder="1"/>
    <xf numFmtId="166" fontId="21" fillId="2" borderId="0" xfId="0" applyNumberFormat="1" applyFont="1" applyFill="1" applyBorder="1"/>
    <xf numFmtId="0" fontId="67" fillId="2" borderId="0" xfId="0" applyFont="1" applyFill="1" applyAlignment="1">
      <alignment horizontal="left" vertical="top" wrapText="1"/>
    </xf>
    <xf numFmtId="0" fontId="25" fillId="2" borderId="0" xfId="0" applyFont="1" applyFill="1" applyBorder="1"/>
    <xf numFmtId="0" fontId="39" fillId="2" borderId="0" xfId="1" applyFont="1" applyFill="1" applyBorder="1" applyAlignment="1">
      <alignment wrapText="1"/>
    </xf>
    <xf numFmtId="0" fontId="39" fillId="2" borderId="5" xfId="1" applyFont="1" applyFill="1" applyBorder="1" applyAlignment="1">
      <alignment wrapText="1"/>
    </xf>
    <xf numFmtId="0" fontId="21" fillId="2" borderId="5" xfId="0" applyFont="1" applyFill="1" applyBorder="1"/>
    <xf numFmtId="0" fontId="39" fillId="2" borderId="14" xfId="1" applyFont="1" applyFill="1" applyBorder="1" applyAlignment="1">
      <alignment wrapText="1"/>
    </xf>
    <xf numFmtId="166" fontId="47" fillId="2" borderId="0" xfId="0" applyNumberFormat="1" applyFont="1" applyFill="1" applyBorder="1"/>
    <xf numFmtId="166" fontId="25" fillId="2" borderId="0" xfId="0" applyNumberFormat="1" applyFont="1" applyFill="1" applyBorder="1"/>
    <xf numFmtId="0" fontId="25" fillId="2" borderId="33" xfId="0" applyFont="1" applyFill="1" applyBorder="1"/>
    <xf numFmtId="1" fontId="12" fillId="2" borderId="0" xfId="0" applyNumberFormat="1" applyFont="1" applyFill="1" applyBorder="1"/>
    <xf numFmtId="166" fontId="12" fillId="2" borderId="0" xfId="0" applyNumberFormat="1" applyFont="1" applyFill="1" applyBorder="1"/>
    <xf numFmtId="1" fontId="12" fillId="2" borderId="0" xfId="0" applyNumberFormat="1" applyFont="1" applyFill="1" applyBorder="1" applyAlignment="1">
      <alignment wrapText="1"/>
    </xf>
    <xf numFmtId="1" fontId="12" fillId="2" borderId="34" xfId="0" applyNumberFormat="1" applyFont="1" applyFill="1" applyBorder="1" applyAlignment="1">
      <alignment wrapText="1"/>
    </xf>
    <xf numFmtId="1" fontId="21" fillId="2" borderId="0" xfId="0" applyNumberFormat="1" applyFont="1" applyFill="1" applyBorder="1"/>
    <xf numFmtId="0" fontId="21" fillId="2" borderId="34" xfId="0" applyFont="1" applyFill="1" applyBorder="1"/>
    <xf numFmtId="0" fontId="25" fillId="2" borderId="6" xfId="0" applyFont="1" applyFill="1" applyBorder="1"/>
    <xf numFmtId="2" fontId="25" fillId="2" borderId="4" xfId="0" applyNumberFormat="1" applyFont="1" applyFill="1" applyBorder="1"/>
    <xf numFmtId="0" fontId="25" fillId="2" borderId="4" xfId="0" applyFont="1" applyFill="1" applyBorder="1" applyAlignment="1">
      <alignment wrapText="1"/>
    </xf>
    <xf numFmtId="0" fontId="25" fillId="2" borderId="15" xfId="0" applyFont="1" applyFill="1" applyBorder="1" applyAlignment="1">
      <alignment wrapText="1"/>
    </xf>
    <xf numFmtId="165" fontId="47" fillId="2" borderId="0" xfId="0" applyNumberFormat="1" applyFont="1" applyFill="1" applyBorder="1"/>
    <xf numFmtId="0" fontId="25" fillId="2" borderId="0" xfId="0" applyFont="1" applyFill="1" applyBorder="1" applyAlignment="1">
      <alignment wrapText="1"/>
    </xf>
    <xf numFmtId="0" fontId="47" fillId="2" borderId="0" xfId="0" applyFont="1" applyFill="1" applyBorder="1" applyAlignment="1">
      <alignment wrapText="1"/>
    </xf>
    <xf numFmtId="0" fontId="47" fillId="2" borderId="0" xfId="0" applyFont="1" applyFill="1" applyBorder="1"/>
    <xf numFmtId="0" fontId="47" fillId="2" borderId="0" xfId="0" applyFont="1" applyFill="1"/>
    <xf numFmtId="0" fontId="42" fillId="2" borderId="0" xfId="0" applyFont="1" applyFill="1"/>
    <xf numFmtId="166" fontId="39" fillId="2" borderId="13" xfId="0" applyNumberFormat="1" applyFont="1" applyFill="1" applyBorder="1"/>
    <xf numFmtId="0" fontId="39" fillId="2" borderId="5" xfId="0" applyFont="1" applyFill="1" applyBorder="1"/>
    <xf numFmtId="165" fontId="68" fillId="2" borderId="14" xfId="0" applyNumberFormat="1" applyFont="1" applyFill="1" applyBorder="1" applyAlignment="1"/>
    <xf numFmtId="166" fontId="47" fillId="2" borderId="33" xfId="0" applyNumberFormat="1" applyFont="1" applyFill="1" applyBorder="1"/>
    <xf numFmtId="0" fontId="39" fillId="2" borderId="34" xfId="1" applyFont="1" applyFill="1" applyBorder="1" applyAlignment="1">
      <alignment wrapText="1"/>
    </xf>
    <xf numFmtId="0" fontId="39" fillId="2" borderId="0" xfId="0" applyFont="1" applyFill="1" applyBorder="1"/>
    <xf numFmtId="3" fontId="39" fillId="2" borderId="4" xfId="0" applyNumberFormat="1" applyFont="1" applyFill="1" applyBorder="1"/>
    <xf numFmtId="3" fontId="47" fillId="2" borderId="4" xfId="0" applyNumberFormat="1" applyFont="1" applyFill="1" applyBorder="1"/>
    <xf numFmtId="3" fontId="47" fillId="2" borderId="15" xfId="0" applyNumberFormat="1" applyFont="1" applyFill="1" applyBorder="1"/>
    <xf numFmtId="165" fontId="68" fillId="2" borderId="0" xfId="0" applyNumberFormat="1" applyFont="1" applyFill="1" applyBorder="1" applyAlignment="1"/>
    <xf numFmtId="2" fontId="47" fillId="2" borderId="0" xfId="0" applyNumberFormat="1" applyFont="1" applyFill="1"/>
    <xf numFmtId="165" fontId="28" fillId="2" borderId="0" xfId="0" applyNumberFormat="1" applyFont="1" applyFill="1" applyBorder="1" applyAlignment="1">
      <alignment wrapText="1"/>
    </xf>
    <xf numFmtId="3" fontId="39" fillId="2" borderId="0" xfId="0" applyNumberFormat="1" applyFont="1" applyFill="1" applyBorder="1"/>
    <xf numFmtId="3" fontId="47" fillId="2" borderId="0" xfId="0" applyNumberFormat="1" applyFont="1" applyFill="1" applyBorder="1"/>
    <xf numFmtId="3" fontId="39" fillId="2" borderId="0" xfId="0" applyNumberFormat="1" applyFont="1" applyFill="1"/>
    <xf numFmtId="166" fontId="39" fillId="2" borderId="0" xfId="0" applyNumberFormat="1" applyFont="1" applyFill="1" applyBorder="1"/>
    <xf numFmtId="165" fontId="39" fillId="2" borderId="0" xfId="0" applyNumberFormat="1" applyFont="1" applyFill="1" applyBorder="1"/>
    <xf numFmtId="3" fontId="21" fillId="2" borderId="0" xfId="0" applyNumberFormat="1" applyFont="1" applyFill="1" applyBorder="1"/>
    <xf numFmtId="3" fontId="25" fillId="2" borderId="0" xfId="0" applyNumberFormat="1" applyFont="1" applyFill="1" applyBorder="1"/>
    <xf numFmtId="0" fontId="47" fillId="2" borderId="0" xfId="1" applyFont="1" applyFill="1" applyBorder="1"/>
    <xf numFmtId="167" fontId="21" fillId="2" borderId="0" xfId="11" applyNumberFormat="1" applyFont="1" applyFill="1" applyBorder="1"/>
    <xf numFmtId="2" fontId="21" fillId="2" borderId="0" xfId="0" applyNumberFormat="1" applyFont="1" applyFill="1" applyBorder="1"/>
    <xf numFmtId="9" fontId="21" fillId="2" borderId="0" xfId="11" applyFont="1" applyFill="1" applyBorder="1"/>
    <xf numFmtId="0" fontId="11" fillId="2" borderId="0" xfId="0" applyFont="1" applyFill="1" applyBorder="1" applyAlignment="1">
      <alignment wrapText="1"/>
    </xf>
    <xf numFmtId="0" fontId="11" fillId="2" borderId="0" xfId="0" applyFont="1" applyFill="1" applyBorder="1"/>
    <xf numFmtId="0" fontId="11" fillId="2" borderId="13" xfId="0" applyFont="1" applyFill="1" applyBorder="1"/>
    <xf numFmtId="0" fontId="11" fillId="2" borderId="5" xfId="0" applyFont="1" applyFill="1" applyBorder="1"/>
    <xf numFmtId="0" fontId="11" fillId="2" borderId="14" xfId="0" applyFont="1" applyFill="1" applyBorder="1"/>
    <xf numFmtId="0" fontId="25" fillId="2" borderId="0" xfId="1" applyFont="1" applyFill="1" applyBorder="1"/>
    <xf numFmtId="175" fontId="47" fillId="2" borderId="0" xfId="0" applyNumberFormat="1" applyFont="1" applyFill="1" applyBorder="1"/>
    <xf numFmtId="166" fontId="47" fillId="2" borderId="34" xfId="0" applyNumberFormat="1" applyFont="1" applyFill="1" applyBorder="1"/>
    <xf numFmtId="0" fontId="25" fillId="2" borderId="0" xfId="0" applyFont="1" applyFill="1" applyAlignment="1">
      <alignment wrapText="1"/>
    </xf>
    <xf numFmtId="0" fontId="48" fillId="2" borderId="0" xfId="0" applyFont="1" applyFill="1"/>
    <xf numFmtId="165" fontId="21" fillId="2" borderId="0" xfId="0" applyNumberFormat="1" applyFont="1" applyFill="1" applyBorder="1"/>
    <xf numFmtId="165" fontId="47" fillId="2" borderId="33" xfId="0" applyNumberFormat="1" applyFont="1" applyFill="1" applyBorder="1"/>
    <xf numFmtId="171" fontId="47" fillId="2" borderId="0" xfId="0" applyNumberFormat="1" applyFont="1" applyFill="1" applyBorder="1"/>
    <xf numFmtId="165" fontId="47" fillId="2" borderId="34" xfId="0" applyNumberFormat="1" applyFont="1" applyFill="1" applyBorder="1"/>
    <xf numFmtId="0" fontId="21" fillId="2" borderId="0" xfId="0" applyFont="1" applyFill="1" applyAlignment="1">
      <alignment horizontal="left"/>
    </xf>
    <xf numFmtId="165" fontId="21" fillId="2" borderId="0" xfId="0" applyNumberFormat="1" applyFont="1" applyFill="1"/>
    <xf numFmtId="166" fontId="25" fillId="2" borderId="0" xfId="1" applyNumberFormat="1" applyFont="1" applyFill="1" applyBorder="1"/>
    <xf numFmtId="166" fontId="48" fillId="2" borderId="0" xfId="0" applyNumberFormat="1" applyFont="1" applyFill="1"/>
    <xf numFmtId="0" fontId="39" fillId="2" borderId="0" xfId="1" applyFont="1" applyFill="1" applyBorder="1"/>
    <xf numFmtId="0" fontId="7" fillId="2" borderId="6" xfId="0" applyFont="1" applyFill="1" applyBorder="1"/>
    <xf numFmtId="165" fontId="47" fillId="2" borderId="4" xfId="0" applyNumberFormat="1" applyFont="1" applyFill="1" applyBorder="1"/>
    <xf numFmtId="171" fontId="47" fillId="2" borderId="4" xfId="0" applyNumberFormat="1" applyFont="1" applyFill="1" applyBorder="1"/>
    <xf numFmtId="0" fontId="7" fillId="2" borderId="15" xfId="0" applyFont="1" applyFill="1" applyBorder="1"/>
    <xf numFmtId="0" fontId="21" fillId="2" borderId="0" xfId="0" applyFont="1" applyFill="1" applyAlignment="1">
      <alignment horizontal="left" indent="1"/>
    </xf>
    <xf numFmtId="2" fontId="25" fillId="2" borderId="0" xfId="0" applyNumberFormat="1" applyFont="1" applyFill="1"/>
    <xf numFmtId="166" fontId="35" fillId="2" borderId="0" xfId="0" applyNumberFormat="1" applyFont="1" applyFill="1"/>
    <xf numFmtId="0" fontId="21" fillId="2" borderId="0" xfId="1" applyFont="1" applyFill="1" applyBorder="1" applyAlignment="1">
      <alignment wrapText="1"/>
    </xf>
    <xf numFmtId="165" fontId="25" fillId="2" borderId="0" xfId="0" applyNumberFormat="1" applyFont="1" applyFill="1" applyBorder="1"/>
    <xf numFmtId="166" fontId="21" fillId="2" borderId="0" xfId="0" applyNumberFormat="1" applyFont="1" applyFill="1"/>
    <xf numFmtId="165" fontId="21" fillId="2" borderId="0" xfId="1" applyNumberFormat="1" applyFont="1" applyFill="1" applyBorder="1"/>
    <xf numFmtId="165" fontId="25" fillId="2" borderId="0" xfId="1" applyNumberFormat="1" applyFont="1" applyFill="1" applyBorder="1"/>
    <xf numFmtId="166" fontId="21" fillId="2" borderId="0" xfId="1" applyNumberFormat="1" applyFont="1" applyFill="1" applyBorder="1"/>
    <xf numFmtId="0" fontId="21" fillId="2" borderId="0" xfId="1" applyFont="1" applyFill="1" applyBorder="1"/>
    <xf numFmtId="166" fontId="21" fillId="2" borderId="0" xfId="1" applyNumberFormat="1" applyFont="1" applyFill="1" applyBorder="1" applyAlignment="1">
      <alignment wrapText="1"/>
    </xf>
    <xf numFmtId="0" fontId="25" fillId="2" borderId="51" xfId="0" applyFont="1" applyFill="1" applyBorder="1" applyAlignment="1">
      <alignment wrapText="1"/>
    </xf>
    <xf numFmtId="0" fontId="39" fillId="2" borderId="52" xfId="1" applyFont="1" applyFill="1" applyBorder="1" applyAlignment="1">
      <alignment wrapText="1"/>
    </xf>
    <xf numFmtId="0" fontId="39" fillId="2" borderId="53" xfId="1" applyFont="1" applyFill="1" applyBorder="1" applyAlignment="1">
      <alignment wrapText="1"/>
    </xf>
    <xf numFmtId="166" fontId="47" fillId="2" borderId="54" xfId="0" applyNumberFormat="1" applyFont="1" applyFill="1" applyBorder="1"/>
    <xf numFmtId="3" fontId="39" fillId="2" borderId="55" xfId="0" applyNumberFormat="1" applyFont="1" applyFill="1" applyBorder="1"/>
    <xf numFmtId="165" fontId="47" fillId="2" borderId="54" xfId="0" applyNumberFormat="1" applyFont="1" applyFill="1" applyBorder="1"/>
    <xf numFmtId="0" fontId="42" fillId="2" borderId="54" xfId="0" applyFont="1" applyFill="1" applyBorder="1"/>
    <xf numFmtId="0" fontId="47" fillId="2" borderId="54" xfId="0" applyFont="1" applyFill="1" applyBorder="1"/>
    <xf numFmtId="2" fontId="47" fillId="2" borderId="54" xfId="0" applyNumberFormat="1" applyFont="1" applyFill="1" applyBorder="1"/>
    <xf numFmtId="0" fontId="25" fillId="2" borderId="54" xfId="0" applyFont="1" applyFill="1" applyBorder="1"/>
    <xf numFmtId="0" fontId="21" fillId="2" borderId="56" xfId="0" applyFont="1" applyFill="1" applyBorder="1"/>
    <xf numFmtId="0" fontId="21" fillId="2" borderId="57" xfId="0" applyFont="1" applyFill="1" applyBorder="1"/>
    <xf numFmtId="166" fontId="21" fillId="2" borderId="57" xfId="0" applyNumberFormat="1" applyFont="1" applyFill="1" applyBorder="1"/>
    <xf numFmtId="166" fontId="21" fillId="2" borderId="58" xfId="0" applyNumberFormat="1" applyFont="1" applyFill="1" applyBorder="1"/>
    <xf numFmtId="177" fontId="0" fillId="2" borderId="0" xfId="0" applyNumberFormat="1" applyFill="1"/>
    <xf numFmtId="2" fontId="0" fillId="2" borderId="0" xfId="0" applyNumberFormat="1" applyFont="1" applyFill="1" applyBorder="1" applyAlignment="1">
      <alignment horizontal="right"/>
    </xf>
    <xf numFmtId="4" fontId="0" fillId="2" borderId="0" xfId="0" applyNumberFormat="1" applyFill="1"/>
    <xf numFmtId="4" fontId="28" fillId="2" borderId="0" xfId="0" applyNumberFormat="1" applyFont="1" applyFill="1"/>
    <xf numFmtId="177" fontId="0" fillId="0" borderId="0" xfId="0" applyNumberFormat="1" applyAlignment="1">
      <alignment horizontal="center" vertical="center"/>
    </xf>
    <xf numFmtId="0" fontId="6" fillId="0" borderId="0" xfId="0" applyFont="1" applyAlignment="1">
      <alignment horizontal="left" vertical="center"/>
    </xf>
    <xf numFmtId="0" fontId="6" fillId="0" borderId="0" xfId="0" applyFont="1"/>
    <xf numFmtId="3" fontId="21" fillId="0" borderId="0" xfId="0" applyNumberFormat="1" applyFont="1" applyFill="1" applyBorder="1"/>
    <xf numFmtId="0" fontId="36" fillId="2" borderId="13" xfId="0" applyFont="1" applyFill="1" applyBorder="1"/>
    <xf numFmtId="0" fontId="67" fillId="2" borderId="0" xfId="0" applyFont="1" applyFill="1" applyAlignment="1">
      <alignment vertical="top" wrapText="1"/>
    </xf>
    <xf numFmtId="167" fontId="0" fillId="2" borderId="0" xfId="11" applyNumberFormat="1" applyFont="1" applyFill="1" applyBorder="1"/>
    <xf numFmtId="0" fontId="97" fillId="11" borderId="0" xfId="0" applyFont="1" applyFill="1" applyBorder="1" applyAlignment="1">
      <alignment horizontal="center" vertical="center" wrapText="1"/>
    </xf>
    <xf numFmtId="0" fontId="0" fillId="2" borderId="0" xfId="0" applyFill="1" applyBorder="1" applyAlignment="1">
      <alignment horizontal="left"/>
    </xf>
    <xf numFmtId="0" fontId="0" fillId="2" borderId="0" xfId="0" applyFill="1" applyBorder="1" applyAlignment="1">
      <alignment horizontal="left" wrapText="1"/>
    </xf>
    <xf numFmtId="0" fontId="25" fillId="2" borderId="0" xfId="0" applyFont="1" applyFill="1" applyBorder="1" applyAlignment="1">
      <alignment horizontal="left"/>
    </xf>
    <xf numFmtId="3" fontId="47" fillId="2" borderId="0" xfId="0" applyNumberFormat="1" applyFont="1" applyFill="1" applyAlignment="1">
      <alignment vertical="top" wrapText="1"/>
    </xf>
    <xf numFmtId="0" fontId="47" fillId="2" borderId="0" xfId="0" applyFont="1" applyFill="1" applyAlignment="1">
      <alignment vertical="top" wrapText="1"/>
    </xf>
    <xf numFmtId="2" fontId="47" fillId="9" borderId="0" xfId="0" applyNumberFormat="1" applyFont="1" applyFill="1"/>
    <xf numFmtId="0" fontId="21" fillId="9" borderId="0" xfId="0" applyFont="1" applyFill="1"/>
    <xf numFmtId="0" fontId="25" fillId="9" borderId="0" xfId="0" applyFont="1" applyFill="1"/>
    <xf numFmtId="166" fontId="39" fillId="9" borderId="0" xfId="0" applyNumberFormat="1" applyFont="1" applyFill="1" applyBorder="1"/>
    <xf numFmtId="0" fontId="39" fillId="9" borderId="0" xfId="1" applyFont="1" applyFill="1" applyBorder="1" applyAlignment="1">
      <alignment wrapText="1"/>
    </xf>
    <xf numFmtId="165" fontId="39" fillId="9" borderId="0" xfId="0" applyNumberFormat="1" applyFont="1" applyFill="1" applyBorder="1"/>
    <xf numFmtId="0" fontId="21" fillId="9" borderId="0" xfId="0" applyFont="1" applyFill="1" applyBorder="1"/>
    <xf numFmtId="0" fontId="42" fillId="9" borderId="0" xfId="0" applyFont="1" applyFill="1"/>
    <xf numFmtId="166" fontId="47" fillId="9" borderId="0" xfId="0" applyNumberFormat="1" applyFont="1" applyFill="1" applyBorder="1"/>
    <xf numFmtId="167" fontId="47" fillId="9" borderId="0" xfId="11" applyNumberFormat="1" applyFont="1" applyFill="1" applyBorder="1"/>
    <xf numFmtId="165" fontId="47" fillId="9" borderId="0" xfId="0" applyNumberFormat="1" applyFont="1" applyFill="1" applyBorder="1"/>
    <xf numFmtId="0" fontId="47" fillId="9" borderId="0" xfId="0" applyFont="1" applyFill="1"/>
    <xf numFmtId="167" fontId="39" fillId="9" borderId="0" xfId="0" applyNumberFormat="1" applyFont="1" applyFill="1" applyBorder="1"/>
    <xf numFmtId="0" fontId="47" fillId="9" borderId="0" xfId="0" applyFont="1" applyFill="1" applyBorder="1"/>
    <xf numFmtId="166" fontId="21" fillId="3" borderId="0" xfId="0" applyNumberFormat="1" applyFont="1" applyFill="1" applyBorder="1"/>
    <xf numFmtId="2" fontId="21" fillId="3" borderId="0" xfId="0" applyNumberFormat="1" applyFont="1" applyFill="1" applyBorder="1"/>
    <xf numFmtId="0" fontId="5" fillId="0" borderId="0" xfId="0" applyFont="1" applyFill="1" applyBorder="1" applyAlignment="1">
      <alignment wrapText="1"/>
    </xf>
    <xf numFmtId="1" fontId="21" fillId="3" borderId="0" xfId="0" applyNumberFormat="1" applyFont="1" applyFill="1" applyBorder="1"/>
    <xf numFmtId="3" fontId="0" fillId="0" borderId="0" xfId="0" applyNumberFormat="1" applyFill="1"/>
    <xf numFmtId="9" fontId="0" fillId="0" borderId="0" xfId="11" applyFont="1"/>
    <xf numFmtId="178" fontId="0" fillId="2" borderId="0" xfId="0" applyNumberFormat="1" applyFill="1" applyBorder="1" applyAlignment="1">
      <alignment horizontal="right"/>
    </xf>
    <xf numFmtId="179" fontId="21" fillId="2" borderId="0" xfId="0" applyNumberFormat="1" applyFont="1" applyFill="1" applyBorder="1"/>
    <xf numFmtId="4" fontId="0" fillId="2" borderId="0" xfId="0" applyNumberFormat="1" applyFill="1" applyBorder="1"/>
    <xf numFmtId="180" fontId="21" fillId="2" borderId="0" xfId="0" applyNumberFormat="1" applyFont="1" applyFill="1" applyBorder="1"/>
    <xf numFmtId="181" fontId="21" fillId="2" borderId="0" xfId="11" applyNumberFormat="1" applyFont="1" applyFill="1" applyBorder="1"/>
    <xf numFmtId="0" fontId="4" fillId="0" borderId="0" xfId="0" applyFont="1" applyFill="1" applyBorder="1"/>
    <xf numFmtId="0" fontId="4" fillId="2" borderId="0" xfId="1" applyFont="1" applyFill="1" applyBorder="1"/>
    <xf numFmtId="0" fontId="60" fillId="2" borderId="0" xfId="0" applyFont="1" applyFill="1" applyAlignment="1">
      <alignment horizontal="center"/>
    </xf>
    <xf numFmtId="0" fontId="60" fillId="2" borderId="0" xfId="0" applyFont="1" applyFill="1" applyAlignment="1">
      <alignment horizontal="center" wrapText="1"/>
    </xf>
    <xf numFmtId="0" fontId="53" fillId="2" borderId="59" xfId="1" applyFont="1" applyFill="1" applyBorder="1"/>
    <xf numFmtId="3" fontId="53" fillId="2" borderId="60" xfId="0" applyNumberFormat="1" applyFont="1" applyFill="1" applyBorder="1"/>
    <xf numFmtId="3" fontId="60" fillId="2" borderId="60" xfId="0" applyNumberFormat="1" applyFont="1" applyFill="1" applyBorder="1"/>
    <xf numFmtId="3" fontId="53" fillId="2" borderId="61" xfId="0" applyNumberFormat="1" applyFont="1" applyFill="1" applyBorder="1"/>
    <xf numFmtId="0" fontId="53" fillId="2" borderId="62" xfId="0" applyFont="1" applyFill="1" applyBorder="1"/>
    <xf numFmtId="3" fontId="53" fillId="2" borderId="0" xfId="0" applyNumberFormat="1" applyFont="1" applyFill="1"/>
    <xf numFmtId="3" fontId="60" fillId="2" borderId="0" xfId="0" applyNumberFormat="1" applyFont="1" applyFill="1"/>
    <xf numFmtId="3" fontId="53" fillId="2" borderId="63" xfId="0" applyNumberFormat="1" applyFont="1" applyFill="1" applyBorder="1"/>
    <xf numFmtId="165" fontId="53" fillId="2" borderId="62" xfId="0" applyNumberFormat="1" applyFont="1" applyFill="1" applyBorder="1"/>
    <xf numFmtId="0" fontId="60" fillId="2" borderId="64" xfId="0" applyFont="1" applyFill="1" applyBorder="1"/>
    <xf numFmtId="3" fontId="60" fillId="2" borderId="65" xfId="0" applyNumberFormat="1" applyFont="1" applyFill="1" applyBorder="1"/>
    <xf numFmtId="3" fontId="60" fillId="2" borderId="66" xfId="0" applyNumberFormat="1" applyFont="1" applyFill="1" applyBorder="1"/>
    <xf numFmtId="167" fontId="0" fillId="0" borderId="0" xfId="11" applyNumberFormat="1" applyFont="1"/>
    <xf numFmtId="0" fontId="0" fillId="0" borderId="0" xfId="0" applyAlignment="1">
      <alignment horizontal="left"/>
    </xf>
    <xf numFmtId="0" fontId="53" fillId="0" borderId="0" xfId="0" applyFont="1" applyAlignment="1">
      <alignment horizontal="left"/>
    </xf>
    <xf numFmtId="3" fontId="53" fillId="0" borderId="0" xfId="0" applyNumberFormat="1" applyFont="1" applyAlignment="1">
      <alignment wrapText="1"/>
    </xf>
    <xf numFmtId="0" fontId="53" fillId="0" borderId="0" xfId="0" applyFont="1" applyAlignment="1">
      <alignment horizontal="left" indent="1"/>
    </xf>
    <xf numFmtId="4" fontId="0" fillId="0" borderId="0" xfId="0" applyNumberFormat="1"/>
    <xf numFmtId="165" fontId="53" fillId="2" borderId="0" xfId="0" applyNumberFormat="1" applyFont="1" applyFill="1" applyAlignment="1">
      <alignment wrapText="1"/>
    </xf>
    <xf numFmtId="165" fontId="53" fillId="0" borderId="0" xfId="0" applyNumberFormat="1" applyFont="1" applyAlignment="1">
      <alignment wrapText="1"/>
    </xf>
    <xf numFmtId="0" fontId="53" fillId="0" borderId="0" xfId="0" pivotButton="1" applyFont="1"/>
    <xf numFmtId="0" fontId="53" fillId="0" borderId="0" xfId="0" pivotButton="1" applyFont="1" applyAlignment="1">
      <alignment wrapText="1"/>
    </xf>
    <xf numFmtId="0" fontId="36" fillId="0" borderId="0" xfId="0" applyFont="1" applyAlignment="1">
      <alignment horizontal="left" vertical="top" wrapText="1"/>
    </xf>
    <xf numFmtId="0" fontId="3" fillId="0" borderId="0" xfId="1" applyFont="1" applyFill="1" applyBorder="1"/>
    <xf numFmtId="0" fontId="36" fillId="0" borderId="0" xfId="0" applyFont="1" applyAlignment="1">
      <alignment horizontal="left" vertical="top" wrapText="1"/>
    </xf>
    <xf numFmtId="0" fontId="2" fillId="3" borderId="0" xfId="0" applyFont="1" applyFill="1"/>
    <xf numFmtId="0" fontId="2" fillId="0" borderId="0" xfId="0" applyFont="1" applyAlignment="1">
      <alignment horizontal="left" vertical="center"/>
    </xf>
    <xf numFmtId="0" fontId="2" fillId="0" borderId="0" xfId="0" applyFont="1" applyFill="1" applyBorder="1"/>
    <xf numFmtId="0" fontId="85" fillId="2" borderId="0" xfId="15" applyFont="1" applyFill="1" applyAlignment="1">
      <alignment horizontal="left" vertical="center" wrapText="1"/>
    </xf>
    <xf numFmtId="0" fontId="95" fillId="2" borderId="48" xfId="15" applyFont="1" applyFill="1" applyBorder="1" applyAlignment="1">
      <alignment horizontal="justify" vertical="center" wrapText="1"/>
    </xf>
    <xf numFmtId="0" fontId="95" fillId="2" borderId="0" xfId="15" applyFont="1" applyFill="1" applyAlignment="1">
      <alignment horizontal="left" vertical="center" wrapText="1"/>
    </xf>
    <xf numFmtId="3" fontId="78" fillId="13" borderId="46" xfId="15" applyNumberFormat="1" applyFont="1" applyFill="1" applyBorder="1" applyAlignment="1">
      <alignment horizontal="center" vertical="center" wrapText="1"/>
    </xf>
    <xf numFmtId="3" fontId="78" fillId="13" borderId="49" xfId="15" applyNumberFormat="1" applyFont="1" applyFill="1" applyBorder="1" applyAlignment="1">
      <alignment horizontal="center" vertical="center" wrapText="1"/>
    </xf>
    <xf numFmtId="3" fontId="78" fillId="13" borderId="50" xfId="15" applyNumberFormat="1" applyFont="1" applyFill="1" applyBorder="1" applyAlignment="1">
      <alignment horizontal="center" vertical="center" wrapText="1"/>
    </xf>
    <xf numFmtId="0" fontId="78" fillId="13" borderId="37" xfId="15" applyFont="1" applyFill="1" applyBorder="1" applyAlignment="1">
      <alignment horizontal="center" vertical="center" wrapText="1"/>
    </xf>
    <xf numFmtId="0" fontId="78" fillId="13" borderId="42" xfId="15" applyFont="1" applyFill="1" applyBorder="1" applyAlignment="1">
      <alignment horizontal="center" vertical="center" wrapText="1"/>
    </xf>
    <xf numFmtId="0" fontId="75" fillId="2" borderId="0" xfId="15" applyFont="1" applyFill="1" applyAlignment="1">
      <alignment horizontal="left" vertical="center"/>
    </xf>
    <xf numFmtId="0" fontId="75" fillId="2" borderId="0" xfId="15" applyFont="1" applyFill="1" applyBorder="1" applyAlignment="1">
      <alignment horizontal="left" vertical="center"/>
    </xf>
    <xf numFmtId="0" fontId="85" fillId="2" borderId="48" xfId="15" applyFont="1" applyFill="1" applyBorder="1" applyAlignment="1">
      <alignment horizontal="justify" vertical="center" wrapText="1"/>
    </xf>
    <xf numFmtId="0" fontId="78" fillId="13" borderId="39" xfId="15" applyFont="1" applyFill="1" applyBorder="1" applyAlignment="1">
      <alignment horizontal="center" vertical="center" wrapText="1"/>
    </xf>
    <xf numFmtId="0" fontId="78" fillId="13" borderId="40" xfId="15" applyFont="1" applyFill="1" applyBorder="1" applyAlignment="1">
      <alignment horizontal="center" vertical="center" wrapText="1"/>
    </xf>
    <xf numFmtId="0" fontId="78" fillId="13" borderId="35" xfId="15" applyFont="1" applyFill="1" applyBorder="1" applyAlignment="1">
      <alignment horizontal="center" vertical="center" wrapText="1"/>
    </xf>
    <xf numFmtId="0" fontId="75" fillId="2" borderId="0" xfId="15" applyFont="1" applyFill="1" applyBorder="1" applyAlignment="1">
      <alignment horizontal="left" vertical="center" wrapText="1"/>
    </xf>
    <xf numFmtId="0" fontId="83" fillId="2" borderId="38" xfId="15" applyFont="1" applyFill="1" applyBorder="1" applyAlignment="1">
      <alignment horizontal="justify" vertical="center" wrapText="1"/>
    </xf>
    <xf numFmtId="0" fontId="83" fillId="0" borderId="0" xfId="15" applyFont="1" applyAlignment="1">
      <alignment horizontal="left" vertical="center"/>
    </xf>
    <xf numFmtId="0" fontId="28"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xf>
    <xf numFmtId="0" fontId="62" fillId="0" borderId="0" xfId="0" applyFont="1" applyAlignment="1">
      <alignment horizontal="center" vertical="center" wrapText="1"/>
    </xf>
    <xf numFmtId="0" fontId="28" fillId="0" borderId="13" xfId="0" applyFont="1" applyBorder="1" applyAlignment="1">
      <alignment horizontal="center" vertical="center"/>
    </xf>
    <xf numFmtId="0" fontId="28" fillId="0" borderId="5" xfId="0" applyFont="1" applyBorder="1" applyAlignment="1">
      <alignment horizontal="center" vertical="center"/>
    </xf>
    <xf numFmtId="0" fontId="28" fillId="0" borderId="14" xfId="0" applyFont="1" applyBorder="1" applyAlignment="1">
      <alignment horizontal="center" vertical="center"/>
    </xf>
    <xf numFmtId="0" fontId="28" fillId="0" borderId="33" xfId="0" applyFont="1" applyBorder="1" applyAlignment="1">
      <alignment horizontal="center" vertical="center"/>
    </xf>
    <xf numFmtId="0" fontId="28" fillId="0" borderId="0" xfId="0" applyFont="1" applyBorder="1" applyAlignment="1">
      <alignment horizontal="center" vertical="center"/>
    </xf>
    <xf numFmtId="0" fontId="28" fillId="0" borderId="34" xfId="0" applyFont="1" applyBorder="1" applyAlignment="1">
      <alignment horizontal="center" vertical="center"/>
    </xf>
    <xf numFmtId="0" fontId="28" fillId="0" borderId="8" xfId="0" applyFont="1" applyBorder="1" applyAlignment="1">
      <alignment horizontal="center" vertical="center"/>
    </xf>
    <xf numFmtId="0" fontId="28" fillId="0" borderId="31" xfId="0" applyFont="1" applyBorder="1" applyAlignment="1">
      <alignment horizontal="center" vertical="center"/>
    </xf>
    <xf numFmtId="0" fontId="28" fillId="0" borderId="32" xfId="0" applyFont="1" applyBorder="1" applyAlignment="1">
      <alignment horizontal="center" vertical="center"/>
    </xf>
    <xf numFmtId="0" fontId="28" fillId="0" borderId="7" xfId="0" applyFont="1" applyBorder="1" applyAlignment="1">
      <alignment horizontal="center" vertical="center"/>
    </xf>
    <xf numFmtId="0" fontId="28" fillId="0" borderId="9" xfId="0" applyFont="1" applyBorder="1" applyAlignment="1">
      <alignment horizontal="center" vertical="center"/>
    </xf>
    <xf numFmtId="0" fontId="28" fillId="0" borderId="13" xfId="0" applyFont="1" applyBorder="1" applyAlignment="1">
      <alignment horizontal="center" vertical="center" wrapText="1"/>
    </xf>
    <xf numFmtId="0" fontId="28" fillId="0" borderId="5" xfId="0" applyFont="1" applyBorder="1" applyAlignment="1">
      <alignment horizontal="center" vertical="center" wrapText="1"/>
    </xf>
    <xf numFmtId="0" fontId="28" fillId="0" borderId="14"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0" xfId="0" applyFont="1" applyBorder="1" applyAlignment="1">
      <alignment horizontal="center" vertical="center" wrapText="1"/>
    </xf>
    <xf numFmtId="0" fontId="28" fillId="0" borderId="34" xfId="0" applyFont="1" applyBorder="1" applyAlignment="1">
      <alignment horizontal="center" vertical="center" wrapText="1"/>
    </xf>
    <xf numFmtId="0" fontId="22" fillId="0" borderId="0" xfId="1" applyFont="1" applyFill="1" applyBorder="1" applyAlignment="1">
      <alignment horizontal="center"/>
    </xf>
    <xf numFmtId="0" fontId="25" fillId="0" borderId="0" xfId="0" applyFont="1" applyAlignment="1">
      <alignment horizontal="center"/>
    </xf>
    <xf numFmtId="0" fontId="18" fillId="9" borderId="0" xfId="1" applyFont="1" applyFill="1" applyBorder="1" applyAlignment="1">
      <alignment horizontal="center"/>
    </xf>
    <xf numFmtId="0" fontId="19" fillId="9" borderId="0" xfId="1" applyFont="1" applyFill="1" applyBorder="1" applyAlignment="1">
      <alignment horizontal="center"/>
    </xf>
    <xf numFmtId="165" fontId="0" fillId="9" borderId="0" xfId="0" applyNumberFormat="1" applyFont="1" applyFill="1" applyBorder="1" applyAlignment="1">
      <alignment horizontal="center"/>
    </xf>
    <xf numFmtId="165" fontId="26" fillId="9" borderId="0" xfId="0" applyNumberFormat="1" applyFont="1" applyFill="1" applyBorder="1" applyAlignment="1">
      <alignment horizontal="center"/>
    </xf>
    <xf numFmtId="0" fontId="65" fillId="12" borderId="0" xfId="0" applyFont="1" applyFill="1" applyAlignment="1">
      <alignment horizontal="center" vertical="center" wrapText="1"/>
    </xf>
    <xf numFmtId="4" fontId="65" fillId="12" borderId="0" xfId="0" applyNumberFormat="1" applyFont="1" applyFill="1" applyAlignment="1">
      <alignment horizontal="center" vertical="center" wrapText="1"/>
    </xf>
    <xf numFmtId="0" fontId="36" fillId="0" borderId="0" xfId="0" applyFont="1" applyAlignment="1">
      <alignment horizontal="left" vertical="top" wrapText="1"/>
    </xf>
    <xf numFmtId="0" fontId="67" fillId="2" borderId="0" xfId="0" applyFont="1" applyFill="1" applyAlignment="1">
      <alignment horizontal="left" vertical="top" wrapText="1"/>
    </xf>
    <xf numFmtId="0" fontId="36" fillId="9" borderId="0" xfId="0" applyFont="1" applyFill="1" applyAlignment="1">
      <alignment horizontal="left" vertical="top" wrapText="1"/>
    </xf>
    <xf numFmtId="165" fontId="60" fillId="2" borderId="33" xfId="0" applyNumberFormat="1" applyFont="1" applyFill="1" applyBorder="1" applyAlignment="1">
      <alignment horizontal="left" wrapText="1"/>
    </xf>
    <xf numFmtId="165" fontId="60" fillId="2" borderId="6" xfId="0" applyNumberFormat="1" applyFont="1" applyFill="1" applyBorder="1" applyAlignment="1">
      <alignment horizontal="left" wrapText="1"/>
    </xf>
    <xf numFmtId="0" fontId="1" fillId="0" borderId="0" xfId="0" applyFont="1" applyFill="1" applyBorder="1"/>
    <xf numFmtId="0" fontId="21" fillId="0" borderId="0" xfId="0" applyFont="1" applyFill="1" applyBorder="1" applyAlignment="1">
      <alignment horizont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1" fillId="0" borderId="0" xfId="1" applyFont="1" applyFill="1" applyBorder="1"/>
    <xf numFmtId="182" fontId="21" fillId="0" borderId="0" xfId="0" applyNumberFormat="1" applyFont="1" applyFill="1" applyBorder="1"/>
    <xf numFmtId="177" fontId="21" fillId="0" borderId="0" xfId="0" applyNumberFormat="1" applyFont="1" applyFill="1" applyBorder="1"/>
    <xf numFmtId="0" fontId="21" fillId="0" borderId="0" xfId="0" applyFont="1" applyFill="1" applyBorder="1" applyAlignment="1">
      <alignment horizontal="center" vertical="center"/>
    </xf>
    <xf numFmtId="0" fontId="1" fillId="0" borderId="0" xfId="0" applyFont="1" applyFill="1" applyBorder="1" applyAlignment="1">
      <alignment horizontal="center" vertical="center"/>
    </xf>
    <xf numFmtId="4" fontId="21" fillId="0" borderId="0" xfId="0" applyNumberFormat="1" applyFont="1" applyFill="1" applyBorder="1"/>
    <xf numFmtId="165" fontId="1" fillId="0" borderId="0" xfId="0" applyNumberFormat="1" applyFont="1" applyFill="1" applyBorder="1" applyAlignment="1">
      <alignment vertical="center"/>
    </xf>
    <xf numFmtId="166" fontId="21" fillId="0" borderId="0" xfId="0" applyNumberFormat="1" applyFont="1" applyFill="1" applyBorder="1" applyAlignment="1">
      <alignment vertical="center"/>
    </xf>
    <xf numFmtId="4" fontId="21" fillId="0" borderId="0" xfId="0" applyNumberFormat="1" applyFont="1" applyFill="1" applyBorder="1" applyAlignment="1">
      <alignment horizontal="right" vertical="center"/>
    </xf>
    <xf numFmtId="0" fontId="21" fillId="0" borderId="0" xfId="0" applyFont="1" applyFill="1" applyBorder="1" applyAlignment="1"/>
    <xf numFmtId="4" fontId="25" fillId="0" borderId="0" xfId="0" applyNumberFormat="1" applyFont="1" applyFill="1" applyBorder="1"/>
    <xf numFmtId="177" fontId="25" fillId="0" borderId="0" xfId="0" applyNumberFormat="1" applyFont="1" applyFill="1" applyBorder="1"/>
    <xf numFmtId="177" fontId="21" fillId="0" borderId="0" xfId="0" applyNumberFormat="1" applyFont="1" applyFill="1" applyBorder="1" applyAlignment="1"/>
    <xf numFmtId="166" fontId="21" fillId="0" borderId="0" xfId="0" applyNumberFormat="1" applyFont="1" applyFill="1" applyBorder="1" applyAlignment="1">
      <alignment horizontal="right" vertical="center"/>
    </xf>
  </cellXfs>
  <cellStyles count="18">
    <cellStyle name="=C:\WINNT\SYSTEM32\COMMAND.COM" xfId="10"/>
    <cellStyle name="Lien hypertexte" xfId="4" builtinId="8"/>
    <cellStyle name="Milliers 2" xfId="8"/>
    <cellStyle name="Milliers 3" xfId="12"/>
    <cellStyle name="Normal" xfId="0" builtinId="0"/>
    <cellStyle name="Normal 2" xfId="1"/>
    <cellStyle name="Normal 2 2" xfId="9"/>
    <cellStyle name="Normal 2 3" xfId="16"/>
    <cellStyle name="Normal 3" xfId="2"/>
    <cellStyle name="Normal 4" xfId="3"/>
    <cellStyle name="Normal 5" xfId="5"/>
    <cellStyle name="Normal 6" xfId="6"/>
    <cellStyle name="Normal 7" xfId="13"/>
    <cellStyle name="Normal 8" xfId="14"/>
    <cellStyle name="Normal 9" xfId="15"/>
    <cellStyle name="Pourcentage" xfId="11" builtinId="5"/>
    <cellStyle name="Pourcentage 2" xfId="7"/>
    <cellStyle name="Pourcentage 3" xfId="17"/>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0"/>
        </patternFill>
      </fill>
    </dxf>
    <dxf>
      <fill>
        <patternFill patternType="solid">
          <bgColor theme="7" tint="0.79998168889431442"/>
        </patternFill>
      </fill>
    </dxf>
    <dxf>
      <numFmt numFmtId="165" formatCode="#,##0.0"/>
    </dxf>
    <dxf>
      <numFmt numFmtId="165" formatCode="#,##0.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3" formatCode="#,##0"/>
    </dxf>
    <dxf>
      <numFmt numFmtId="164"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ofPieChart>
        <c:ofPieType val="pie"/>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F8-1B4D-814C-5D3A42BD2D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F8-1B4D-814C-5D3A42BD2D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F8-1B4D-814C-5D3A42BD2D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F8-1B4D-814C-5D3A42BD2D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9F8-1B4D-814C-5D3A42BD2D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9F8-1B4D-814C-5D3A42BD2DA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9F8-1B4D-814C-5D3A42BD2DA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9F8-1B4D-814C-5D3A42BD2DA2}"/>
              </c:ext>
            </c:extLst>
          </c:dPt>
          <c:dLbls>
            <c:dLbl>
              <c:idx val="2"/>
              <c:layout>
                <c:manualLayout>
                  <c:x val="1.0463151375740954E-2"/>
                  <c:y val="4.529126567512394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C9F8-1B4D-814C-5D3A42BD2DA2}"/>
                </c:ext>
              </c:extLst>
            </c:dLbl>
            <c:dLbl>
              <c:idx val="3"/>
              <c:layout>
                <c:manualLayout>
                  <c:x val="5.1728744581084667E-2"/>
                  <c:y val="-5.8158355205599303E-3"/>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C9F8-1B4D-814C-5D3A42BD2DA2}"/>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ThreeME'!$G$60:$G$66</c:f>
              <c:numCache>
                <c:formatCode>#,##0</c:formatCode>
                <c:ptCount val="7"/>
                <c:pt idx="0">
                  <c:v>158.68058028707063</c:v>
                </c:pt>
                <c:pt idx="1">
                  <c:v>1599.0000459999999</c:v>
                </c:pt>
                <c:pt idx="2">
                  <c:v>806.76629342274146</c:v>
                </c:pt>
                <c:pt idx="3">
                  <c:v>191.86116790892098</c:v>
                </c:pt>
                <c:pt idx="4">
                  <c:v>989.40725496374512</c:v>
                </c:pt>
                <c:pt idx="5">
                  <c:v>2168.3875360827706</c:v>
                </c:pt>
                <c:pt idx="6">
                  <c:v>2196.5224875676977</c:v>
                </c:pt>
              </c:numCache>
            </c:numRef>
          </c:val>
          <c:extLst>
            <c:ext xmlns:c16="http://schemas.microsoft.com/office/drawing/2014/chart" uri="{C3380CC4-5D6E-409C-BE32-E72D297353CC}">
              <c16:uniqueId val="{00000000-46D6-7B49-8BEF-51D49272BAC4}"/>
            </c:ext>
          </c:extLst>
        </c:ser>
        <c:dLbls>
          <c:dLblPos val="bestFit"/>
          <c:showLegendKey val="0"/>
          <c:showVal val="0"/>
          <c:showCatName val="1"/>
          <c:showSerName val="0"/>
          <c:showPercent val="1"/>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'For ThreeME'!$C$59</c:f>
              <c:strCache>
                <c:ptCount val="1"/>
                <c:pt idx="0">
                  <c:v>Oil&amp;coal</c:v>
                </c:pt>
              </c:strCache>
            </c:strRef>
          </c:tx>
          <c:spPr>
            <a:solidFill>
              <a:schemeClr val="accent1"/>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ThreeME'!$C$60:$C$66</c:f>
              <c:numCache>
                <c:formatCode>#,##0</c:formatCode>
                <c:ptCount val="7"/>
                <c:pt idx="0">
                  <c:v>121.58713299999999</c:v>
                </c:pt>
                <c:pt idx="1">
                  <c:v>411.05060300000002</c:v>
                </c:pt>
                <c:pt idx="2">
                  <c:v>801.1962228739003</c:v>
                </c:pt>
                <c:pt idx="3">
                  <c:v>94.437168270613313</c:v>
                </c:pt>
                <c:pt idx="4">
                  <c:v>233.45145066666669</c:v>
                </c:pt>
                <c:pt idx="5">
                  <c:v>828.16699999999992</c:v>
                </c:pt>
                <c:pt idx="6">
                  <c:v>1712.076548</c:v>
                </c:pt>
              </c:numCache>
            </c:numRef>
          </c:val>
          <c:extLst>
            <c:ext xmlns:c16="http://schemas.microsoft.com/office/drawing/2014/chart" uri="{C3380CC4-5D6E-409C-BE32-E72D297353CC}">
              <c16:uniqueId val="{00000000-68A2-8147-97D8-0D37C71DDB8A}"/>
            </c:ext>
          </c:extLst>
        </c:ser>
        <c:ser>
          <c:idx val="1"/>
          <c:order val="1"/>
          <c:tx>
            <c:strRef>
              <c:f>'For ThreeME'!$D$59</c:f>
              <c:strCache>
                <c:ptCount val="1"/>
                <c:pt idx="0">
                  <c:v>Gas</c:v>
                </c:pt>
              </c:strCache>
            </c:strRef>
          </c:tx>
          <c:spPr>
            <a:solidFill>
              <a:schemeClr val="accent2"/>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ThreeME'!$D$60:$D$66</c:f>
              <c:numCache>
                <c:formatCode>#,##0</c:formatCode>
                <c:ptCount val="7"/>
                <c:pt idx="0">
                  <c:v>6.5447287070636406E-2</c:v>
                </c:pt>
                <c:pt idx="1">
                  <c:v>593.18299999999999</c:v>
                </c:pt>
                <c:pt idx="2">
                  <c:v>1.3886131564022892</c:v>
                </c:pt>
                <c:pt idx="3">
                  <c:v>11.097</c:v>
                </c:pt>
                <c:pt idx="4">
                  <c:v>743.62424134996115</c:v>
                </c:pt>
                <c:pt idx="5">
                  <c:v>1303.69</c:v>
                </c:pt>
                <c:pt idx="6">
                  <c:v>33.802999999999997</c:v>
                </c:pt>
              </c:numCache>
            </c:numRef>
          </c:val>
          <c:extLst>
            <c:ext xmlns:c16="http://schemas.microsoft.com/office/drawing/2014/chart" uri="{C3380CC4-5D6E-409C-BE32-E72D297353CC}">
              <c16:uniqueId val="{00000001-68A2-8147-97D8-0D37C71DDB8A}"/>
            </c:ext>
          </c:extLst>
        </c:ser>
        <c:ser>
          <c:idx val="2"/>
          <c:order val="2"/>
          <c:tx>
            <c:strRef>
              <c:f>'For ThreeME'!$E$59</c:f>
              <c:strCache>
                <c:ptCount val="1"/>
                <c:pt idx="0">
                  <c:v>Electricity</c:v>
                </c:pt>
              </c:strCache>
            </c:strRef>
          </c:tx>
          <c:spPr>
            <a:solidFill>
              <a:schemeClr val="accent3"/>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ThreeME'!$E$60:$E$66</c:f>
              <c:numCache>
                <c:formatCode>#,##0</c:formatCode>
                <c:ptCount val="7"/>
                <c:pt idx="0">
                  <c:v>37.028000000000006</c:v>
                </c:pt>
                <c:pt idx="1">
                  <c:v>530.98399999999992</c:v>
                </c:pt>
                <c:pt idx="2">
                  <c:v>4.1814573924388716</c:v>
                </c:pt>
                <c:pt idx="3">
                  <c:v>86.326999638307669</c:v>
                </c:pt>
                <c:pt idx="4">
                  <c:v>12.331562947117295</c:v>
                </c:pt>
                <c:pt idx="5">
                  <c:v>36.530536082770865</c:v>
                </c:pt>
                <c:pt idx="6">
                  <c:v>195.22054256769752</c:v>
                </c:pt>
              </c:numCache>
            </c:numRef>
          </c:val>
          <c:extLst>
            <c:ext xmlns:c16="http://schemas.microsoft.com/office/drawing/2014/chart" uri="{C3380CC4-5D6E-409C-BE32-E72D297353CC}">
              <c16:uniqueId val="{00000002-68A2-8147-97D8-0D37C71DDB8A}"/>
            </c:ext>
          </c:extLst>
        </c:ser>
        <c:ser>
          <c:idx val="3"/>
          <c:order val="3"/>
          <c:tx>
            <c:strRef>
              <c:f>'For ThreeME'!$F$59</c:f>
              <c:strCache>
                <c:ptCount val="1"/>
                <c:pt idx="0">
                  <c:v>Biomass</c:v>
                </c:pt>
              </c:strCache>
            </c:strRef>
          </c:tx>
          <c:spPr>
            <a:solidFill>
              <a:schemeClr val="accent4"/>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ThreeME'!$F$60:$F$66</c:f>
              <c:numCache>
                <c:formatCode>#,##0</c:formatCode>
                <c:ptCount val="7"/>
                <c:pt idx="0">
                  <c:v>0</c:v>
                </c:pt>
                <c:pt idx="1">
                  <c:v>63.782443000000001</c:v>
                </c:pt>
                <c:pt idx="2">
                  <c:v>0</c:v>
                </c:pt>
                <c:pt idx="3">
                  <c:v>0</c:v>
                </c:pt>
                <c:pt idx="4">
                  <c:v>0</c:v>
                </c:pt>
                <c:pt idx="5">
                  <c:v>0</c:v>
                </c:pt>
                <c:pt idx="6">
                  <c:v>255.42239699999999</c:v>
                </c:pt>
              </c:numCache>
            </c:numRef>
          </c:val>
          <c:extLst>
            <c:ext xmlns:c16="http://schemas.microsoft.com/office/drawing/2014/chart" uri="{C3380CC4-5D6E-409C-BE32-E72D297353CC}">
              <c16:uniqueId val="{00000003-68A2-8147-97D8-0D37C71DDB8A}"/>
            </c:ext>
          </c:extLst>
        </c:ser>
        <c:dLbls>
          <c:showLegendKey val="0"/>
          <c:showVal val="0"/>
          <c:showCatName val="0"/>
          <c:showSerName val="0"/>
          <c:showPercent val="0"/>
          <c:showBubbleSize val="0"/>
        </c:dLbls>
        <c:gapWidth val="150"/>
        <c:overlap val="100"/>
        <c:axId val="1313513503"/>
        <c:axId val="1524759871"/>
      </c:barChart>
      <c:catAx>
        <c:axId val="1313513503"/>
        <c:scaling>
          <c:orientation val="minMax"/>
        </c:scaling>
        <c:delete val="0"/>
        <c:axPos val="b"/>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crossAx val="1524759871"/>
        <c:crosses val="autoZero"/>
        <c:auto val="1"/>
        <c:lblAlgn val="ctr"/>
        <c:lblOffset val="100"/>
        <c:noMultiLvlLbl val="0"/>
      </c:catAx>
      <c:valAx>
        <c:axId val="152475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2540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crossAx val="1313513503"/>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590550</xdr:colOff>
      <xdr:row>55</xdr:row>
      <xdr:rowOff>50800</xdr:rowOff>
    </xdr:from>
    <xdr:to>
      <xdr:col>15</xdr:col>
      <xdr:colOff>463550</xdr:colOff>
      <xdr:row>68</xdr:row>
      <xdr:rowOff>123825</xdr:rowOff>
    </xdr:to>
    <xdr:graphicFrame macro="">
      <xdr:nvGraphicFramePr>
        <xdr:cNvPr id="6" name="Chart 5">
          <a:extLst>
            <a:ext uri="{FF2B5EF4-FFF2-40B4-BE49-F238E27FC236}">
              <a16:creationId xmlns:a16="http://schemas.microsoft.com/office/drawing/2014/main" id="{9CE3F038-66B3-9947-913C-5A36C441A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606425</xdr:colOff>
      <xdr:row>69</xdr:row>
      <xdr:rowOff>22225</xdr:rowOff>
    </xdr:from>
    <xdr:to>
      <xdr:col>15</xdr:col>
      <xdr:colOff>466725</xdr:colOff>
      <xdr:row>84</xdr:row>
      <xdr:rowOff>34925</xdr:rowOff>
    </xdr:to>
    <xdr:graphicFrame macro="">
      <xdr:nvGraphicFramePr>
        <xdr:cNvPr id="7" name="Chart 6">
          <a:extLst>
            <a:ext uri="{FF2B5EF4-FFF2-40B4-BE49-F238E27FC236}">
              <a16:creationId xmlns:a16="http://schemas.microsoft.com/office/drawing/2014/main" id="{8C78B2C9-20C4-F449-828D-E647901E8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issela.Landa/Dropbox%20(FOSEM)/AFD%20SENER%20Mexico/Projet%20SENER/Calibration/Data%20source/other%20sources/UNAM-Adrian/Generacion%20Electrica%20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issela.Landa/Dropbox%20(FOSEM)/AFD%20SENER%20Mexico/Projet%20SENER/Calibration/Data%20ThreeME-Mex/DataMEX_Working_doc_monetary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as"/>
      <sheetName val="2013_Vol y peso"/>
      <sheetName val="2013_PJ"/>
      <sheetName val="PCN 2013 Fuente"/>
      <sheetName val="PCN 2013"/>
      <sheetName val="CFE 2013_Vol y peso"/>
      <sheetName val="CFE_2013_PJ"/>
      <sheetName val="Dinámico_(Vol y peso)"/>
      <sheetName val="Dinámico_(PJ)"/>
      <sheetName val="Dinámico CFE_(Vol y peso_PJ)"/>
      <sheetName val="OPERACIONES"/>
      <sheetName val="RESUMEN_SEC ELEC_PJ"/>
      <sheetName val="PEMEX"/>
    </sheetNames>
    <sheetDataSet>
      <sheetData sheetId="0"/>
      <sheetData sheetId="1"/>
      <sheetData sheetId="2"/>
      <sheetData sheetId="3"/>
      <sheetData sheetId="4"/>
      <sheetData sheetId="5"/>
      <sheetData sheetId="6"/>
      <sheetData sheetId="7"/>
      <sheetData sheetId="8"/>
      <sheetData sheetId="9"/>
      <sheetData sheetId="10">
        <row r="20">
          <cell r="D20">
            <v>7.0185735896605115</v>
          </cell>
          <cell r="H20">
            <v>0.42469153683000005</v>
          </cell>
        </row>
        <row r="21">
          <cell r="D21">
            <v>4.9129150880224657</v>
          </cell>
          <cell r="E21">
            <v>448.63824087212868</v>
          </cell>
          <cell r="F21">
            <v>0.88616855770150027</v>
          </cell>
        </row>
        <row r="22">
          <cell r="D22">
            <v>0.18264935738200672</v>
          </cell>
          <cell r="E22">
            <v>2.4140196014628277</v>
          </cell>
          <cell r="F22">
            <v>1.6198559541040662</v>
          </cell>
          <cell r="G22">
            <v>9.6659942837948199E-3</v>
          </cell>
        </row>
        <row r="23">
          <cell r="D23">
            <v>7.655578356193975E-4</v>
          </cell>
        </row>
        <row r="24">
          <cell r="D24">
            <v>1.6847488929690031</v>
          </cell>
        </row>
        <row r="25">
          <cell r="D25">
            <v>0.68662517550491398</v>
          </cell>
        </row>
        <row r="26">
          <cell r="D26">
            <v>1.2193623501458042</v>
          </cell>
        </row>
        <row r="27">
          <cell r="D27">
            <v>4.569967959102855E-5</v>
          </cell>
        </row>
        <row r="29">
          <cell r="D29">
            <v>5.6651329949238587</v>
          </cell>
          <cell r="E29">
            <v>6.9842335626009442</v>
          </cell>
          <cell r="F29">
            <v>8.8190801327035453E-2</v>
          </cell>
          <cell r="G29">
            <v>25.666215254035418</v>
          </cell>
        </row>
        <row r="43">
          <cell r="E43">
            <v>597.63432409336326</v>
          </cell>
          <cell r="G43">
            <v>1.5714413930000002</v>
          </cell>
        </row>
        <row r="44">
          <cell r="D44">
            <v>2.8253591100550816E-2</v>
          </cell>
        </row>
        <row r="61">
          <cell r="D61">
            <v>3.2855209547467332</v>
          </cell>
          <cell r="E61">
            <v>172.79084386292621</v>
          </cell>
          <cell r="F61">
            <v>15.184477437488873</v>
          </cell>
          <cell r="G61">
            <v>5.4307174003165013</v>
          </cell>
          <cell r="I61">
            <v>401.52614637980497</v>
          </cell>
          <cell r="R61">
            <v>1.0523002937600001</v>
          </cell>
          <cell r="T61">
            <v>2.15405034086</v>
          </cell>
        </row>
        <row r="78">
          <cell r="D78">
            <v>0</v>
          </cell>
          <cell r="E78">
            <v>0</v>
          </cell>
          <cell r="F78">
            <v>0</v>
          </cell>
          <cell r="G78">
            <v>0</v>
          </cell>
          <cell r="I78">
            <v>0</v>
          </cell>
        </row>
        <row r="117">
          <cell r="E117">
            <v>0</v>
          </cell>
          <cell r="F117">
            <v>0</v>
          </cell>
          <cell r="G117">
            <v>0</v>
          </cell>
          <cell r="H117">
            <v>0</v>
          </cell>
          <cell r="I117">
            <v>0</v>
          </cell>
          <cell r="J117">
            <v>0</v>
          </cell>
        </row>
        <row r="118">
          <cell r="E118">
            <v>1.34045E-6</v>
          </cell>
          <cell r="F118">
            <v>0.43755651610020002</v>
          </cell>
          <cell r="G118">
            <v>0</v>
          </cell>
          <cell r="H118">
            <v>0</v>
          </cell>
          <cell r="I118">
            <v>0</v>
          </cell>
          <cell r="J118">
            <v>0</v>
          </cell>
        </row>
        <row r="119">
          <cell r="E119">
            <v>0</v>
          </cell>
          <cell r="F119">
            <v>0</v>
          </cell>
          <cell r="G119">
            <v>0</v>
          </cell>
          <cell r="H119">
            <v>0</v>
          </cell>
          <cell r="I119">
            <v>0</v>
          </cell>
          <cell r="J119">
            <v>0</v>
          </cell>
        </row>
        <row r="120">
          <cell r="E120">
            <v>0</v>
          </cell>
          <cell r="F120">
            <v>0</v>
          </cell>
          <cell r="G120">
            <v>0</v>
          </cell>
          <cell r="H120">
            <v>0</v>
          </cell>
          <cell r="I120">
            <v>0</v>
          </cell>
          <cell r="J120">
            <v>0</v>
          </cell>
        </row>
        <row r="121">
          <cell r="E121">
            <v>0</v>
          </cell>
          <cell r="F121">
            <v>0</v>
          </cell>
          <cell r="G121">
            <v>0</v>
          </cell>
          <cell r="H121">
            <v>0</v>
          </cell>
          <cell r="I121">
            <v>0</v>
          </cell>
          <cell r="J121">
            <v>0</v>
          </cell>
        </row>
        <row r="122">
          <cell r="E122">
            <v>0</v>
          </cell>
          <cell r="F122">
            <v>0</v>
          </cell>
          <cell r="G122">
            <v>0</v>
          </cell>
          <cell r="H122">
            <v>0</v>
          </cell>
          <cell r="I122">
            <v>0</v>
          </cell>
          <cell r="J122">
            <v>0</v>
          </cell>
        </row>
        <row r="123">
          <cell r="E123">
            <v>0</v>
          </cell>
          <cell r="F123">
            <v>0</v>
          </cell>
          <cell r="G123">
            <v>0</v>
          </cell>
          <cell r="H123">
            <v>0</v>
          </cell>
          <cell r="I123">
            <v>0</v>
          </cell>
          <cell r="J123">
            <v>0</v>
          </cell>
        </row>
        <row r="124">
          <cell r="E124">
            <v>0</v>
          </cell>
          <cell r="F124">
            <v>0</v>
          </cell>
          <cell r="G124">
            <v>0</v>
          </cell>
          <cell r="H124">
            <v>0</v>
          </cell>
          <cell r="I124">
            <v>0</v>
          </cell>
          <cell r="J124">
            <v>0</v>
          </cell>
        </row>
        <row r="125">
          <cell r="E125">
            <v>0</v>
          </cell>
          <cell r="F125">
            <v>0</v>
          </cell>
          <cell r="G125">
            <v>0</v>
          </cell>
          <cell r="H125">
            <v>0</v>
          </cell>
          <cell r="I125">
            <v>0</v>
          </cell>
          <cell r="J125">
            <v>0</v>
          </cell>
        </row>
        <row r="126">
          <cell r="E126">
            <v>0</v>
          </cell>
          <cell r="F126">
            <v>0</v>
          </cell>
          <cell r="G126">
            <v>0</v>
          </cell>
          <cell r="H126">
            <v>0</v>
          </cell>
          <cell r="I126">
            <v>0</v>
          </cell>
          <cell r="J126">
            <v>0</v>
          </cell>
        </row>
        <row r="127">
          <cell r="E127">
            <v>24.3301553516825</v>
          </cell>
          <cell r="F127">
            <v>0</v>
          </cell>
          <cell r="G127">
            <v>0.2551351</v>
          </cell>
          <cell r="H127">
            <v>0</v>
          </cell>
          <cell r="I127">
            <v>0.18081384</v>
          </cell>
          <cell r="J127">
            <v>0</v>
          </cell>
        </row>
        <row r="128">
          <cell r="E128">
            <v>7.0039366437199995</v>
          </cell>
          <cell r="F128">
            <v>0</v>
          </cell>
          <cell r="G128">
            <v>0</v>
          </cell>
          <cell r="H128">
            <v>0</v>
          </cell>
          <cell r="I128">
            <v>0</v>
          </cell>
          <cell r="J128">
            <v>0</v>
          </cell>
        </row>
        <row r="129">
          <cell r="E129">
            <v>0</v>
          </cell>
          <cell r="F129">
            <v>0</v>
          </cell>
          <cell r="G129">
            <v>0</v>
          </cell>
          <cell r="H129">
            <v>0</v>
          </cell>
          <cell r="I129">
            <v>0</v>
          </cell>
          <cell r="J129">
            <v>0</v>
          </cell>
        </row>
        <row r="130">
          <cell r="E130">
            <v>0</v>
          </cell>
          <cell r="F130">
            <v>0</v>
          </cell>
          <cell r="G130">
            <v>0</v>
          </cell>
          <cell r="H130">
            <v>0</v>
          </cell>
          <cell r="I130">
            <v>0</v>
          </cell>
          <cell r="J130">
            <v>0</v>
          </cell>
        </row>
        <row r="131">
          <cell r="E131">
            <v>0</v>
          </cell>
          <cell r="F131">
            <v>0</v>
          </cell>
          <cell r="G131">
            <v>0</v>
          </cell>
          <cell r="H131">
            <v>0</v>
          </cell>
          <cell r="I131">
            <v>0</v>
          </cell>
          <cell r="J131">
            <v>0</v>
          </cell>
        </row>
        <row r="132">
          <cell r="E132">
            <v>0</v>
          </cell>
          <cell r="F132">
            <v>0</v>
          </cell>
          <cell r="G132">
            <v>0</v>
          </cell>
          <cell r="H132">
            <v>0</v>
          </cell>
          <cell r="I132">
            <v>0</v>
          </cell>
          <cell r="J132">
            <v>0</v>
          </cell>
        </row>
        <row r="134">
          <cell r="E134">
            <v>0</v>
          </cell>
          <cell r="F134">
            <v>0</v>
          </cell>
          <cell r="G134">
            <v>0</v>
          </cell>
          <cell r="H134">
            <v>0</v>
          </cell>
          <cell r="I134">
            <v>0</v>
          </cell>
          <cell r="J134">
            <v>0</v>
          </cell>
        </row>
        <row r="135">
          <cell r="E135">
            <v>0</v>
          </cell>
          <cell r="F135">
            <v>1.4146840949199999</v>
          </cell>
          <cell r="G135">
            <v>0</v>
          </cell>
          <cell r="H135">
            <v>0</v>
          </cell>
          <cell r="I135">
            <v>0</v>
          </cell>
          <cell r="J135">
            <v>0</v>
          </cell>
        </row>
        <row r="136">
          <cell r="E136">
            <v>0</v>
          </cell>
          <cell r="F136">
            <v>0</v>
          </cell>
          <cell r="G136">
            <v>0</v>
          </cell>
          <cell r="H136">
            <v>0</v>
          </cell>
          <cell r="I136">
            <v>0</v>
          </cell>
          <cell r="J136">
            <v>0</v>
          </cell>
        </row>
        <row r="137">
          <cell r="E137">
            <v>0</v>
          </cell>
          <cell r="F137">
            <v>0</v>
          </cell>
          <cell r="G137">
            <v>0</v>
          </cell>
          <cell r="H137">
            <v>0</v>
          </cell>
          <cell r="I137">
            <v>0</v>
          </cell>
          <cell r="J137">
            <v>0</v>
          </cell>
        </row>
        <row r="138">
          <cell r="E138">
            <v>0</v>
          </cell>
          <cell r="F138">
            <v>0</v>
          </cell>
          <cell r="G138">
            <v>0</v>
          </cell>
          <cell r="H138">
            <v>0</v>
          </cell>
          <cell r="I138">
            <v>0</v>
          </cell>
          <cell r="J138">
            <v>0</v>
          </cell>
        </row>
        <row r="139">
          <cell r="E139">
            <v>7.0616560044750001</v>
          </cell>
          <cell r="F139">
            <v>1.8873311399999999E-2</v>
          </cell>
          <cell r="G139">
            <v>0.41900628000000001</v>
          </cell>
          <cell r="H139">
            <v>0</v>
          </cell>
          <cell r="I139">
            <v>0</v>
          </cell>
          <cell r="J139">
            <v>0</v>
          </cell>
        </row>
        <row r="140">
          <cell r="E140">
            <v>0</v>
          </cell>
          <cell r="F140">
            <v>0</v>
          </cell>
          <cell r="G140">
            <v>0</v>
          </cell>
          <cell r="H140">
            <v>0</v>
          </cell>
          <cell r="I140">
            <v>0</v>
          </cell>
          <cell r="J140">
            <v>0</v>
          </cell>
        </row>
        <row r="141">
          <cell r="E141">
            <v>0</v>
          </cell>
          <cell r="F141">
            <v>0</v>
          </cell>
          <cell r="G141">
            <v>0</v>
          </cell>
          <cell r="H141">
            <v>0</v>
          </cell>
          <cell r="I141">
            <v>0</v>
          </cell>
          <cell r="J141">
            <v>0</v>
          </cell>
        </row>
        <row r="143">
          <cell r="E143">
            <v>0</v>
          </cell>
          <cell r="F143">
            <v>0</v>
          </cell>
          <cell r="G143">
            <v>0</v>
          </cell>
          <cell r="H143">
            <v>0</v>
          </cell>
          <cell r="I143">
            <v>0</v>
          </cell>
          <cell r="J143">
            <v>0</v>
          </cell>
        </row>
        <row r="145">
          <cell r="E145">
            <v>0</v>
          </cell>
          <cell r="F145">
            <v>0</v>
          </cell>
          <cell r="G145">
            <v>0</v>
          </cell>
          <cell r="H145">
            <v>0</v>
          </cell>
          <cell r="I145">
            <v>0</v>
          </cell>
          <cell r="J145">
            <v>0</v>
          </cell>
        </row>
        <row r="146">
          <cell r="E146">
            <v>0</v>
          </cell>
          <cell r="F146">
            <v>0</v>
          </cell>
          <cell r="G146">
            <v>0</v>
          </cell>
          <cell r="H146">
            <v>0</v>
          </cell>
          <cell r="I146">
            <v>0</v>
          </cell>
          <cell r="J146">
            <v>0</v>
          </cell>
        </row>
        <row r="148">
          <cell r="E148">
            <v>0</v>
          </cell>
          <cell r="F148">
            <v>0</v>
          </cell>
          <cell r="G148">
            <v>0</v>
          </cell>
          <cell r="H148">
            <v>0</v>
          </cell>
          <cell r="I148">
            <v>0</v>
          </cell>
          <cell r="J148">
            <v>0</v>
          </cell>
        </row>
        <row r="149">
          <cell r="E149">
            <v>0</v>
          </cell>
          <cell r="F149">
            <v>0</v>
          </cell>
          <cell r="G149">
            <v>0</v>
          </cell>
          <cell r="H149">
            <v>0</v>
          </cell>
          <cell r="I149">
            <v>0</v>
          </cell>
          <cell r="J149">
            <v>0</v>
          </cell>
        </row>
        <row r="151">
          <cell r="E151">
            <v>0</v>
          </cell>
          <cell r="F151">
            <v>0</v>
          </cell>
          <cell r="G151">
            <v>0</v>
          </cell>
          <cell r="H151">
            <v>0</v>
          </cell>
          <cell r="I151">
            <v>0</v>
          </cell>
          <cell r="J151">
            <v>0</v>
          </cell>
        </row>
        <row r="152">
          <cell r="E152">
            <v>18.5609793262275</v>
          </cell>
          <cell r="F152">
            <v>9.8705187857099988E-2</v>
          </cell>
          <cell r="G152">
            <v>0</v>
          </cell>
          <cell r="H152">
            <v>0</v>
          </cell>
          <cell r="I152">
            <v>4.2219742800000001E-2</v>
          </cell>
          <cell r="J152">
            <v>6.2365902479999999E-2</v>
          </cell>
        </row>
        <row r="153">
          <cell r="E153">
            <v>3.340650138135</v>
          </cell>
          <cell r="F153">
            <v>0</v>
          </cell>
          <cell r="G153">
            <v>0</v>
          </cell>
          <cell r="H153">
            <v>0</v>
          </cell>
          <cell r="I153">
            <v>0</v>
          </cell>
          <cell r="J153">
            <v>0</v>
          </cell>
        </row>
        <row r="154">
          <cell r="E154">
            <v>0</v>
          </cell>
          <cell r="F154">
            <v>0</v>
          </cell>
          <cell r="G154">
            <v>0</v>
          </cell>
          <cell r="H154">
            <v>0</v>
          </cell>
          <cell r="I154">
            <v>0</v>
          </cell>
          <cell r="J154">
            <v>0</v>
          </cell>
        </row>
        <row r="155">
          <cell r="E155">
            <v>60.297378804689991</v>
          </cell>
          <cell r="F155">
            <v>1.9698191102772997</v>
          </cell>
          <cell r="G155">
            <v>0.67414138000000001</v>
          </cell>
          <cell r="H155">
            <v>0</v>
          </cell>
          <cell r="I155">
            <v>0.22303358280000002</v>
          </cell>
          <cell r="J155">
            <v>6.2365902479999999E-2</v>
          </cell>
        </row>
        <row r="190">
          <cell r="D190">
            <v>0.60139683911149522</v>
          </cell>
          <cell r="E190">
            <v>45.307068099221112</v>
          </cell>
        </row>
        <row r="191">
          <cell r="D191">
            <v>5.9972378322713051E-2</v>
          </cell>
          <cell r="E191">
            <v>3.21573339371123</v>
          </cell>
          <cell r="F191">
            <v>0.23240456108615998</v>
          </cell>
          <cell r="G191">
            <v>2.8724881681415653</v>
          </cell>
          <cell r="I191">
            <v>5.4050663472500003E-2</v>
          </cell>
          <cell r="L191">
            <v>2.5092125999999996E-6</v>
          </cell>
        </row>
        <row r="192">
          <cell r="D192">
            <v>6.0408723044245237E-2</v>
          </cell>
          <cell r="E192">
            <v>0.16280829636500002</v>
          </cell>
        </row>
        <row r="195">
          <cell r="D195">
            <v>1.5602836879432627</v>
          </cell>
          <cell r="E195">
            <v>0</v>
          </cell>
          <cell r="G195">
            <v>4.7781513250000004E-2</v>
          </cell>
          <cell r="P195">
            <v>39.147654691200003</v>
          </cell>
        </row>
        <row r="196">
          <cell r="D196">
            <v>2.6221535803002485E-2</v>
          </cell>
          <cell r="E196">
            <v>6.973780092626491</v>
          </cell>
          <cell r="G196">
            <v>0.17449403499999999</v>
          </cell>
        </row>
        <row r="197">
          <cell r="D197">
            <v>9.8254131115671252E-3</v>
          </cell>
          <cell r="E197">
            <v>9.3037492666276727</v>
          </cell>
          <cell r="G197">
            <v>0.15638861758602901</v>
          </cell>
          <cell r="T197">
            <v>6721.8173789557977</v>
          </cell>
        </row>
        <row r="198">
          <cell r="D198">
            <v>7.3118047305324547E-3</v>
          </cell>
          <cell r="E198">
            <v>1.9872749083330001</v>
          </cell>
        </row>
        <row r="199">
          <cell r="D199">
            <v>0.42695441552363472</v>
          </cell>
          <cell r="E199">
            <v>6.9852652742080004</v>
          </cell>
          <cell r="F199">
            <v>0.30211444153715999</v>
          </cell>
          <cell r="K199">
            <v>2.7439329386480003</v>
          </cell>
          <cell r="L199">
            <v>0.74004920181899991</v>
          </cell>
        </row>
        <row r="200">
          <cell r="E200">
            <v>7.1493865753252024</v>
          </cell>
          <cell r="N200">
            <v>1.2065816203999999E-2</v>
          </cell>
          <cell r="T200">
            <v>1038.2905219642876</v>
          </cell>
        </row>
        <row r="201">
          <cell r="D201">
            <v>6.090794542247183E-3</v>
          </cell>
          <cell r="F201">
            <v>0.70680528706413603</v>
          </cell>
          <cell r="G201">
            <v>2.3170391230000003E-3</v>
          </cell>
        </row>
        <row r="202">
          <cell r="D202">
            <v>6.7417912661554523E-3</v>
          </cell>
        </row>
        <row r="203">
          <cell r="D203">
            <v>6.3742304784533974E-3</v>
          </cell>
          <cell r="G203">
            <v>1.0732627E-2</v>
          </cell>
        </row>
        <row r="204">
          <cell r="D204">
            <v>3.4488965691039349E-3</v>
          </cell>
          <cell r="E204">
            <v>7.5585340099100008E-4</v>
          </cell>
        </row>
        <row r="207">
          <cell r="E207">
            <v>45.735238313206004</v>
          </cell>
        </row>
        <row r="209">
          <cell r="D209">
            <v>5.760161284515967E-5</v>
          </cell>
        </row>
        <row r="213">
          <cell r="D213">
            <v>0.24624044659970479</v>
          </cell>
          <cell r="E213">
            <v>5.0929697818041513</v>
          </cell>
          <cell r="F213">
            <v>2.6362462448576749</v>
          </cell>
          <cell r="G213">
            <v>0.27591967015249996</v>
          </cell>
        </row>
        <row r="214">
          <cell r="D214">
            <v>1.1517442488389678E-3</v>
          </cell>
          <cell r="F214">
            <v>0.48125790530171997</v>
          </cell>
        </row>
        <row r="215">
          <cell r="D215">
            <v>2.9947416927673973E-2</v>
          </cell>
          <cell r="E215">
            <v>0.54795881298496008</v>
          </cell>
        </row>
      </sheetData>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egmentation"/>
      <sheetName val="(SUP13)"/>
      <sheetName val="(USETOT13)"/>
      <sheetName val="(FBCF13)"/>
      <sheetName val="(USEDOM13)"/>
      <sheetName val="(USEIM13)"/>
      <sheetName val="(TAXDOM13)"/>
      <sheetName val="(SUBDOM13)"/>
      <sheetName val="(MCDOM13)"/>
      <sheetName val="(MTDOM13)"/>
      <sheetName val="(TAXIM13)"/>
      <sheetName val="(SUBIM13)"/>
      <sheetName val="(MCIM13)"/>
      <sheetName val="(MTIM13)"/>
      <sheetName val="AggrStep1"/>
      <sheetName val="Step1"/>
      <sheetName val="AggrStep2A"/>
      <sheetName val="AggrStep2B"/>
      <sheetName val="Step2"/>
      <sheetName val="ShareStep3"/>
      <sheetName val="AggrStep3"/>
      <sheetName val="Step3"/>
      <sheetName val="ShareStep4"/>
      <sheetName val="Step4"/>
      <sheetName val="AggrStep5"/>
      <sheetName val="Step5"/>
      <sheetName val="SharesStep6"/>
      <sheetName val="Step6"/>
      <sheetName val="shareStep7"/>
      <sheetName val="household_calcultion "/>
      <sheetName val="Step7"/>
      <sheetName val="calculationStep8"/>
      <sheetName val="AggrStep8"/>
      <sheetName val="Step8"/>
      <sheetName val="government_calculation"/>
      <sheetName val="ShareStep9"/>
      <sheetName val="Step9"/>
      <sheetName val="Demography"/>
      <sheetName val="summary data"/>
      <sheetName val="summary energy consump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6">
          <cell r="BH6">
            <v>0</v>
          </cell>
        </row>
        <row r="25">
          <cell r="AM25">
            <v>16281.629000000003</v>
          </cell>
          <cell r="AN25">
            <v>516.78899999999999</v>
          </cell>
          <cell r="AO25">
            <v>12731.066999999999</v>
          </cell>
          <cell r="AP25">
            <v>2306.7730000000001</v>
          </cell>
          <cell r="AQ25">
            <v>39988.79</v>
          </cell>
          <cell r="AR25">
            <v>1486.569</v>
          </cell>
          <cell r="AS25">
            <v>2309.3200000000002</v>
          </cell>
          <cell r="AT25">
            <v>6117.14</v>
          </cell>
          <cell r="AU25">
            <v>14261.575999999999</v>
          </cell>
          <cell r="AV25">
            <v>30907.031999999996</v>
          </cell>
          <cell r="AW25">
            <v>49110.353999999985</v>
          </cell>
          <cell r="AX25">
            <v>34208.651000000005</v>
          </cell>
          <cell r="AY25">
            <v>7607.076</v>
          </cell>
          <cell r="AZ25">
            <v>1141.748</v>
          </cell>
          <cell r="BA25">
            <v>62477.72</v>
          </cell>
          <cell r="BB25">
            <v>120540.09299999999</v>
          </cell>
          <cell r="BC25">
            <v>603.56499999999994</v>
          </cell>
          <cell r="BD25">
            <v>71886.799000000014</v>
          </cell>
          <cell r="BE25">
            <v>14162.569</v>
          </cell>
          <cell r="BF25">
            <v>7444.2049999999999</v>
          </cell>
          <cell r="BG25">
            <v>23.548999999999999</v>
          </cell>
          <cell r="BH25">
            <v>81222.350000000006</v>
          </cell>
          <cell r="BI25">
            <v>363423.54499999998</v>
          </cell>
        </row>
        <row r="26">
          <cell r="AM26">
            <v>5.9706494829678478</v>
          </cell>
          <cell r="AN26">
            <v>0</v>
          </cell>
          <cell r="AO26">
            <v>8031.4235318540923</v>
          </cell>
          <cell r="AP26">
            <v>2589.0442925679417</v>
          </cell>
          <cell r="AQ26">
            <v>15021.208104034034</v>
          </cell>
          <cell r="AR26">
            <v>36.139726226529376</v>
          </cell>
          <cell r="AS26">
            <v>2733.3088366185839</v>
          </cell>
          <cell r="AT26">
            <v>959.19068066248633</v>
          </cell>
          <cell r="AU26">
            <v>12955.328258665224</v>
          </cell>
          <cell r="AV26">
            <v>1073.2348304259431</v>
          </cell>
          <cell r="AW26">
            <v>7796.7201667973841</v>
          </cell>
          <cell r="AX26">
            <v>8.2100000000000009</v>
          </cell>
          <cell r="AY26">
            <v>0</v>
          </cell>
          <cell r="AZ26">
            <v>3.1160000000000001</v>
          </cell>
          <cell r="BA26">
            <v>49.407039999999995</v>
          </cell>
          <cell r="BB26">
            <v>68.727239999999995</v>
          </cell>
          <cell r="BC26">
            <v>2.7269700000000001</v>
          </cell>
          <cell r="BD26">
            <v>906.27792000000022</v>
          </cell>
          <cell r="BE26">
            <v>0</v>
          </cell>
          <cell r="BF26">
            <v>60570.934552815132</v>
          </cell>
          <cell r="BG26">
            <v>6514.4988748825435</v>
          </cell>
          <cell r="BH26">
            <v>27556.933948516333</v>
          </cell>
          <cell r="BI26">
            <v>9122.0974100000003</v>
          </cell>
        </row>
        <row r="27">
          <cell r="AM27">
            <v>2860.46</v>
          </cell>
          <cell r="AN27">
            <v>141.48400000000001</v>
          </cell>
          <cell r="AO27">
            <v>26809.036</v>
          </cell>
          <cell r="AP27">
            <v>5691.4509999999991</v>
          </cell>
          <cell r="AQ27">
            <v>7047.6846964529095</v>
          </cell>
          <cell r="AR27">
            <v>11459.716</v>
          </cell>
          <cell r="AS27">
            <v>6369.0559999999996</v>
          </cell>
          <cell r="AT27">
            <v>29556.031999999992</v>
          </cell>
          <cell r="AU27">
            <v>1702.8230000000001</v>
          </cell>
          <cell r="AV27">
            <v>1634.4839999999999</v>
          </cell>
          <cell r="AW27">
            <v>77773.725999999981</v>
          </cell>
          <cell r="AX27">
            <v>728.29300000000001</v>
          </cell>
          <cell r="AY27">
            <v>39.372</v>
          </cell>
          <cell r="AZ27">
            <v>104.24799999999999</v>
          </cell>
          <cell r="BA27">
            <v>1340.5</v>
          </cell>
          <cell r="BB27">
            <v>1718.752</v>
          </cell>
          <cell r="BC27">
            <v>168.89699999999999</v>
          </cell>
          <cell r="BD27">
            <v>85005.48900000006</v>
          </cell>
          <cell r="BE27">
            <v>14479.469000000001</v>
          </cell>
          <cell r="BF27">
            <v>755.84900000000005</v>
          </cell>
          <cell r="BG27">
            <v>1415.9473035470903</v>
          </cell>
          <cell r="BH27">
            <v>1386.096</v>
          </cell>
          <cell r="BI27">
            <v>37854.733</v>
          </cell>
        </row>
        <row r="70">
          <cell r="Q70">
            <v>59.310999999999986</v>
          </cell>
          <cell r="R70">
            <v>0.60299999999999998</v>
          </cell>
          <cell r="S70">
            <v>749.39499999999998</v>
          </cell>
          <cell r="T70">
            <v>223.72200000000001</v>
          </cell>
          <cell r="U70">
            <v>952.64800000000002</v>
          </cell>
          <cell r="V70">
            <v>2189.8240000000001</v>
          </cell>
          <cell r="W70">
            <v>4763.8670000000002</v>
          </cell>
          <cell r="X70">
            <v>1485.4820000000002</v>
          </cell>
          <cell r="Y70">
            <v>32.048999999999999</v>
          </cell>
          <cell r="Z70">
            <v>862.26799999999992</v>
          </cell>
          <cell r="AA70">
            <v>1856.8489999999999</v>
          </cell>
          <cell r="AB70">
            <v>439.94299999999998</v>
          </cell>
          <cell r="AC70">
            <v>97.722000000000008</v>
          </cell>
          <cell r="AD70">
            <v>6.3380000000000001</v>
          </cell>
          <cell r="AE70">
            <v>42613.156000000003</v>
          </cell>
          <cell r="AF70">
            <v>3451.8700000000003</v>
          </cell>
          <cell r="AG70">
            <v>20.029999999999998</v>
          </cell>
          <cell r="AH70">
            <v>1294.8979999999992</v>
          </cell>
          <cell r="AI70">
            <v>143.16899999999998</v>
          </cell>
          <cell r="AJ70">
            <v>328415.43699999998</v>
          </cell>
          <cell r="AK70">
            <v>0.36</v>
          </cell>
          <cell r="AL70">
            <v>421.95100000000002</v>
          </cell>
          <cell r="AM70">
            <v>18.373000000000001</v>
          </cell>
        </row>
        <row r="71">
          <cell r="Q71">
            <v>3.7266061988958232</v>
          </cell>
          <cell r="R71">
            <v>0</v>
          </cell>
          <cell r="S71">
            <v>8943.7967617095019</v>
          </cell>
          <cell r="T71">
            <v>1613.8495814901419</v>
          </cell>
          <cell r="U71">
            <v>28199.995532843135</v>
          </cell>
          <cell r="V71">
            <v>51.841343832020996</v>
          </cell>
          <cell r="W71">
            <v>254.02585417232382</v>
          </cell>
          <cell r="X71">
            <v>1216.5018493147104</v>
          </cell>
          <cell r="Y71">
            <v>23311.967803228406</v>
          </cell>
          <cell r="Z71">
            <v>604.0613743911822</v>
          </cell>
          <cell r="AA71">
            <v>8766.9586793796607</v>
          </cell>
          <cell r="AB71">
            <v>11.154</v>
          </cell>
          <cell r="AC71">
            <v>0</v>
          </cell>
          <cell r="AD71">
            <v>4.234</v>
          </cell>
          <cell r="AE71">
            <v>67.126829999999998</v>
          </cell>
          <cell r="AF71">
            <v>93.376180000000019</v>
          </cell>
          <cell r="AG71">
            <v>1.57419</v>
          </cell>
          <cell r="AH71">
            <v>1568.2868799999999</v>
          </cell>
          <cell r="AI71">
            <v>0</v>
          </cell>
          <cell r="AJ71">
            <v>6751.2572386257489</v>
          </cell>
          <cell r="AK71">
            <v>38620.861541775164</v>
          </cell>
          <cell r="AL71">
            <v>2622.2195695659325</v>
          </cell>
          <cell r="AM71">
            <v>161.10099</v>
          </cell>
        </row>
        <row r="72">
          <cell r="Q72">
            <v>6.6579999999999977</v>
          </cell>
          <cell r="R72">
            <v>0.32900000000000001</v>
          </cell>
          <cell r="S72">
            <v>54.044000000000004</v>
          </cell>
          <cell r="T72">
            <v>88.415000000000006</v>
          </cell>
          <cell r="U72">
            <v>16.126166414771056</v>
          </cell>
          <cell r="V72">
            <v>25.635000000000002</v>
          </cell>
          <cell r="W72">
            <v>54.582999999999998</v>
          </cell>
          <cell r="X72">
            <v>183.346</v>
          </cell>
          <cell r="Y72">
            <v>3.9630000000000001</v>
          </cell>
          <cell r="Z72">
            <v>3.6799999999999993</v>
          </cell>
          <cell r="AA72">
            <v>337.76800000000009</v>
          </cell>
          <cell r="AB72">
            <v>1.6950000000000001</v>
          </cell>
          <cell r="AC72">
            <v>9.1000000000000011E-2</v>
          </cell>
          <cell r="AD72">
            <v>0.24099999999999999</v>
          </cell>
          <cell r="AE72">
            <v>3.169</v>
          </cell>
          <cell r="AF72">
            <v>3.9979999999999998</v>
          </cell>
          <cell r="AG72">
            <v>0.34499999999999997</v>
          </cell>
          <cell r="AH72">
            <v>196.09000000000003</v>
          </cell>
          <cell r="AI72">
            <v>58.888999999999996</v>
          </cell>
          <cell r="AJ72">
            <v>1.76</v>
          </cell>
          <cell r="AK72">
            <v>3.2828335852289441</v>
          </cell>
          <cell r="AL72">
            <v>1.177</v>
          </cell>
          <cell r="AM72">
            <v>0</v>
          </cell>
        </row>
      </sheetData>
      <sheetData sheetId="35"/>
      <sheetData sheetId="36"/>
      <sheetData sheetId="37"/>
      <sheetData sheetId="38"/>
      <sheetData sheetId="39"/>
      <sheetData sheetId="4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Gissela.Landa/Dropbox%20(FOSEM)/AFD%20SENER%20Mexico/Projet%20SENER/Calibration/Data%20source/other%20sources/UNAM-Adrian/2013%20-%20Energ&#237;a%20y%20Emisione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CIENCES.PO" refreshedDate="43251.622516319447" createdVersion="6" refreshedVersion="6" minRefreshableVersion="3" recordCount="150">
  <cacheSource type="worksheet">
    <worksheetSource ref="B3:I153" sheet="DATOS 2013"/>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Agropecuario"/>
        <s v="Industrial"/>
        <s v="Centro transformador"/>
        <s v="Sector Eléctrico"/>
      </sharedItems>
    </cacheField>
    <cacheField name="Rama" numFmtId="0">
      <sharedItems count="53">
        <s v="Residencial"/>
        <s v="Comercial"/>
        <s v="Público"/>
        <s v="Autotransporte"/>
        <s v="Aéreo"/>
        <s v="Marítimo"/>
        <s v="Ferroviario"/>
        <s v="Eléctrico"/>
        <s v="Maquinaria de construcción Transp"/>
        <s v="Agropecuario Transp"/>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f"/>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CIENCES.PO" refreshedDate="43523.583703703705" createdVersion="6" refreshedVersion="6" minRefreshableVersion="3" recordCount="150">
  <cacheSource type="worksheet">
    <worksheetSource ref="B3:I153" sheet="Resumen 2013" r:id="rId2"/>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Industrial"/>
        <s v="Agropecuario"/>
        <s v="Centro transformador"/>
        <s v="Sector Eléctrico"/>
      </sharedItems>
    </cacheField>
    <cacheField name="Rama" numFmtId="0">
      <sharedItems count="52">
        <s v="Residencial"/>
        <s v="Comercial"/>
        <s v="Público"/>
        <s v="Autotransporte"/>
        <s v="Aéreo"/>
        <s v="Marítimo"/>
        <s v="Ferroviario"/>
        <s v="Eléctrico"/>
        <s v="construcción maquinaria"/>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ount="9">
        <n v="0"/>
        <n v="25018.789872247271"/>
        <n v="50268.849253219865"/>
        <n v="778.54149599999994"/>
        <n v="1688.8980994351048"/>
        <n v="0.51286324049999998"/>
        <n v="3432.6637270000001"/>
        <n v="36085.958794464073"/>
        <n v="4710.078422205119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0">
  <r>
    <x v="0"/>
    <x v="0"/>
    <x v="0"/>
    <x v="0"/>
    <n v="4.0359999999999996"/>
    <n v="0"/>
    <n v="0"/>
    <n v="0"/>
  </r>
  <r>
    <x v="0"/>
    <x v="0"/>
    <x v="0"/>
    <x v="1"/>
    <n v="255.42239699999999"/>
    <n v="0"/>
    <n v="0"/>
    <n v="0"/>
  </r>
  <r>
    <x v="0"/>
    <x v="0"/>
    <x v="0"/>
    <x v="2"/>
    <n v="256.95786800000002"/>
    <n v="16723.5632272572"/>
    <n v="16214.041470800001"/>
    <n v="0"/>
  </r>
  <r>
    <x v="0"/>
    <x v="0"/>
    <x v="0"/>
    <x v="3"/>
    <n v="1.351008"/>
    <n v="98.102121932160003"/>
    <n v="0"/>
    <n v="0"/>
  </r>
  <r>
    <x v="0"/>
    <x v="0"/>
    <x v="0"/>
    <x v="4"/>
    <n v="33.802999999999997"/>
    <n v="1952.3226877"/>
    <n v="1896.3482999999999"/>
    <n v="0"/>
  </r>
  <r>
    <x v="0"/>
    <x v="0"/>
    <x v="0"/>
    <x v="5"/>
    <n v="191.13900000000001"/>
    <n v="0"/>
    <n v="0"/>
    <n v="0"/>
  </r>
  <r>
    <x v="0"/>
    <x v="0"/>
    <x v="1"/>
    <x v="0"/>
    <n v="2.819"/>
    <n v="0"/>
    <n v="0"/>
    <n v="0"/>
  </r>
  <r>
    <x v="0"/>
    <x v="0"/>
    <x v="1"/>
    <x v="2"/>
    <n v="65.030894000000004"/>
    <n v="4232.3991711126009"/>
    <n v="4103.4494113999999"/>
    <n v="0"/>
  </r>
  <r>
    <x v="0"/>
    <x v="0"/>
    <x v="1"/>
    <x v="6"/>
    <n v="4.3962430000000001"/>
    <n v="320.26968765711007"/>
    <n v="325.76160629999998"/>
    <n v="0"/>
  </r>
  <r>
    <x v="0"/>
    <x v="0"/>
    <x v="1"/>
    <x v="4"/>
    <n v="11.097"/>
    <n v="640.91722230000005"/>
    <n v="622.54169999999999"/>
    <n v="0"/>
  </r>
  <r>
    <x v="0"/>
    <x v="0"/>
    <x v="1"/>
    <x v="5"/>
    <n v="50.081000000000003"/>
    <n v="0"/>
    <n v="0"/>
    <n v="0"/>
  </r>
  <r>
    <x v="0"/>
    <x v="0"/>
    <x v="2"/>
    <x v="5"/>
    <n v="33.427"/>
    <n v="0"/>
    <n v="0"/>
    <n v="0"/>
  </r>
  <r>
    <x v="0"/>
    <x v="1"/>
    <x v="3"/>
    <x v="2"/>
    <n v="54.098236"/>
    <n v="3520.8700837644001"/>
    <n v="3413.5986916000002"/>
    <n v="0"/>
  </r>
  <r>
    <x v="0"/>
    <x v="1"/>
    <x v="3"/>
    <x v="7"/>
    <n v="1471.103975"/>
    <n v="105436.87141664958"/>
    <n v="101947.5054675"/>
    <n v="0"/>
  </r>
  <r>
    <x v="0"/>
    <x v="1"/>
    <x v="3"/>
    <x v="6"/>
    <n v="548.57963900000004"/>
    <n v="39964.449107472035"/>
    <n v="40649.751249900008"/>
    <n v="0"/>
  </r>
  <r>
    <x v="0"/>
    <x v="1"/>
    <x v="3"/>
    <x v="4"/>
    <n v="0.86699999999999999"/>
    <n v="50.074365299999997"/>
    <n v="48.6387"/>
    <n v="0"/>
  </r>
  <r>
    <x v="0"/>
    <x v="1"/>
    <x v="4"/>
    <x v="7"/>
    <n v="0.85647499999999999"/>
    <n v="61.385222242075002"/>
    <n v="59.353717500000002"/>
    <n v="0"/>
  </r>
  <r>
    <x v="0"/>
    <x v="1"/>
    <x v="4"/>
    <x v="3"/>
    <n v="126.329669"/>
    <n v="9173.305111359381"/>
    <n v="0"/>
    <n v="0"/>
  </r>
  <r>
    <x v="0"/>
    <x v="1"/>
    <x v="5"/>
    <x v="6"/>
    <n v="28.674313999999999"/>
    <n v="2088.94585412178"/>
    <n v="2124.7666674000002"/>
    <n v="0"/>
  </r>
  <r>
    <x v="0"/>
    <x v="1"/>
    <x v="5"/>
    <x v="8"/>
    <n v="8.1303E-2"/>
    <n v="6.4595396106000003"/>
    <n v="6.5611521000000002"/>
    <n v="0"/>
  </r>
  <r>
    <x v="0"/>
    <x v="1"/>
    <x v="6"/>
    <x v="2"/>
    <n v="0"/>
    <n v="0"/>
    <n v="0"/>
    <n v="0"/>
  </r>
  <r>
    <x v="0"/>
    <x v="1"/>
    <x v="6"/>
    <x v="7"/>
    <n v="0"/>
    <n v="0"/>
    <n v="0"/>
    <n v="0"/>
  </r>
  <r>
    <x v="0"/>
    <x v="1"/>
    <x v="6"/>
    <x v="6"/>
    <n v="26.448539"/>
    <n v="1926.7964315250301"/>
    <n v="1959.8367398999999"/>
    <n v="0"/>
  </r>
  <r>
    <x v="0"/>
    <x v="1"/>
    <x v="6"/>
    <x v="5"/>
    <n v="0.161"/>
    <n v="0"/>
    <n v="0"/>
    <n v="0"/>
  </r>
  <r>
    <x v="0"/>
    <x v="1"/>
    <x v="7"/>
    <x v="5"/>
    <n v="4.0659999999999998"/>
    <n v="0"/>
    <n v="0"/>
    <n v="0"/>
  </r>
  <r>
    <x v="0"/>
    <x v="1"/>
    <x v="8"/>
    <x v="6"/>
    <n v="10.947546000000001"/>
    <n v="797.53715571042005"/>
    <n v="811.21315860000004"/>
    <n v="0"/>
  </r>
  <r>
    <x v="0"/>
    <x v="1"/>
    <x v="9"/>
    <x v="6"/>
    <n v="115.550152"/>
    <n v="8417.9175468170397"/>
    <n v="8562.2662631999992"/>
    <n v="0"/>
  </r>
  <r>
    <x v="0"/>
    <x v="2"/>
    <x v="10"/>
    <x v="2"/>
    <n v="6.0288570000000004"/>
    <n v="392.37549724530004"/>
    <n v="380.42087670000001"/>
    <n v="0"/>
  </r>
  <r>
    <x v="0"/>
    <x v="2"/>
    <x v="10"/>
    <x v="3"/>
    <n v="8.1239999999999993E-3"/>
    <n v="0.58991629848000005"/>
    <n v="0"/>
    <n v="0"/>
  </r>
  <r>
    <x v="0"/>
    <x v="2"/>
    <x v="10"/>
    <x v="5"/>
    <n v="37.027999999999999"/>
    <n v="0"/>
    <n v="0"/>
    <n v="0"/>
  </r>
  <r>
    <x v="0"/>
    <x v="3"/>
    <x v="11"/>
    <x v="9"/>
    <n v="65.126006000000004"/>
    <n v="7137.6806568480597"/>
    <n v="6160.9201676000002"/>
    <n v="0"/>
  </r>
  <r>
    <x v="0"/>
    <x v="3"/>
    <x v="11"/>
    <x v="10"/>
    <n v="2.2635710000000002"/>
    <n v="178.80200848952001"/>
    <n v="220.69817250000003"/>
    <n v="0"/>
  </r>
  <r>
    <x v="0"/>
    <x v="3"/>
    <x v="11"/>
    <x v="2"/>
    <n v="6.2030000000000002E-3"/>
    <n v="0.40370922870000003"/>
    <n v="0.39140930000000002"/>
    <n v="0"/>
  </r>
  <r>
    <x v="0"/>
    <x v="3"/>
    <x v="11"/>
    <x v="3"/>
    <n v="0"/>
    <n v="0"/>
    <n v="0"/>
    <n v="0"/>
  </r>
  <r>
    <x v="0"/>
    <x v="3"/>
    <x v="11"/>
    <x v="6"/>
    <n v="0.88261100000000003"/>
    <n v="64.298890960470004"/>
    <n v="65.401475099999999"/>
    <n v="0"/>
  </r>
  <r>
    <x v="0"/>
    <x v="3"/>
    <x v="11"/>
    <x v="8"/>
    <n v="2.9323039999999998"/>
    <n v="232.97213926079996"/>
    <n v="236.63693279999998"/>
    <n v="0"/>
  </r>
  <r>
    <x v="0"/>
    <x v="3"/>
    <x v="11"/>
    <x v="4"/>
    <n v="115.285"/>
    <n v="6658.3889314999997"/>
    <n v="6467.4885000000004"/>
    <n v="0"/>
  </r>
  <r>
    <x v="0"/>
    <x v="3"/>
    <x v="11"/>
    <x v="5"/>
    <n v="21.582000000000001"/>
    <n v="0"/>
    <n v="0"/>
    <n v="0"/>
  </r>
  <r>
    <x v="0"/>
    <x v="3"/>
    <x v="12"/>
    <x v="11"/>
    <n v="5.8601640000000002"/>
    <n v="749.55863382179996"/>
    <n v="591.87656400000003"/>
    <n v="0"/>
  </r>
  <r>
    <x v="0"/>
    <x v="3"/>
    <x v="12"/>
    <x v="9"/>
    <n v="0"/>
    <n v="0"/>
    <n v="0"/>
    <n v="0"/>
  </r>
  <r>
    <x v="0"/>
    <x v="3"/>
    <x v="12"/>
    <x v="10"/>
    <n v="100.994443"/>
    <n v="7977.6641663461596"/>
    <n v="9846.9581925000002"/>
    <n v="0"/>
  </r>
  <r>
    <x v="0"/>
    <x v="3"/>
    <x v="12"/>
    <x v="2"/>
    <n v="4.0000000000000003E-5"/>
    <n v="2.6033160000000005E-3"/>
    <n v="2.5240000000000002E-3"/>
    <n v="0"/>
  </r>
  <r>
    <x v="0"/>
    <x v="3"/>
    <x v="12"/>
    <x v="6"/>
    <n v="0.26655099999999998"/>
    <n v="19.41844559427"/>
    <n v="19.751429099999999"/>
    <n v="0"/>
  </r>
  <r>
    <x v="0"/>
    <x v="3"/>
    <x v="12"/>
    <x v="8"/>
    <n v="1.4900869999999999"/>
    <n v="118.38771016739999"/>
    <n v="120.2500209"/>
    <n v="0"/>
  </r>
  <r>
    <x v="0"/>
    <x v="3"/>
    <x v="12"/>
    <x v="4"/>
    <n v="4.4249999999999998"/>
    <n v="255.56985749999998"/>
    <n v="248.24250000000001"/>
    <n v="0"/>
  </r>
  <r>
    <x v="0"/>
    <x v="3"/>
    <x v="12"/>
    <x v="5"/>
    <n v="36.133000000000003"/>
    <n v="0"/>
    <n v="0"/>
    <n v="0"/>
  </r>
  <r>
    <x v="0"/>
    <x v="3"/>
    <x v="13"/>
    <x v="12"/>
    <n v="59.526828000000002"/>
    <n v="6065.7458042806529"/>
    <n v="6667.0047360000008"/>
    <n v="0"/>
  </r>
  <r>
    <x v="0"/>
    <x v="3"/>
    <x v="13"/>
    <x v="2"/>
    <n v="2.5599999999999999E-4"/>
    <n v="1.6661222399999998E-2"/>
    <n v="1.6153600000000001E-2"/>
    <n v="0"/>
  </r>
  <r>
    <x v="0"/>
    <x v="3"/>
    <x v="13"/>
    <x v="6"/>
    <n v="0"/>
    <n v="0"/>
    <n v="0"/>
    <n v="0"/>
  </r>
  <r>
    <x v="0"/>
    <x v="3"/>
    <x v="13"/>
    <x v="8"/>
    <n v="3.4816769999999999"/>
    <n v="276.61993398539994"/>
    <n v="280.97133389999999"/>
    <n v="0"/>
  </r>
  <r>
    <x v="0"/>
    <x v="3"/>
    <x v="13"/>
    <x v="5"/>
    <n v="4.1449999999999996"/>
    <n v="0"/>
    <n v="0"/>
    <n v="0"/>
  </r>
  <r>
    <x v="0"/>
    <x v="3"/>
    <x v="14"/>
    <x v="6"/>
    <n v="0.43508999999999998"/>
    <n v="31.696641519299998"/>
    <n v="32.240168999999995"/>
    <n v="0"/>
  </r>
  <r>
    <x v="0"/>
    <x v="3"/>
    <x v="14"/>
    <x v="8"/>
    <n v="9.5646999999999996E-2"/>
    <n v="7.5991732793999986"/>
    <n v="7.7187128999999999"/>
    <n v="0"/>
  </r>
  <r>
    <x v="0"/>
    <x v="3"/>
    <x v="14"/>
    <x v="7"/>
    <n v="0"/>
    <n v="0"/>
    <n v="0"/>
    <n v="0"/>
  </r>
  <r>
    <x v="0"/>
    <x v="3"/>
    <x v="14"/>
    <x v="4"/>
    <n v="110.779"/>
    <n v="6398.1408461000001"/>
    <n v="6214.7018999999991"/>
    <n v="0"/>
  </r>
  <r>
    <x v="0"/>
    <x v="3"/>
    <x v="14"/>
    <x v="5"/>
    <n v="5.117"/>
    <n v="0"/>
    <n v="0"/>
    <n v="0"/>
  </r>
  <r>
    <x v="0"/>
    <x v="3"/>
    <x v="15"/>
    <x v="10"/>
    <n v="1.9029609999999999"/>
    <n v="150.31702070631997"/>
    <n v="185.53869749999998"/>
    <n v="0"/>
  </r>
  <r>
    <x v="0"/>
    <x v="3"/>
    <x v="15"/>
    <x v="2"/>
    <n v="0.83927700000000005"/>
    <n v="54.622581063300011"/>
    <n v="52.958378700000004"/>
    <n v="0"/>
  </r>
  <r>
    <x v="0"/>
    <x v="3"/>
    <x v="15"/>
    <x v="6"/>
    <n v="4.1992229999999999"/>
    <n v="305.91662895170998"/>
    <n v="311.1624243"/>
    <n v="0"/>
  </r>
  <r>
    <x v="0"/>
    <x v="3"/>
    <x v="15"/>
    <x v="8"/>
    <n v="3.3719830000000002"/>
    <n v="267.90472374659998"/>
    <n v="272.11902809999998"/>
    <n v="0"/>
  </r>
  <r>
    <x v="0"/>
    <x v="3"/>
    <x v="15"/>
    <x v="4"/>
    <n v="66.287999999999997"/>
    <n v="3828.5230992000002"/>
    <n v="3718.7567999999997"/>
    <n v="0"/>
  </r>
  <r>
    <x v="0"/>
    <x v="3"/>
    <x v="15"/>
    <x v="5"/>
    <n v="17.125"/>
    <n v="0"/>
    <n v="0"/>
    <n v="0"/>
  </r>
  <r>
    <x v="0"/>
    <x v="3"/>
    <x v="16"/>
    <x v="9"/>
    <n v="0"/>
    <n v="0"/>
    <n v="0"/>
    <n v="0"/>
  </r>
  <r>
    <x v="0"/>
    <x v="3"/>
    <x v="16"/>
    <x v="10"/>
    <n v="0"/>
    <n v="0"/>
    <n v="0"/>
    <n v="0"/>
  </r>
  <r>
    <x v="0"/>
    <x v="3"/>
    <x v="16"/>
    <x v="2"/>
    <n v="9.3198019999999993"/>
    <n v="606.5597415858"/>
    <n v="588.07950619999997"/>
    <n v="0"/>
  </r>
  <r>
    <x v="0"/>
    <x v="3"/>
    <x v="16"/>
    <x v="6"/>
    <n v="4.3686129999999999"/>
    <n v="318.25682088201"/>
    <n v="323.71422330000001"/>
    <n v="0"/>
  </r>
  <r>
    <x v="0"/>
    <x v="3"/>
    <x v="16"/>
    <x v="8"/>
    <n v="2.2258830000000001"/>
    <n v="176.84684952660001"/>
    <n v="179.6287581"/>
    <n v="0"/>
  </r>
  <r>
    <x v="0"/>
    <x v="3"/>
    <x v="16"/>
    <x v="4"/>
    <n v="9.2739999999999991"/>
    <n v="535.62821659999997"/>
    <n v="520.27139999999997"/>
    <n v="0"/>
  </r>
  <r>
    <x v="0"/>
    <x v="3"/>
    <x v="16"/>
    <x v="5"/>
    <n v="36.293999999999997"/>
    <n v="0"/>
    <n v="0"/>
    <n v="0"/>
  </r>
  <r>
    <x v="0"/>
    <x v="3"/>
    <x v="17"/>
    <x v="12"/>
    <n v="0"/>
    <n v="0"/>
    <n v="0"/>
    <n v="0"/>
  </r>
  <r>
    <x v="0"/>
    <x v="3"/>
    <x v="17"/>
    <x v="2"/>
    <n v="0.40593800000000002"/>
    <n v="26.419622260200001"/>
    <n v="25.614687799999999"/>
    <n v="0"/>
  </r>
  <r>
    <x v="0"/>
    <x v="3"/>
    <x v="17"/>
    <x v="6"/>
    <n v="1.29373"/>
    <n v="94.249226672100008"/>
    <n v="95.865392999999997"/>
    <n v="0"/>
  </r>
  <r>
    <x v="0"/>
    <x v="3"/>
    <x v="17"/>
    <x v="8"/>
    <n v="5.1573520000000004"/>
    <n v="409.75264787039998"/>
    <n v="416.19830640000004"/>
    <n v="0"/>
  </r>
  <r>
    <x v="0"/>
    <x v="3"/>
    <x v="17"/>
    <x v="4"/>
    <n v="32.664000000000001"/>
    <n v="1886.5387176000002"/>
    <n v="1832.4504000000002"/>
    <n v="0"/>
  </r>
  <r>
    <x v="0"/>
    <x v="3"/>
    <x v="17"/>
    <x v="5"/>
    <n v="10.295999999999999"/>
    <n v="0"/>
    <n v="0"/>
    <n v="0"/>
  </r>
  <r>
    <x v="0"/>
    <x v="3"/>
    <x v="18"/>
    <x v="10"/>
    <n v="6.2199999999999998E-3"/>
    <n v="0.49132476639999995"/>
    <n v="0.60644999999999993"/>
    <n v="0"/>
  </r>
  <r>
    <x v="0"/>
    <x v="3"/>
    <x v="18"/>
    <x v="2"/>
    <n v="0.14721300000000001"/>
    <n v="9.5810489577000002"/>
    <n v="9.2891403000000015"/>
    <n v="0"/>
  </r>
  <r>
    <x v="0"/>
    <x v="3"/>
    <x v="18"/>
    <x v="6"/>
    <n v="0.152535"/>
    <n v="11.11229220195"/>
    <n v="11.302843500000002"/>
    <n v="0"/>
  </r>
  <r>
    <x v="0"/>
    <x v="3"/>
    <x v="18"/>
    <x v="8"/>
    <n v="2.3273769999999998"/>
    <n v="184.91056812539998"/>
    <n v="187.8193239"/>
    <n v="0"/>
  </r>
  <r>
    <x v="0"/>
    <x v="3"/>
    <x v="18"/>
    <x v="4"/>
    <n v="48.554000000000002"/>
    <n v="2804.2799686000003"/>
    <n v="2723.8793999999998"/>
    <n v="0"/>
  </r>
  <r>
    <x v="0"/>
    <x v="3"/>
    <x v="18"/>
    <x v="5"/>
    <n v="4.1779999999999999"/>
    <n v="0"/>
    <n v="0"/>
    <n v="0"/>
  </r>
  <r>
    <x v="0"/>
    <x v="3"/>
    <x v="19"/>
    <x v="2"/>
    <n v="0.814222"/>
    <n v="52.991929003800003"/>
    <n v="51.377408199999998"/>
    <n v="0"/>
  </r>
  <r>
    <x v="0"/>
    <x v="3"/>
    <x v="19"/>
    <x v="6"/>
    <n v="0.140374"/>
    <n v="10.226353987980001"/>
    <n v="10.4017134"/>
    <n v="0"/>
  </r>
  <r>
    <x v="0"/>
    <x v="3"/>
    <x v="19"/>
    <x v="8"/>
    <n v="2.080508"/>
    <n v="165.29677670160001"/>
    <n v="167.8969956"/>
    <n v="0"/>
  </r>
  <r>
    <x v="0"/>
    <x v="3"/>
    <x v="19"/>
    <x v="4"/>
    <n v="15.255000000000001"/>
    <n v="881.06625450000001"/>
    <n v="855.80550000000005"/>
    <n v="0"/>
  </r>
  <r>
    <x v="0"/>
    <x v="3"/>
    <x v="19"/>
    <x v="5"/>
    <n v="3.6819999999999999"/>
    <n v="0"/>
    <n v="0"/>
    <n v="0"/>
  </r>
  <r>
    <x v="0"/>
    <x v="3"/>
    <x v="20"/>
    <x v="5"/>
    <n v="1.7729999999999999"/>
    <n v="0"/>
    <n v="0"/>
    <n v="0"/>
  </r>
  <r>
    <x v="0"/>
    <x v="3"/>
    <x v="21"/>
    <x v="2"/>
    <n v="1.283507"/>
    <n v="83.534357730300002"/>
    <n v="80.989291699999995"/>
    <n v="0"/>
  </r>
  <r>
    <x v="0"/>
    <x v="3"/>
    <x v="21"/>
    <x v="6"/>
    <n v="3.5512489999999999"/>
    <n v="258.71122411173002"/>
    <n v="263.1475509"/>
    <n v="0"/>
  </r>
  <r>
    <x v="0"/>
    <x v="3"/>
    <x v="21"/>
    <x v="8"/>
    <n v="0.67199600000000004"/>
    <n v="53.390216599200002"/>
    <n v="54.230077199999997"/>
    <n v="0"/>
  </r>
  <r>
    <x v="0"/>
    <x v="3"/>
    <x v="21"/>
    <x v="4"/>
    <n v="0.96099999999999997"/>
    <n v="55.503419899999997"/>
    <n v="53.912099999999995"/>
    <n v="0"/>
  </r>
  <r>
    <x v="0"/>
    <x v="3"/>
    <x v="21"/>
    <x v="5"/>
    <n v="3.0630000000000002"/>
    <n v="0"/>
    <n v="0"/>
    <n v="0"/>
  </r>
  <r>
    <x v="0"/>
    <x v="3"/>
    <x v="22"/>
    <x v="2"/>
    <n v="0.54942100000000005"/>
    <n v="35.757912000900006"/>
    <n v="34.668465099999999"/>
    <n v="0"/>
  </r>
  <r>
    <x v="0"/>
    <x v="3"/>
    <x v="22"/>
    <x v="6"/>
    <n v="0.82255599999999995"/>
    <n v="59.923837968120004"/>
    <n v="60.951399599999995"/>
    <n v="0"/>
  </r>
  <r>
    <x v="0"/>
    <x v="3"/>
    <x v="22"/>
    <x v="8"/>
    <n v="0"/>
    <n v="0"/>
    <n v="0"/>
    <n v="0"/>
  </r>
  <r>
    <x v="0"/>
    <x v="3"/>
    <x v="22"/>
    <x v="4"/>
    <n v="4.7320000000000002"/>
    <n v="273.30091880000003"/>
    <n v="265.46520000000004"/>
    <n v="0"/>
  </r>
  <r>
    <x v="0"/>
    <x v="3"/>
    <x v="22"/>
    <x v="5"/>
    <n v="7.875"/>
    <n v="0"/>
    <n v="0"/>
    <n v="0"/>
  </r>
  <r>
    <x v="0"/>
    <x v="3"/>
    <x v="23"/>
    <x v="2"/>
    <n v="1.8652999999999999E-2"/>
    <n v="1.2139913337000001"/>
    <n v="1.1770043000000001"/>
    <n v="0"/>
  </r>
  <r>
    <x v="0"/>
    <x v="3"/>
    <x v="23"/>
    <x v="6"/>
    <n v="1.942977"/>
    <n v="141.54737054229"/>
    <n v="143.97459570000001"/>
    <n v="0"/>
  </r>
  <r>
    <x v="0"/>
    <x v="3"/>
    <x v="23"/>
    <x v="8"/>
    <n v="0.50555899999999998"/>
    <n v="40.166763661799997"/>
    <n v="40.798611299999997"/>
    <n v="0"/>
  </r>
  <r>
    <x v="0"/>
    <x v="3"/>
    <x v="23"/>
    <x v="4"/>
    <n v="5.4610000000000003"/>
    <n v="315.40496990000003"/>
    <n v="306.36210000000005"/>
    <n v="0"/>
  </r>
  <r>
    <x v="0"/>
    <x v="3"/>
    <x v="23"/>
    <x v="5"/>
    <n v="1.6479999999999999"/>
    <n v="0"/>
    <n v="0"/>
    <n v="0"/>
  </r>
  <r>
    <x v="0"/>
    <x v="3"/>
    <x v="24"/>
    <x v="6"/>
    <n v="0.162296"/>
    <n v="11.82338856792"/>
    <n v="12.0261336"/>
    <n v="0"/>
  </r>
  <r>
    <x v="0"/>
    <x v="3"/>
    <x v="24"/>
    <x v="8"/>
    <n v="0"/>
    <n v="0"/>
    <n v="0"/>
    <n v="0"/>
  </r>
  <r>
    <x v="0"/>
    <x v="3"/>
    <x v="24"/>
    <x v="4"/>
    <n v="0.51700000000000002"/>
    <n v="29.859800300000003"/>
    <n v="29.003700000000002"/>
    <n v="0"/>
  </r>
  <r>
    <x v="0"/>
    <x v="3"/>
    <x v="24"/>
    <x v="5"/>
    <n v="0.47499999999999998"/>
    <n v="0"/>
    <n v="0"/>
    <n v="0"/>
  </r>
  <r>
    <x v="0"/>
    <x v="3"/>
    <x v="25"/>
    <x v="2"/>
    <n v="0"/>
    <n v="0"/>
    <n v="0"/>
    <n v="0"/>
  </r>
  <r>
    <x v="0"/>
    <x v="3"/>
    <x v="25"/>
    <x v="6"/>
    <n v="0"/>
    <n v="0"/>
    <n v="0"/>
    <n v="0"/>
  </r>
  <r>
    <x v="0"/>
    <x v="3"/>
    <x v="25"/>
    <x v="8"/>
    <n v="8.7880000000000007E-3"/>
    <n v="0.6982083576"/>
    <n v="0.70919160000000014"/>
    <n v="0"/>
  </r>
  <r>
    <x v="0"/>
    <x v="3"/>
    <x v="25"/>
    <x v="4"/>
    <n v="0.27300000000000002"/>
    <n v="15.767360700000001"/>
    <n v="15.315300000000001"/>
    <n v="0"/>
  </r>
  <r>
    <x v="0"/>
    <x v="3"/>
    <x v="25"/>
    <x v="5"/>
    <n v="0.24199999999999999"/>
    <n v="0"/>
    <n v="0"/>
    <n v="0"/>
  </r>
  <r>
    <x v="0"/>
    <x v="3"/>
    <x v="26"/>
    <x v="0"/>
    <n v="0.38100000000000001"/>
    <n v="0"/>
    <n v="0"/>
    <n v="0"/>
  </r>
  <r>
    <x v="0"/>
    <x v="3"/>
    <x v="26"/>
    <x v="12"/>
    <n v="4.2556149999999988"/>
    <n v="433.64445407512386"/>
    <n v="476.62887999999987"/>
    <n v="0"/>
  </r>
  <r>
    <x v="0"/>
    <x v="3"/>
    <x v="26"/>
    <x v="11"/>
    <n v="94.208432999999999"/>
    <n v="12049.96043352585"/>
    <n v="9515.0517329999984"/>
    <n v="0"/>
  </r>
  <r>
    <x v="0"/>
    <x v="3"/>
    <x v="26"/>
    <x v="10"/>
    <n v="5.9778859999999998"/>
    <n v="472.19991037232001"/>
    <n v="582.843885"/>
    <n v="0"/>
  </r>
  <r>
    <x v="0"/>
    <x v="3"/>
    <x v="26"/>
    <x v="2"/>
    <n v="30.583707"/>
    <n v="1990.4763443103"/>
    <n v="1929.8319117000001"/>
    <n v="0"/>
  </r>
  <r>
    <x v="0"/>
    <x v="3"/>
    <x v="26"/>
    <x v="7"/>
    <n v="0.85200500000000001"/>
    <n v="61.064848683685007"/>
    <n v="59.043946499999997"/>
    <n v="0"/>
  </r>
  <r>
    <x v="0"/>
    <x v="3"/>
    <x v="26"/>
    <x v="3"/>
    <n v="0"/>
    <n v="0"/>
    <n v="0"/>
    <n v="0"/>
  </r>
  <r>
    <x v="0"/>
    <x v="3"/>
    <x v="26"/>
    <x v="6"/>
    <n v="35.364891"/>
    <n v="2576.3595403160698"/>
    <n v="2620.5384230999998"/>
    <n v="0"/>
  </r>
  <r>
    <x v="0"/>
    <x v="3"/>
    <x v="26"/>
    <x v="8"/>
    <n v="1.0112719999999999"/>
    <n v="80.345762654399991"/>
    <n v="81.609650399999992"/>
    <n v="0"/>
  </r>
  <r>
    <x v="0"/>
    <x v="3"/>
    <x v="26"/>
    <x v="4"/>
    <n v="178.715"/>
    <n v="10321.8456685"/>
    <n v="10025.9115"/>
    <n v="0"/>
  </r>
  <r>
    <x v="0"/>
    <x v="3"/>
    <x v="26"/>
    <x v="5"/>
    <n v="376.97500000000002"/>
    <n v="0"/>
    <n v="0"/>
    <n v="0"/>
  </r>
  <r>
    <x v="1"/>
    <x v="4"/>
    <x v="27"/>
    <x v="11"/>
    <n v="0"/>
    <n v="0"/>
    <n v="0"/>
    <n v="0"/>
  </r>
  <r>
    <x v="1"/>
    <x v="4"/>
    <x v="27"/>
    <x v="9"/>
    <n v="3.526732"/>
    <n v="386.52280900331999"/>
    <n v="333.6288472"/>
    <n v="0"/>
  </r>
  <r>
    <x v="1"/>
    <x v="4"/>
    <x v="28"/>
    <x v="13"/>
    <n v="132.85906083999998"/>
    <n v="7728.5417709424228"/>
    <n v="7652.6819043839996"/>
    <n v="0"/>
  </r>
  <r>
    <x v="1"/>
    <x v="4"/>
    <x v="28"/>
    <x v="4"/>
    <n v="250.59017733356711"/>
    <n v="14473.061223059769"/>
    <n v="14058.108948413115"/>
    <n v="0"/>
  </r>
  <r>
    <x v="1"/>
    <x v="4"/>
    <x v="29"/>
    <x v="4"/>
    <n v="112.85074853466141"/>
    <n v="6517.7965472930509"/>
    <n v="6330.9269927945052"/>
    <n v="0"/>
  </r>
  <r>
    <x v="1"/>
    <x v="4"/>
    <x v="30"/>
    <x v="4"/>
    <n v="96.149994922306163"/>
    <n v="5553.2294917332219"/>
    <n v="5394.0147151413757"/>
    <n v="0"/>
  </r>
  <r>
    <x v="1"/>
    <x v="4"/>
    <x v="31"/>
    <x v="13"/>
    <n v="169.09335016"/>
    <n v="9836.3258902903581"/>
    <n v="9739.776969216"/>
    <n v="0"/>
  </r>
  <r>
    <x v="1"/>
    <x v="4"/>
    <x v="31"/>
    <x v="4"/>
    <n v="96.888034597104721"/>
    <n v="5595.8556373869205"/>
    <n v="5435.418740897574"/>
    <n v="0"/>
  </r>
  <r>
    <x v="2"/>
    <x v="5"/>
    <x v="32"/>
    <x v="11"/>
    <n v="298.21721077909376"/>
    <n v="38144.202976866392"/>
    <n v="30119.93828868847"/>
    <n v="25018.789872247271"/>
  </r>
  <r>
    <x v="2"/>
    <x v="5"/>
    <x v="33"/>
    <x v="4"/>
    <n v="1051.4445238765484"/>
    <n v="60727.124776561541"/>
    <n v="58986.037789474358"/>
    <n v="50268.849253219865"/>
  </r>
  <r>
    <x v="2"/>
    <x v="5"/>
    <x v="34"/>
    <x v="4"/>
    <n v="16.284303395455634"/>
    <n v="940.51459847759611"/>
    <n v="913.54942048506098"/>
    <n v="778.54149599999994"/>
  </r>
  <r>
    <x v="2"/>
    <x v="5"/>
    <x v="35"/>
    <x v="8"/>
    <n v="408.48248020040592"/>
    <n v="32454.014748418289"/>
    <n v="32964.536152172761"/>
    <n v="1688.8980994351048"/>
  </r>
  <r>
    <x v="2"/>
    <x v="5"/>
    <x v="36"/>
    <x v="14"/>
    <n v="0"/>
    <n v="0"/>
    <n v="0"/>
    <n v="0"/>
  </r>
  <r>
    <x v="2"/>
    <x v="5"/>
    <x v="37"/>
    <x v="8"/>
    <n v="0.12404279959408351"/>
    <n v="9.8552252363098543"/>
    <n v="10.010253927242541"/>
    <n v="0.51286324049999998"/>
  </r>
  <r>
    <x v="2"/>
    <x v="5"/>
    <x v="38"/>
    <x v="15"/>
    <n v="6.5296000000000003"/>
    <n v="0"/>
    <n v="0"/>
    <n v="0"/>
  </r>
  <r>
    <x v="2"/>
    <x v="5"/>
    <x v="39"/>
    <x v="14"/>
    <n v="0"/>
    <n v="0"/>
    <n v="0"/>
    <n v="0"/>
  </r>
  <r>
    <x v="2"/>
    <x v="5"/>
    <x v="40"/>
    <x v="14"/>
    <n v="0"/>
    <n v="0"/>
    <n v="0"/>
    <n v="0"/>
  </r>
  <r>
    <x v="2"/>
    <x v="5"/>
    <x v="41"/>
    <x v="16"/>
    <n v="131.31599900000001"/>
    <n v="0"/>
    <n v="0"/>
    <n v="0"/>
  </r>
  <r>
    <x v="2"/>
    <x v="5"/>
    <x v="42"/>
    <x v="17"/>
    <n v="98.798878999999999"/>
    <n v="0"/>
    <n v="0"/>
    <n v="0"/>
  </r>
  <r>
    <x v="2"/>
    <x v="5"/>
    <x v="43"/>
    <x v="11"/>
    <n v="40.19138022090619"/>
    <n v="5140.7769560365468"/>
    <n v="4059.3294023115254"/>
    <n v="3432.6637270000001"/>
  </r>
  <r>
    <x v="2"/>
    <x v="5"/>
    <x v="44"/>
    <x v="18"/>
    <n v="122.597565"/>
    <n v="0"/>
    <n v="0"/>
    <n v="0"/>
  </r>
  <r>
    <x v="2"/>
    <x v="5"/>
    <x v="45"/>
    <x v="0"/>
    <n v="4.7E-2"/>
    <n v="0"/>
    <n v="0"/>
    <n v="0"/>
  </r>
  <r>
    <x v="2"/>
    <x v="5"/>
    <x v="46"/>
    <x v="6"/>
    <n v="24.049492999999998"/>
    <n v="1752.02408315961"/>
    <n v="1782.0674312999997"/>
    <n v="36085.958794464073"/>
  </r>
  <r>
    <x v="2"/>
    <x v="5"/>
    <x v="47"/>
    <x v="14"/>
    <n v="0"/>
    <n v="0"/>
    <n v="0"/>
    <n v="0"/>
  </r>
  <r>
    <x v="2"/>
    <x v="5"/>
    <x v="48"/>
    <x v="4"/>
    <n v="69.814172727996038"/>
    <n v="4032.1803786608666"/>
    <n v="3916.5750900405774"/>
    <n v="4710.0784222051198"/>
  </r>
  <r>
    <x v="2"/>
    <x v="5"/>
    <x v="49"/>
    <x v="14"/>
    <n v="0"/>
    <n v="0"/>
    <n v="0"/>
    <n v="0"/>
  </r>
  <r>
    <x v="2"/>
    <x v="5"/>
    <x v="50"/>
    <x v="4"/>
    <n v="0"/>
    <n v="0"/>
    <n v="0"/>
    <n v="0"/>
  </r>
  <r>
    <x v="2"/>
    <x v="5"/>
    <x v="51"/>
    <x v="14"/>
    <n v="0"/>
    <n v="0"/>
    <n v="0"/>
    <n v="0"/>
  </r>
</pivotCacheRecords>
</file>

<file path=xl/pivotCache/pivotCacheRecords2.xml><?xml version="1.0" encoding="utf-8"?>
<pivotCacheRecords xmlns="http://schemas.openxmlformats.org/spreadsheetml/2006/main" xmlns:r="http://schemas.openxmlformats.org/officeDocument/2006/relationships" count="150">
  <r>
    <x v="0"/>
    <x v="0"/>
    <x v="0"/>
    <x v="0"/>
    <n v="4.0359999999999996"/>
    <n v="0"/>
    <n v="0"/>
    <x v="0"/>
  </r>
  <r>
    <x v="0"/>
    <x v="0"/>
    <x v="0"/>
    <x v="1"/>
    <n v="255.42239699999999"/>
    <n v="0"/>
    <n v="0"/>
    <x v="0"/>
  </r>
  <r>
    <x v="0"/>
    <x v="0"/>
    <x v="0"/>
    <x v="2"/>
    <n v="256.95786800000002"/>
    <n v="16723.5632272572"/>
    <n v="16214.041470800001"/>
    <x v="0"/>
  </r>
  <r>
    <x v="0"/>
    <x v="0"/>
    <x v="0"/>
    <x v="3"/>
    <n v="1.351008"/>
    <n v="98.102121932160003"/>
    <n v="0"/>
    <x v="0"/>
  </r>
  <r>
    <x v="0"/>
    <x v="0"/>
    <x v="0"/>
    <x v="4"/>
    <n v="33.802999999999997"/>
    <n v="1952.3226877"/>
    <n v="1896.3482999999999"/>
    <x v="0"/>
  </r>
  <r>
    <x v="0"/>
    <x v="0"/>
    <x v="0"/>
    <x v="5"/>
    <n v="191.13900000000001"/>
    <n v="0"/>
    <n v="0"/>
    <x v="0"/>
  </r>
  <r>
    <x v="0"/>
    <x v="0"/>
    <x v="1"/>
    <x v="0"/>
    <n v="2.819"/>
    <n v="0"/>
    <n v="0"/>
    <x v="0"/>
  </r>
  <r>
    <x v="0"/>
    <x v="0"/>
    <x v="1"/>
    <x v="2"/>
    <n v="65.030894000000004"/>
    <n v="4232.3991711126009"/>
    <n v="4103.4494113999999"/>
    <x v="0"/>
  </r>
  <r>
    <x v="0"/>
    <x v="0"/>
    <x v="1"/>
    <x v="6"/>
    <n v="4.3962430000000001"/>
    <n v="320.26968765711007"/>
    <n v="325.76160629999998"/>
    <x v="0"/>
  </r>
  <r>
    <x v="0"/>
    <x v="0"/>
    <x v="1"/>
    <x v="4"/>
    <n v="11.097"/>
    <n v="640.91722230000005"/>
    <n v="622.54169999999999"/>
    <x v="0"/>
  </r>
  <r>
    <x v="0"/>
    <x v="0"/>
    <x v="1"/>
    <x v="5"/>
    <n v="50.081000000000003"/>
    <n v="0"/>
    <n v="0"/>
    <x v="0"/>
  </r>
  <r>
    <x v="0"/>
    <x v="0"/>
    <x v="2"/>
    <x v="5"/>
    <n v="33.427"/>
    <n v="0"/>
    <n v="0"/>
    <x v="0"/>
  </r>
  <r>
    <x v="0"/>
    <x v="1"/>
    <x v="3"/>
    <x v="2"/>
    <n v="54.098236"/>
    <n v="3520.8700837644001"/>
    <n v="3413.5986916000002"/>
    <x v="0"/>
  </r>
  <r>
    <x v="0"/>
    <x v="1"/>
    <x v="3"/>
    <x v="7"/>
    <n v="1471.103975"/>
    <n v="105436.87141664958"/>
    <n v="101947.5054675"/>
    <x v="0"/>
  </r>
  <r>
    <x v="0"/>
    <x v="1"/>
    <x v="3"/>
    <x v="6"/>
    <n v="548.57963900000004"/>
    <n v="39964.449107472035"/>
    <n v="40649.751249900008"/>
    <x v="0"/>
  </r>
  <r>
    <x v="0"/>
    <x v="1"/>
    <x v="3"/>
    <x v="4"/>
    <n v="0.86699999999999999"/>
    <n v="50.074365299999997"/>
    <n v="48.6387"/>
    <x v="0"/>
  </r>
  <r>
    <x v="0"/>
    <x v="1"/>
    <x v="4"/>
    <x v="7"/>
    <n v="0.85647499999999999"/>
    <n v="61.385222242075002"/>
    <n v="59.353717500000002"/>
    <x v="0"/>
  </r>
  <r>
    <x v="0"/>
    <x v="1"/>
    <x v="4"/>
    <x v="3"/>
    <n v="126.329669"/>
    <n v="9173.305111359381"/>
    <n v="0"/>
    <x v="0"/>
  </r>
  <r>
    <x v="0"/>
    <x v="1"/>
    <x v="5"/>
    <x v="6"/>
    <n v="28.674313999999999"/>
    <n v="2088.94585412178"/>
    <n v="2124.7666674000002"/>
    <x v="0"/>
  </r>
  <r>
    <x v="0"/>
    <x v="1"/>
    <x v="5"/>
    <x v="8"/>
    <n v="8.1303E-2"/>
    <n v="6.4595396106000003"/>
    <n v="6.5611521000000002"/>
    <x v="0"/>
  </r>
  <r>
    <x v="0"/>
    <x v="1"/>
    <x v="6"/>
    <x v="2"/>
    <n v="0"/>
    <n v="0"/>
    <n v="0"/>
    <x v="0"/>
  </r>
  <r>
    <x v="0"/>
    <x v="1"/>
    <x v="6"/>
    <x v="7"/>
    <n v="0"/>
    <n v="0"/>
    <n v="0"/>
    <x v="0"/>
  </r>
  <r>
    <x v="0"/>
    <x v="1"/>
    <x v="6"/>
    <x v="6"/>
    <n v="26.448539"/>
    <n v="1926.7964315250301"/>
    <n v="1959.8367398999999"/>
    <x v="0"/>
  </r>
  <r>
    <x v="0"/>
    <x v="1"/>
    <x v="6"/>
    <x v="5"/>
    <n v="0.161"/>
    <n v="0"/>
    <n v="0"/>
    <x v="0"/>
  </r>
  <r>
    <x v="0"/>
    <x v="1"/>
    <x v="7"/>
    <x v="5"/>
    <n v="4.0659999999999998"/>
    <n v="0"/>
    <n v="0"/>
    <x v="0"/>
  </r>
  <r>
    <x v="0"/>
    <x v="2"/>
    <x v="8"/>
    <x v="6"/>
    <n v="10.947546000000001"/>
    <n v="797.53715571042005"/>
    <n v="811.21315860000004"/>
    <x v="0"/>
  </r>
  <r>
    <x v="0"/>
    <x v="3"/>
    <x v="9"/>
    <x v="6"/>
    <n v="115.550152"/>
    <n v="8417.9175468170397"/>
    <n v="8562.2662631999992"/>
    <x v="0"/>
  </r>
  <r>
    <x v="0"/>
    <x v="3"/>
    <x v="9"/>
    <x v="2"/>
    <n v="6.0288570000000004"/>
    <n v="392.37549724530004"/>
    <n v="380.42087670000001"/>
    <x v="0"/>
  </r>
  <r>
    <x v="0"/>
    <x v="3"/>
    <x v="9"/>
    <x v="3"/>
    <n v="8.1239999999999993E-3"/>
    <n v="0.58991629848000005"/>
    <n v="0"/>
    <x v="0"/>
  </r>
  <r>
    <x v="0"/>
    <x v="3"/>
    <x v="9"/>
    <x v="5"/>
    <n v="37.027999999999999"/>
    <n v="0"/>
    <n v="0"/>
    <x v="0"/>
  </r>
  <r>
    <x v="0"/>
    <x v="2"/>
    <x v="10"/>
    <x v="9"/>
    <n v="65.126006000000004"/>
    <n v="7137.6806568480597"/>
    <n v="6160.9201676000002"/>
    <x v="0"/>
  </r>
  <r>
    <x v="0"/>
    <x v="2"/>
    <x v="10"/>
    <x v="10"/>
    <n v="2.2635710000000002"/>
    <n v="178.80200848952001"/>
    <n v="220.69817250000003"/>
    <x v="0"/>
  </r>
  <r>
    <x v="0"/>
    <x v="2"/>
    <x v="10"/>
    <x v="2"/>
    <n v="6.2030000000000002E-3"/>
    <n v="0.40370922870000003"/>
    <n v="0.39140930000000002"/>
    <x v="0"/>
  </r>
  <r>
    <x v="0"/>
    <x v="2"/>
    <x v="10"/>
    <x v="3"/>
    <n v="0"/>
    <n v="0"/>
    <n v="0"/>
    <x v="0"/>
  </r>
  <r>
    <x v="0"/>
    <x v="2"/>
    <x v="10"/>
    <x v="6"/>
    <n v="0.88261100000000003"/>
    <n v="64.298890960470004"/>
    <n v="65.401475099999999"/>
    <x v="0"/>
  </r>
  <r>
    <x v="0"/>
    <x v="2"/>
    <x v="10"/>
    <x v="8"/>
    <n v="2.9323039999999998"/>
    <n v="232.97213926079996"/>
    <n v="236.63693279999998"/>
    <x v="0"/>
  </r>
  <r>
    <x v="0"/>
    <x v="2"/>
    <x v="10"/>
    <x v="4"/>
    <n v="115.285"/>
    <n v="6658.3889314999997"/>
    <n v="6467.4885000000004"/>
    <x v="0"/>
  </r>
  <r>
    <x v="0"/>
    <x v="2"/>
    <x v="10"/>
    <x v="5"/>
    <n v="21.582000000000001"/>
    <n v="0"/>
    <n v="0"/>
    <x v="0"/>
  </r>
  <r>
    <x v="0"/>
    <x v="2"/>
    <x v="11"/>
    <x v="11"/>
    <n v="5.8601640000000002"/>
    <n v="749.55863382179996"/>
    <n v="591.87656400000003"/>
    <x v="0"/>
  </r>
  <r>
    <x v="0"/>
    <x v="2"/>
    <x v="11"/>
    <x v="9"/>
    <n v="0"/>
    <n v="0"/>
    <n v="0"/>
    <x v="0"/>
  </r>
  <r>
    <x v="0"/>
    <x v="2"/>
    <x v="11"/>
    <x v="10"/>
    <n v="100.994443"/>
    <n v="7977.6641663461596"/>
    <n v="9846.9581925000002"/>
    <x v="0"/>
  </r>
  <r>
    <x v="0"/>
    <x v="2"/>
    <x v="11"/>
    <x v="2"/>
    <n v="4.0000000000000003E-5"/>
    <n v="2.6033160000000005E-3"/>
    <n v="2.5240000000000002E-3"/>
    <x v="0"/>
  </r>
  <r>
    <x v="0"/>
    <x v="2"/>
    <x v="11"/>
    <x v="6"/>
    <n v="0.26655099999999998"/>
    <n v="19.41844559427"/>
    <n v="19.751429099999999"/>
    <x v="0"/>
  </r>
  <r>
    <x v="0"/>
    <x v="2"/>
    <x v="11"/>
    <x v="8"/>
    <n v="1.4900869999999999"/>
    <n v="118.38771016739999"/>
    <n v="120.2500209"/>
    <x v="0"/>
  </r>
  <r>
    <x v="0"/>
    <x v="2"/>
    <x v="11"/>
    <x v="4"/>
    <n v="4.4249999999999998"/>
    <n v="255.56985749999998"/>
    <n v="248.24250000000001"/>
    <x v="0"/>
  </r>
  <r>
    <x v="0"/>
    <x v="2"/>
    <x v="11"/>
    <x v="5"/>
    <n v="36.133000000000003"/>
    <n v="0"/>
    <n v="0"/>
    <x v="0"/>
  </r>
  <r>
    <x v="0"/>
    <x v="2"/>
    <x v="12"/>
    <x v="12"/>
    <n v="59.526828000000002"/>
    <n v="6065.7458042806529"/>
    <n v="6667.0047360000008"/>
    <x v="0"/>
  </r>
  <r>
    <x v="0"/>
    <x v="2"/>
    <x v="12"/>
    <x v="2"/>
    <n v="2.5599999999999999E-4"/>
    <n v="1.6661222399999998E-2"/>
    <n v="1.6153600000000001E-2"/>
    <x v="0"/>
  </r>
  <r>
    <x v="0"/>
    <x v="2"/>
    <x v="12"/>
    <x v="6"/>
    <n v="0"/>
    <n v="0"/>
    <n v="0"/>
    <x v="0"/>
  </r>
  <r>
    <x v="0"/>
    <x v="2"/>
    <x v="12"/>
    <x v="8"/>
    <n v="3.4816769999999999"/>
    <n v="276.61993398539994"/>
    <n v="280.97133389999999"/>
    <x v="0"/>
  </r>
  <r>
    <x v="0"/>
    <x v="2"/>
    <x v="12"/>
    <x v="5"/>
    <n v="4.1449999999999996"/>
    <n v="0"/>
    <n v="0"/>
    <x v="0"/>
  </r>
  <r>
    <x v="0"/>
    <x v="2"/>
    <x v="13"/>
    <x v="6"/>
    <n v="0.43508999999999998"/>
    <n v="31.696641519299998"/>
    <n v="32.240168999999995"/>
    <x v="0"/>
  </r>
  <r>
    <x v="0"/>
    <x v="2"/>
    <x v="13"/>
    <x v="8"/>
    <n v="9.5646999999999996E-2"/>
    <n v="7.5991732793999986"/>
    <n v="7.7187128999999999"/>
    <x v="0"/>
  </r>
  <r>
    <x v="0"/>
    <x v="2"/>
    <x v="13"/>
    <x v="7"/>
    <n v="0"/>
    <n v="0"/>
    <n v="0"/>
    <x v="0"/>
  </r>
  <r>
    <x v="0"/>
    <x v="2"/>
    <x v="13"/>
    <x v="4"/>
    <n v="110.779"/>
    <n v="6398.1408461000001"/>
    <n v="6214.7018999999991"/>
    <x v="0"/>
  </r>
  <r>
    <x v="0"/>
    <x v="2"/>
    <x v="13"/>
    <x v="5"/>
    <n v="5.117"/>
    <n v="0"/>
    <n v="0"/>
    <x v="0"/>
  </r>
  <r>
    <x v="0"/>
    <x v="2"/>
    <x v="14"/>
    <x v="10"/>
    <n v="1.9029609999999999"/>
    <n v="150.31702070631997"/>
    <n v="185.53869749999998"/>
    <x v="0"/>
  </r>
  <r>
    <x v="0"/>
    <x v="2"/>
    <x v="14"/>
    <x v="2"/>
    <n v="0.83927700000000005"/>
    <n v="54.622581063300011"/>
    <n v="52.958378700000004"/>
    <x v="0"/>
  </r>
  <r>
    <x v="0"/>
    <x v="2"/>
    <x v="14"/>
    <x v="6"/>
    <n v="4.1992229999999999"/>
    <n v="305.91662895170998"/>
    <n v="311.1624243"/>
    <x v="0"/>
  </r>
  <r>
    <x v="0"/>
    <x v="2"/>
    <x v="14"/>
    <x v="8"/>
    <n v="3.3719830000000002"/>
    <n v="267.90472374659998"/>
    <n v="272.11902809999998"/>
    <x v="0"/>
  </r>
  <r>
    <x v="0"/>
    <x v="2"/>
    <x v="14"/>
    <x v="4"/>
    <n v="66.287999999999997"/>
    <n v="3828.5230992000002"/>
    <n v="3718.7567999999997"/>
    <x v="0"/>
  </r>
  <r>
    <x v="0"/>
    <x v="2"/>
    <x v="14"/>
    <x v="5"/>
    <n v="17.125"/>
    <n v="0"/>
    <n v="0"/>
    <x v="0"/>
  </r>
  <r>
    <x v="0"/>
    <x v="2"/>
    <x v="15"/>
    <x v="9"/>
    <n v="0"/>
    <n v="0"/>
    <n v="0"/>
    <x v="0"/>
  </r>
  <r>
    <x v="0"/>
    <x v="2"/>
    <x v="15"/>
    <x v="10"/>
    <n v="0"/>
    <n v="0"/>
    <n v="0"/>
    <x v="0"/>
  </r>
  <r>
    <x v="0"/>
    <x v="2"/>
    <x v="15"/>
    <x v="2"/>
    <n v="9.3198019999999993"/>
    <n v="606.5597415858"/>
    <n v="588.07950619999997"/>
    <x v="0"/>
  </r>
  <r>
    <x v="0"/>
    <x v="2"/>
    <x v="15"/>
    <x v="6"/>
    <n v="4.3686129999999999"/>
    <n v="318.25682088201"/>
    <n v="323.71422330000001"/>
    <x v="0"/>
  </r>
  <r>
    <x v="0"/>
    <x v="2"/>
    <x v="15"/>
    <x v="8"/>
    <n v="2.2258830000000001"/>
    <n v="176.84684952660001"/>
    <n v="179.6287581"/>
    <x v="0"/>
  </r>
  <r>
    <x v="0"/>
    <x v="2"/>
    <x v="15"/>
    <x v="4"/>
    <n v="9.2739999999999991"/>
    <n v="535.62821659999997"/>
    <n v="520.27139999999997"/>
    <x v="0"/>
  </r>
  <r>
    <x v="0"/>
    <x v="2"/>
    <x v="15"/>
    <x v="5"/>
    <n v="36.293999999999997"/>
    <n v="0"/>
    <n v="0"/>
    <x v="0"/>
  </r>
  <r>
    <x v="0"/>
    <x v="2"/>
    <x v="16"/>
    <x v="12"/>
    <n v="0"/>
    <n v="0"/>
    <n v="0"/>
    <x v="0"/>
  </r>
  <r>
    <x v="0"/>
    <x v="2"/>
    <x v="16"/>
    <x v="2"/>
    <n v="0.40593800000000002"/>
    <n v="26.419622260200001"/>
    <n v="25.614687799999999"/>
    <x v="0"/>
  </r>
  <r>
    <x v="0"/>
    <x v="2"/>
    <x v="16"/>
    <x v="6"/>
    <n v="1.29373"/>
    <n v="94.249226672100008"/>
    <n v="95.865392999999997"/>
    <x v="0"/>
  </r>
  <r>
    <x v="0"/>
    <x v="2"/>
    <x v="16"/>
    <x v="8"/>
    <n v="5.1573520000000004"/>
    <n v="409.75264787039998"/>
    <n v="416.19830640000004"/>
    <x v="0"/>
  </r>
  <r>
    <x v="0"/>
    <x v="2"/>
    <x v="16"/>
    <x v="4"/>
    <n v="32.664000000000001"/>
    <n v="1886.5387176000002"/>
    <n v="1832.4504000000002"/>
    <x v="0"/>
  </r>
  <r>
    <x v="0"/>
    <x v="2"/>
    <x v="16"/>
    <x v="5"/>
    <n v="10.295999999999999"/>
    <n v="0"/>
    <n v="0"/>
    <x v="0"/>
  </r>
  <r>
    <x v="0"/>
    <x v="2"/>
    <x v="17"/>
    <x v="10"/>
    <n v="6.2199999999999998E-3"/>
    <n v="0.49132476639999995"/>
    <n v="0.60644999999999993"/>
    <x v="0"/>
  </r>
  <r>
    <x v="0"/>
    <x v="2"/>
    <x v="17"/>
    <x v="2"/>
    <n v="0.14721300000000001"/>
    <n v="9.5810489577000002"/>
    <n v="9.2891403000000015"/>
    <x v="0"/>
  </r>
  <r>
    <x v="0"/>
    <x v="2"/>
    <x v="17"/>
    <x v="6"/>
    <n v="0.152535"/>
    <n v="11.11229220195"/>
    <n v="11.302843500000002"/>
    <x v="0"/>
  </r>
  <r>
    <x v="0"/>
    <x v="2"/>
    <x v="17"/>
    <x v="8"/>
    <n v="2.3273769999999998"/>
    <n v="184.91056812539998"/>
    <n v="187.8193239"/>
    <x v="0"/>
  </r>
  <r>
    <x v="0"/>
    <x v="2"/>
    <x v="17"/>
    <x v="4"/>
    <n v="48.554000000000002"/>
    <n v="2804.2799686000003"/>
    <n v="2723.8793999999998"/>
    <x v="0"/>
  </r>
  <r>
    <x v="0"/>
    <x v="2"/>
    <x v="17"/>
    <x v="5"/>
    <n v="4.1779999999999999"/>
    <n v="0"/>
    <n v="0"/>
    <x v="0"/>
  </r>
  <r>
    <x v="0"/>
    <x v="2"/>
    <x v="18"/>
    <x v="2"/>
    <n v="0.814222"/>
    <n v="52.991929003800003"/>
    <n v="51.377408199999998"/>
    <x v="0"/>
  </r>
  <r>
    <x v="0"/>
    <x v="2"/>
    <x v="18"/>
    <x v="6"/>
    <n v="0.140374"/>
    <n v="10.226353987980001"/>
    <n v="10.4017134"/>
    <x v="0"/>
  </r>
  <r>
    <x v="0"/>
    <x v="2"/>
    <x v="18"/>
    <x v="8"/>
    <n v="2.080508"/>
    <n v="165.29677670160001"/>
    <n v="167.8969956"/>
    <x v="0"/>
  </r>
  <r>
    <x v="0"/>
    <x v="2"/>
    <x v="18"/>
    <x v="4"/>
    <n v="15.255000000000001"/>
    <n v="881.06625450000001"/>
    <n v="855.80550000000005"/>
    <x v="0"/>
  </r>
  <r>
    <x v="0"/>
    <x v="2"/>
    <x v="18"/>
    <x v="5"/>
    <n v="3.6819999999999999"/>
    <n v="0"/>
    <n v="0"/>
    <x v="0"/>
  </r>
  <r>
    <x v="0"/>
    <x v="2"/>
    <x v="19"/>
    <x v="5"/>
    <n v="1.7729999999999999"/>
    <n v="0"/>
    <n v="0"/>
    <x v="0"/>
  </r>
  <r>
    <x v="0"/>
    <x v="2"/>
    <x v="20"/>
    <x v="2"/>
    <n v="1.283507"/>
    <n v="83.534357730300002"/>
    <n v="80.989291699999995"/>
    <x v="0"/>
  </r>
  <r>
    <x v="0"/>
    <x v="2"/>
    <x v="20"/>
    <x v="6"/>
    <n v="3.5512489999999999"/>
    <n v="258.71122411173002"/>
    <n v="263.1475509"/>
    <x v="0"/>
  </r>
  <r>
    <x v="0"/>
    <x v="2"/>
    <x v="20"/>
    <x v="8"/>
    <n v="0.67199600000000004"/>
    <n v="53.390216599200002"/>
    <n v="54.230077199999997"/>
    <x v="0"/>
  </r>
  <r>
    <x v="0"/>
    <x v="2"/>
    <x v="20"/>
    <x v="4"/>
    <n v="0.96099999999999997"/>
    <n v="55.503419899999997"/>
    <n v="53.912099999999995"/>
    <x v="0"/>
  </r>
  <r>
    <x v="0"/>
    <x v="2"/>
    <x v="20"/>
    <x v="5"/>
    <n v="3.0630000000000002"/>
    <n v="0"/>
    <n v="0"/>
    <x v="0"/>
  </r>
  <r>
    <x v="0"/>
    <x v="2"/>
    <x v="21"/>
    <x v="2"/>
    <n v="0.54942100000000005"/>
    <n v="35.757912000900006"/>
    <n v="34.668465099999999"/>
    <x v="0"/>
  </r>
  <r>
    <x v="0"/>
    <x v="2"/>
    <x v="21"/>
    <x v="6"/>
    <n v="0.82255599999999995"/>
    <n v="59.923837968120004"/>
    <n v="60.951399599999995"/>
    <x v="0"/>
  </r>
  <r>
    <x v="0"/>
    <x v="2"/>
    <x v="21"/>
    <x v="8"/>
    <n v="0"/>
    <n v="0"/>
    <n v="0"/>
    <x v="0"/>
  </r>
  <r>
    <x v="0"/>
    <x v="2"/>
    <x v="21"/>
    <x v="4"/>
    <n v="4.7320000000000002"/>
    <n v="273.30091880000003"/>
    <n v="265.46520000000004"/>
    <x v="0"/>
  </r>
  <r>
    <x v="0"/>
    <x v="2"/>
    <x v="21"/>
    <x v="5"/>
    <n v="7.875"/>
    <n v="0"/>
    <n v="0"/>
    <x v="0"/>
  </r>
  <r>
    <x v="0"/>
    <x v="2"/>
    <x v="22"/>
    <x v="2"/>
    <n v="1.8652999999999999E-2"/>
    <n v="1.2139913337000001"/>
    <n v="1.1770043000000001"/>
    <x v="0"/>
  </r>
  <r>
    <x v="0"/>
    <x v="2"/>
    <x v="22"/>
    <x v="6"/>
    <n v="1.942977"/>
    <n v="141.54737054229"/>
    <n v="143.97459570000001"/>
    <x v="0"/>
  </r>
  <r>
    <x v="0"/>
    <x v="2"/>
    <x v="22"/>
    <x v="8"/>
    <n v="0.50555899999999998"/>
    <n v="40.166763661799997"/>
    <n v="40.798611299999997"/>
    <x v="0"/>
  </r>
  <r>
    <x v="0"/>
    <x v="2"/>
    <x v="22"/>
    <x v="4"/>
    <n v="5.4610000000000003"/>
    <n v="315.40496990000003"/>
    <n v="306.36210000000005"/>
    <x v="0"/>
  </r>
  <r>
    <x v="0"/>
    <x v="2"/>
    <x v="22"/>
    <x v="5"/>
    <n v="1.6479999999999999"/>
    <n v="0"/>
    <n v="0"/>
    <x v="0"/>
  </r>
  <r>
    <x v="0"/>
    <x v="2"/>
    <x v="23"/>
    <x v="6"/>
    <n v="0.162296"/>
    <n v="11.82338856792"/>
    <n v="12.0261336"/>
    <x v="0"/>
  </r>
  <r>
    <x v="0"/>
    <x v="2"/>
    <x v="23"/>
    <x v="8"/>
    <n v="0"/>
    <n v="0"/>
    <n v="0"/>
    <x v="0"/>
  </r>
  <r>
    <x v="0"/>
    <x v="2"/>
    <x v="23"/>
    <x v="4"/>
    <n v="0.51700000000000002"/>
    <n v="29.859800300000003"/>
    <n v="29.003700000000002"/>
    <x v="0"/>
  </r>
  <r>
    <x v="0"/>
    <x v="2"/>
    <x v="23"/>
    <x v="5"/>
    <n v="0.47499999999999998"/>
    <n v="0"/>
    <n v="0"/>
    <x v="0"/>
  </r>
  <r>
    <x v="0"/>
    <x v="2"/>
    <x v="24"/>
    <x v="2"/>
    <n v="0"/>
    <n v="0"/>
    <n v="0"/>
    <x v="0"/>
  </r>
  <r>
    <x v="0"/>
    <x v="2"/>
    <x v="24"/>
    <x v="6"/>
    <n v="0"/>
    <n v="0"/>
    <n v="0"/>
    <x v="0"/>
  </r>
  <r>
    <x v="0"/>
    <x v="2"/>
    <x v="24"/>
    <x v="8"/>
    <n v="8.7880000000000007E-3"/>
    <n v="0.6982083576"/>
    <n v="0.70919160000000014"/>
    <x v="0"/>
  </r>
  <r>
    <x v="0"/>
    <x v="2"/>
    <x v="24"/>
    <x v="4"/>
    <n v="0.27300000000000002"/>
    <n v="15.767360700000001"/>
    <n v="15.315300000000001"/>
    <x v="0"/>
  </r>
  <r>
    <x v="0"/>
    <x v="2"/>
    <x v="24"/>
    <x v="5"/>
    <n v="0.24199999999999999"/>
    <n v="0"/>
    <n v="0"/>
    <x v="0"/>
  </r>
  <r>
    <x v="0"/>
    <x v="2"/>
    <x v="25"/>
    <x v="0"/>
    <n v="0.38100000000000001"/>
    <n v="0"/>
    <n v="0"/>
    <x v="0"/>
  </r>
  <r>
    <x v="0"/>
    <x v="2"/>
    <x v="25"/>
    <x v="12"/>
    <n v="4.2556149999999988"/>
    <n v="433.64445407512386"/>
    <n v="476.62887999999987"/>
    <x v="0"/>
  </r>
  <r>
    <x v="0"/>
    <x v="2"/>
    <x v="25"/>
    <x v="11"/>
    <n v="94.208432999999999"/>
    <n v="12049.96043352585"/>
    <n v="9515.0517329999984"/>
    <x v="0"/>
  </r>
  <r>
    <x v="0"/>
    <x v="2"/>
    <x v="25"/>
    <x v="10"/>
    <n v="5.9778859999999998"/>
    <n v="472.19991037232001"/>
    <n v="582.843885"/>
    <x v="0"/>
  </r>
  <r>
    <x v="0"/>
    <x v="2"/>
    <x v="25"/>
    <x v="2"/>
    <n v="30.583707"/>
    <n v="1990.4763443103"/>
    <n v="1929.8319117000001"/>
    <x v="0"/>
  </r>
  <r>
    <x v="0"/>
    <x v="2"/>
    <x v="25"/>
    <x v="7"/>
    <n v="0.85200500000000001"/>
    <n v="61.064848683685007"/>
    <n v="59.043946499999997"/>
    <x v="0"/>
  </r>
  <r>
    <x v="0"/>
    <x v="2"/>
    <x v="25"/>
    <x v="3"/>
    <n v="0"/>
    <n v="0"/>
    <n v="0"/>
    <x v="0"/>
  </r>
  <r>
    <x v="0"/>
    <x v="2"/>
    <x v="25"/>
    <x v="6"/>
    <n v="35.364891"/>
    <n v="2576.3595403160698"/>
    <n v="2620.5384230999998"/>
    <x v="0"/>
  </r>
  <r>
    <x v="0"/>
    <x v="2"/>
    <x v="25"/>
    <x v="8"/>
    <n v="1.0112719999999999"/>
    <n v="80.345762654399991"/>
    <n v="81.609650399999992"/>
    <x v="0"/>
  </r>
  <r>
    <x v="0"/>
    <x v="2"/>
    <x v="25"/>
    <x v="4"/>
    <n v="178.715"/>
    <n v="10321.8456685"/>
    <n v="10025.9115"/>
    <x v="0"/>
  </r>
  <r>
    <x v="0"/>
    <x v="2"/>
    <x v="25"/>
    <x v="5"/>
    <n v="376.97500000000002"/>
    <n v="0"/>
    <n v="0"/>
    <x v="0"/>
  </r>
  <r>
    <x v="1"/>
    <x v="4"/>
    <x v="26"/>
    <x v="11"/>
    <n v="0"/>
    <n v="0"/>
    <n v="0"/>
    <x v="0"/>
  </r>
  <r>
    <x v="1"/>
    <x v="4"/>
    <x v="26"/>
    <x v="9"/>
    <n v="3.526732"/>
    <n v="386.52280900331999"/>
    <n v="333.6288472"/>
    <x v="0"/>
  </r>
  <r>
    <x v="1"/>
    <x v="4"/>
    <x v="27"/>
    <x v="13"/>
    <n v="132.85906083999998"/>
    <n v="7728.5417709424228"/>
    <n v="7652.6819043839996"/>
    <x v="0"/>
  </r>
  <r>
    <x v="1"/>
    <x v="4"/>
    <x v="27"/>
    <x v="4"/>
    <n v="250.59017733356711"/>
    <n v="14473.061223059769"/>
    <n v="14058.108948413115"/>
    <x v="0"/>
  </r>
  <r>
    <x v="1"/>
    <x v="4"/>
    <x v="28"/>
    <x v="4"/>
    <n v="112.85074853466141"/>
    <n v="6517.7965472930509"/>
    <n v="6330.9269927945052"/>
    <x v="0"/>
  </r>
  <r>
    <x v="1"/>
    <x v="4"/>
    <x v="29"/>
    <x v="4"/>
    <n v="96.149994922306163"/>
    <n v="5553.2294917332219"/>
    <n v="5394.0147151413757"/>
    <x v="0"/>
  </r>
  <r>
    <x v="1"/>
    <x v="4"/>
    <x v="30"/>
    <x v="13"/>
    <n v="169.09335016"/>
    <n v="9836.3258902903581"/>
    <n v="9739.776969216"/>
    <x v="0"/>
  </r>
  <r>
    <x v="1"/>
    <x v="4"/>
    <x v="30"/>
    <x v="4"/>
    <n v="96.888034597104721"/>
    <n v="5595.8556373869205"/>
    <n v="5435.418740897574"/>
    <x v="0"/>
  </r>
  <r>
    <x v="2"/>
    <x v="5"/>
    <x v="31"/>
    <x v="11"/>
    <n v="298.21721077909376"/>
    <n v="38144.202976866392"/>
    <n v="30119.93828868847"/>
    <x v="1"/>
  </r>
  <r>
    <x v="2"/>
    <x v="5"/>
    <x v="32"/>
    <x v="4"/>
    <n v="1051.4445238765484"/>
    <n v="60727.124776561541"/>
    <n v="58986.037789474358"/>
    <x v="2"/>
  </r>
  <r>
    <x v="2"/>
    <x v="5"/>
    <x v="33"/>
    <x v="4"/>
    <n v="16.284303395455634"/>
    <n v="940.51459847759611"/>
    <n v="913.54942048506098"/>
    <x v="3"/>
  </r>
  <r>
    <x v="2"/>
    <x v="5"/>
    <x v="34"/>
    <x v="8"/>
    <n v="408.48248020040592"/>
    <n v="32454.014748418289"/>
    <n v="32964.536152172761"/>
    <x v="4"/>
  </r>
  <r>
    <x v="2"/>
    <x v="5"/>
    <x v="35"/>
    <x v="14"/>
    <n v="0"/>
    <n v="0"/>
    <n v="0"/>
    <x v="0"/>
  </r>
  <r>
    <x v="2"/>
    <x v="5"/>
    <x v="36"/>
    <x v="8"/>
    <n v="0.12404279959408351"/>
    <n v="9.8552252363098543"/>
    <n v="10.010253927242541"/>
    <x v="5"/>
  </r>
  <r>
    <x v="2"/>
    <x v="5"/>
    <x v="37"/>
    <x v="15"/>
    <n v="6.5296000000000003"/>
    <n v="0"/>
    <n v="0"/>
    <x v="0"/>
  </r>
  <r>
    <x v="2"/>
    <x v="5"/>
    <x v="38"/>
    <x v="14"/>
    <n v="0"/>
    <n v="0"/>
    <n v="0"/>
    <x v="0"/>
  </r>
  <r>
    <x v="2"/>
    <x v="5"/>
    <x v="39"/>
    <x v="14"/>
    <n v="0"/>
    <n v="0"/>
    <n v="0"/>
    <x v="0"/>
  </r>
  <r>
    <x v="2"/>
    <x v="5"/>
    <x v="40"/>
    <x v="16"/>
    <n v="131.31599900000001"/>
    <n v="0"/>
    <n v="0"/>
    <x v="0"/>
  </r>
  <r>
    <x v="2"/>
    <x v="5"/>
    <x v="41"/>
    <x v="17"/>
    <n v="98.798878999999999"/>
    <n v="0"/>
    <n v="0"/>
    <x v="0"/>
  </r>
  <r>
    <x v="2"/>
    <x v="5"/>
    <x v="42"/>
    <x v="11"/>
    <n v="40.19138022090619"/>
    <n v="5140.7769560365468"/>
    <n v="4059.3294023115254"/>
    <x v="6"/>
  </r>
  <r>
    <x v="2"/>
    <x v="5"/>
    <x v="43"/>
    <x v="18"/>
    <n v="122.597565"/>
    <n v="0"/>
    <n v="0"/>
    <x v="0"/>
  </r>
  <r>
    <x v="2"/>
    <x v="5"/>
    <x v="44"/>
    <x v="0"/>
    <n v="4.7E-2"/>
    <n v="0"/>
    <n v="0"/>
    <x v="0"/>
  </r>
  <r>
    <x v="2"/>
    <x v="5"/>
    <x v="45"/>
    <x v="6"/>
    <n v="24.049492999999998"/>
    <n v="1752.02408315961"/>
    <n v="1782.0674312999997"/>
    <x v="7"/>
  </r>
  <r>
    <x v="2"/>
    <x v="5"/>
    <x v="46"/>
    <x v="14"/>
    <n v="0"/>
    <n v="0"/>
    <n v="0"/>
    <x v="0"/>
  </r>
  <r>
    <x v="2"/>
    <x v="5"/>
    <x v="47"/>
    <x v="4"/>
    <n v="69.814172727996038"/>
    <n v="4032.1803786608666"/>
    <n v="3916.5750900405774"/>
    <x v="8"/>
  </r>
  <r>
    <x v="2"/>
    <x v="5"/>
    <x v="48"/>
    <x v="14"/>
    <n v="0"/>
    <n v="0"/>
    <n v="0"/>
    <x v="0"/>
  </r>
  <r>
    <x v="2"/>
    <x v="5"/>
    <x v="49"/>
    <x v="4"/>
    <n v="0"/>
    <n v="0"/>
    <n v="0"/>
    <x v="0"/>
  </r>
  <r>
    <x v="2"/>
    <x v="5"/>
    <x v="50"/>
    <x v="14"/>
    <n v="0"/>
    <n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8"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K4:O216" firstHeaderRow="0" firstDataRow="1" firstDataCol="1"/>
  <pivotFields count="8">
    <pivotField axis="axisRow" multipleItemSelectionAllowed="1" showAll="0">
      <items count="4">
        <item x="2"/>
        <item x="0"/>
        <item x="1"/>
        <item t="default"/>
      </items>
    </pivotField>
    <pivotField axis="axisRow" showAll="0">
      <items count="7">
        <item x="2"/>
        <item x="4"/>
        <item x="3"/>
        <item x="0"/>
        <item n="Sector Eléctrico" x="5"/>
        <item x="1"/>
        <item t="default"/>
      </items>
    </pivotField>
    <pivotField axis="axisRow" showAll="0">
      <items count="54">
        <item x="4"/>
        <item x="10"/>
        <item x="3"/>
        <item x="32"/>
        <item x="33"/>
        <item x="34"/>
        <item x="35"/>
        <item x="36"/>
        <item x="37"/>
        <item x="1"/>
        <item x="20"/>
        <item x="27"/>
        <item x="38"/>
        <item x="6"/>
        <item x="40"/>
        <item x="41"/>
        <item x="42"/>
        <item x="43"/>
        <item x="5"/>
        <item x="44"/>
        <item x="26"/>
        <item x="0"/>
        <item x="45"/>
        <item x="46"/>
        <item x="47"/>
        <item x="48"/>
        <item x="49"/>
        <item x="50"/>
        <item x="2"/>
        <item x="7"/>
        <item x="11"/>
        <item x="12"/>
        <item x="13"/>
        <item x="14"/>
        <item x="15"/>
        <item x="16"/>
        <item x="17"/>
        <item x="18"/>
        <item x="19"/>
        <item x="21"/>
        <item x="22"/>
        <item x="23"/>
        <item x="24"/>
        <item x="25"/>
        <item x="28"/>
        <item x="30"/>
        <item x="31"/>
        <item x="39"/>
        <item m="1" x="52"/>
        <item x="9"/>
        <item x="29"/>
        <item x="51"/>
        <item x="8"/>
        <item t="default"/>
      </items>
    </pivotField>
    <pivotField axis="axisRow" showAll="0">
      <items count="20">
        <item x="14"/>
        <item x="12"/>
        <item x="11"/>
        <item x="8"/>
        <item x="9"/>
        <item x="10"/>
        <item x="6"/>
        <item x="5"/>
        <item x="15"/>
        <item x="0"/>
        <item x="2"/>
        <item x="13"/>
        <item x="4"/>
        <item x="7"/>
        <item x="16"/>
        <item x="17"/>
        <item x="1"/>
        <item x="18"/>
        <item x="3"/>
        <item t="default"/>
      </items>
    </pivotField>
    <pivotField dataField="1" numFmtId="164" showAll="0"/>
    <pivotField dataField="1" numFmtId="164" showAll="0"/>
    <pivotField dataField="1" numFmtId="164" showAll="0"/>
    <pivotField dataField="1" numFmtId="164" showAll="0"/>
  </pivotFields>
  <rowFields count="4">
    <field x="0"/>
    <field x="1"/>
    <field x="2"/>
    <field x="3"/>
  </rowFields>
  <rowItems count="212">
    <i>
      <x/>
    </i>
    <i r="1">
      <x v="4"/>
    </i>
    <i r="2">
      <x v="3"/>
    </i>
    <i r="3">
      <x v="2"/>
    </i>
    <i r="2">
      <x v="4"/>
    </i>
    <i r="3">
      <x v="12"/>
    </i>
    <i r="2">
      <x v="5"/>
    </i>
    <i r="3">
      <x v="12"/>
    </i>
    <i r="2">
      <x v="6"/>
    </i>
    <i r="3">
      <x v="3"/>
    </i>
    <i r="2">
      <x v="7"/>
    </i>
    <i r="3">
      <x/>
    </i>
    <i r="2">
      <x v="8"/>
    </i>
    <i r="3">
      <x v="3"/>
    </i>
    <i r="2">
      <x v="12"/>
    </i>
    <i r="3">
      <x v="8"/>
    </i>
    <i r="2">
      <x v="14"/>
    </i>
    <i r="3">
      <x/>
    </i>
    <i r="2">
      <x v="15"/>
    </i>
    <i r="3">
      <x v="14"/>
    </i>
    <i r="2">
      <x v="16"/>
    </i>
    <i r="3">
      <x v="15"/>
    </i>
    <i r="2">
      <x v="17"/>
    </i>
    <i r="3">
      <x v="2"/>
    </i>
    <i r="2">
      <x v="19"/>
    </i>
    <i r="3">
      <x v="17"/>
    </i>
    <i r="2">
      <x v="22"/>
    </i>
    <i r="3">
      <x v="9"/>
    </i>
    <i r="2">
      <x v="23"/>
    </i>
    <i r="3">
      <x v="6"/>
    </i>
    <i r="2">
      <x v="24"/>
    </i>
    <i r="3">
      <x/>
    </i>
    <i r="2">
      <x v="25"/>
    </i>
    <i r="3">
      <x v="12"/>
    </i>
    <i r="2">
      <x v="26"/>
    </i>
    <i r="3">
      <x/>
    </i>
    <i r="2">
      <x v="27"/>
    </i>
    <i r="3">
      <x v="12"/>
    </i>
    <i r="2">
      <x v="47"/>
    </i>
    <i r="3">
      <x/>
    </i>
    <i r="2">
      <x v="51"/>
    </i>
    <i r="3">
      <x/>
    </i>
    <i>
      <x v="1"/>
    </i>
    <i r="1">
      <x/>
    </i>
    <i r="2">
      <x v="1"/>
    </i>
    <i r="3">
      <x v="7"/>
    </i>
    <i r="3">
      <x v="10"/>
    </i>
    <i r="3">
      <x v="18"/>
    </i>
    <i r="1">
      <x v="2"/>
    </i>
    <i r="2">
      <x v="10"/>
    </i>
    <i r="3">
      <x v="7"/>
    </i>
    <i r="2">
      <x v="20"/>
    </i>
    <i r="3">
      <x v="1"/>
    </i>
    <i r="3">
      <x v="2"/>
    </i>
    <i r="3">
      <x v="3"/>
    </i>
    <i r="3">
      <x v="5"/>
    </i>
    <i r="3">
      <x v="6"/>
    </i>
    <i r="3">
      <x v="7"/>
    </i>
    <i r="3">
      <x v="9"/>
    </i>
    <i r="3">
      <x v="10"/>
    </i>
    <i r="3">
      <x v="12"/>
    </i>
    <i r="3">
      <x v="13"/>
    </i>
    <i r="3">
      <x v="18"/>
    </i>
    <i r="2">
      <x v="30"/>
    </i>
    <i r="3">
      <x v="3"/>
    </i>
    <i r="3">
      <x v="4"/>
    </i>
    <i r="3">
      <x v="5"/>
    </i>
    <i r="3">
      <x v="6"/>
    </i>
    <i r="3">
      <x v="7"/>
    </i>
    <i r="3">
      <x v="10"/>
    </i>
    <i r="3">
      <x v="12"/>
    </i>
    <i r="3">
      <x v="18"/>
    </i>
    <i r="2">
      <x v="31"/>
    </i>
    <i r="3">
      <x v="2"/>
    </i>
    <i r="3">
      <x v="3"/>
    </i>
    <i r="3">
      <x v="4"/>
    </i>
    <i r="3">
      <x v="5"/>
    </i>
    <i r="3">
      <x v="6"/>
    </i>
    <i r="3">
      <x v="7"/>
    </i>
    <i r="3">
      <x v="10"/>
    </i>
    <i r="3">
      <x v="12"/>
    </i>
    <i r="2">
      <x v="32"/>
    </i>
    <i r="3">
      <x v="1"/>
    </i>
    <i r="3">
      <x v="3"/>
    </i>
    <i r="3">
      <x v="6"/>
    </i>
    <i r="3">
      <x v="7"/>
    </i>
    <i r="3">
      <x v="10"/>
    </i>
    <i r="2">
      <x v="33"/>
    </i>
    <i r="3">
      <x v="3"/>
    </i>
    <i r="3">
      <x v="6"/>
    </i>
    <i r="3">
      <x v="7"/>
    </i>
    <i r="3">
      <x v="12"/>
    </i>
    <i r="3">
      <x v="13"/>
    </i>
    <i r="2">
      <x v="34"/>
    </i>
    <i r="3">
      <x v="3"/>
    </i>
    <i r="3">
      <x v="5"/>
    </i>
    <i r="3">
      <x v="6"/>
    </i>
    <i r="3">
      <x v="7"/>
    </i>
    <i r="3">
      <x v="10"/>
    </i>
    <i r="3">
      <x v="12"/>
    </i>
    <i r="2">
      <x v="35"/>
    </i>
    <i r="3">
      <x v="3"/>
    </i>
    <i r="3">
      <x v="4"/>
    </i>
    <i r="3">
      <x v="5"/>
    </i>
    <i r="3">
      <x v="6"/>
    </i>
    <i r="3">
      <x v="7"/>
    </i>
    <i r="3">
      <x v="10"/>
    </i>
    <i r="3">
      <x v="12"/>
    </i>
    <i r="2">
      <x v="36"/>
    </i>
    <i r="3">
      <x v="1"/>
    </i>
    <i r="3">
      <x v="3"/>
    </i>
    <i r="3">
      <x v="6"/>
    </i>
    <i r="3">
      <x v="7"/>
    </i>
    <i r="3">
      <x v="10"/>
    </i>
    <i r="3">
      <x v="12"/>
    </i>
    <i r="2">
      <x v="37"/>
    </i>
    <i r="3">
      <x v="3"/>
    </i>
    <i r="3">
      <x v="5"/>
    </i>
    <i r="3">
      <x v="6"/>
    </i>
    <i r="3">
      <x v="7"/>
    </i>
    <i r="3">
      <x v="10"/>
    </i>
    <i r="3">
      <x v="12"/>
    </i>
    <i r="2">
      <x v="38"/>
    </i>
    <i r="3">
      <x v="3"/>
    </i>
    <i r="3">
      <x v="6"/>
    </i>
    <i r="3">
      <x v="7"/>
    </i>
    <i r="3">
      <x v="10"/>
    </i>
    <i r="3">
      <x v="12"/>
    </i>
    <i r="2">
      <x v="39"/>
    </i>
    <i r="3">
      <x v="3"/>
    </i>
    <i r="3">
      <x v="6"/>
    </i>
    <i r="3">
      <x v="7"/>
    </i>
    <i r="3">
      <x v="10"/>
    </i>
    <i r="3">
      <x v="12"/>
    </i>
    <i r="2">
      <x v="40"/>
    </i>
    <i r="3">
      <x v="3"/>
    </i>
    <i r="3">
      <x v="6"/>
    </i>
    <i r="3">
      <x v="7"/>
    </i>
    <i r="3">
      <x v="10"/>
    </i>
    <i r="3">
      <x v="12"/>
    </i>
    <i r="2">
      <x v="41"/>
    </i>
    <i r="3">
      <x v="3"/>
    </i>
    <i r="3">
      <x v="6"/>
    </i>
    <i r="3">
      <x v="7"/>
    </i>
    <i r="3">
      <x v="10"/>
    </i>
    <i r="3">
      <x v="12"/>
    </i>
    <i r="2">
      <x v="42"/>
    </i>
    <i r="3">
      <x v="3"/>
    </i>
    <i r="3">
      <x v="6"/>
    </i>
    <i r="3">
      <x v="7"/>
    </i>
    <i r="3">
      <x v="12"/>
    </i>
    <i r="2">
      <x v="43"/>
    </i>
    <i r="3">
      <x v="3"/>
    </i>
    <i r="3">
      <x v="6"/>
    </i>
    <i r="3">
      <x v="7"/>
    </i>
    <i r="3">
      <x v="10"/>
    </i>
    <i r="3">
      <x v="12"/>
    </i>
    <i r="1">
      <x v="3"/>
    </i>
    <i r="2">
      <x v="9"/>
    </i>
    <i r="3">
      <x v="6"/>
    </i>
    <i r="3">
      <x v="7"/>
    </i>
    <i r="3">
      <x v="9"/>
    </i>
    <i r="3">
      <x v="10"/>
    </i>
    <i r="3">
      <x v="12"/>
    </i>
    <i r="2">
      <x v="21"/>
    </i>
    <i r="3">
      <x v="7"/>
    </i>
    <i r="3">
      <x v="9"/>
    </i>
    <i r="3">
      <x v="10"/>
    </i>
    <i r="3">
      <x v="12"/>
    </i>
    <i r="3">
      <x v="16"/>
    </i>
    <i r="3">
      <x v="18"/>
    </i>
    <i r="2">
      <x v="28"/>
    </i>
    <i r="3">
      <x v="7"/>
    </i>
    <i r="1">
      <x v="5"/>
    </i>
    <i r="2">
      <x/>
    </i>
    <i r="3">
      <x v="13"/>
    </i>
    <i r="3">
      <x v="18"/>
    </i>
    <i r="2">
      <x v="2"/>
    </i>
    <i r="3">
      <x v="6"/>
    </i>
    <i r="3">
      <x v="10"/>
    </i>
    <i r="3">
      <x v="12"/>
    </i>
    <i r="3">
      <x v="13"/>
    </i>
    <i r="2">
      <x v="13"/>
    </i>
    <i r="3">
      <x v="6"/>
    </i>
    <i r="3">
      <x v="7"/>
    </i>
    <i r="3">
      <x v="10"/>
    </i>
    <i r="3">
      <x v="13"/>
    </i>
    <i r="2">
      <x v="18"/>
    </i>
    <i r="3">
      <x v="3"/>
    </i>
    <i r="3">
      <x v="6"/>
    </i>
    <i r="2">
      <x v="29"/>
    </i>
    <i r="3">
      <x v="7"/>
    </i>
    <i r="2">
      <x v="49"/>
    </i>
    <i r="3">
      <x v="6"/>
    </i>
    <i r="2">
      <x v="52"/>
    </i>
    <i r="3">
      <x v="6"/>
    </i>
    <i>
      <x v="2"/>
    </i>
    <i r="1">
      <x v="1"/>
    </i>
    <i r="2">
      <x v="11"/>
    </i>
    <i r="3">
      <x v="2"/>
    </i>
    <i r="3">
      <x v="4"/>
    </i>
    <i r="2">
      <x v="44"/>
    </i>
    <i r="3">
      <x v="11"/>
    </i>
    <i r="3">
      <x v="12"/>
    </i>
    <i r="2">
      <x v="45"/>
    </i>
    <i r="3">
      <x v="12"/>
    </i>
    <i r="2">
      <x v="46"/>
    </i>
    <i r="3">
      <x v="11"/>
    </i>
    <i r="3">
      <x v="12"/>
    </i>
    <i r="2">
      <x v="50"/>
    </i>
    <i r="3">
      <x v="12"/>
    </i>
    <i t="grand">
      <x/>
    </i>
  </rowItems>
  <colFields count="1">
    <field x="-2"/>
  </colFields>
  <colItems count="4">
    <i>
      <x/>
    </i>
    <i i="1">
      <x v="1"/>
    </i>
    <i i="2">
      <x v="2"/>
    </i>
    <i i="3">
      <x v="3"/>
    </i>
  </colItems>
  <dataFields count="4">
    <dataField name="Suma de Energía [PJ]" fld="4" baseField="0" baseItem="0"/>
    <dataField name="Suma de INECC@2014 [Gg de CO2]" fld="5" baseField="0" baseItem="0"/>
    <dataField name="Suma de IPCC@2006 [Gg de CO2]" fld="6" baseField="0" baseItem="0"/>
    <dataField name="Suma de COPAR@2015 [Gg de CO2]" fld="7" baseField="0" baseItem="0"/>
  </dataFields>
  <formats count="1">
    <format dxfId="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eau croisé dynamique1" cacheId="1"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B2:V61" firstHeaderRow="1" firstDataRow="2" firstDataCol="1"/>
  <pivotFields count="8">
    <pivotField showAll="0"/>
    <pivotField axis="axisRow" showAll="0">
      <items count="7">
        <item x="3"/>
        <item x="4"/>
        <item x="2"/>
        <item x="0"/>
        <item x="5"/>
        <item x="1"/>
        <item t="default"/>
      </items>
    </pivotField>
    <pivotField axis="axisRow" showAll="0">
      <items count="53">
        <item x="4"/>
        <item x="9"/>
        <item x="3"/>
        <item x="31"/>
        <item x="32"/>
        <item x="33"/>
        <item x="34"/>
        <item x="35"/>
        <item x="36"/>
        <item x="1"/>
        <item x="19"/>
        <item x="26"/>
        <item x="8"/>
        <item x="12"/>
        <item x="18"/>
        <item x="24"/>
        <item x="20"/>
        <item x="7"/>
        <item x="37"/>
        <item x="21"/>
        <item x="11"/>
        <item x="23"/>
        <item x="22"/>
        <item x="16"/>
        <item x="17"/>
        <item x="6"/>
        <item x="38"/>
        <item x="39"/>
        <item x="40"/>
        <item x="41"/>
        <item x="10"/>
        <item x="14"/>
        <item x="42"/>
        <item m="1" x="51"/>
        <item x="5"/>
        <item x="15"/>
        <item x="43"/>
        <item x="25"/>
        <item x="27"/>
        <item x="29"/>
        <item x="13"/>
        <item x="30"/>
        <item x="2"/>
        <item x="0"/>
        <item x="44"/>
        <item x="45"/>
        <item x="46"/>
        <item x="47"/>
        <item x="48"/>
        <item x="49"/>
        <item x="50"/>
        <item x="28"/>
        <item t="default"/>
      </items>
    </pivotField>
    <pivotField axis="axisCol" showAll="0">
      <items count="20">
        <item x="14"/>
        <item x="12"/>
        <item x="11"/>
        <item x="8"/>
        <item x="9"/>
        <item x="10"/>
        <item x="6"/>
        <item x="5"/>
        <item x="15"/>
        <item x="0"/>
        <item x="2"/>
        <item x="13"/>
        <item x="4"/>
        <item x="7"/>
        <item x="16"/>
        <item x="17"/>
        <item x="1"/>
        <item x="18"/>
        <item x="3"/>
        <item t="default"/>
      </items>
    </pivotField>
    <pivotField dataField="1" numFmtId="164" showAll="0"/>
    <pivotField numFmtId="164" showAll="0"/>
    <pivotField numFmtId="164" showAll="0"/>
    <pivotField numFmtId="164" showAll="0"/>
  </pivotFields>
  <rowFields count="2">
    <field x="1"/>
    <field x="2"/>
  </rowFields>
  <rowItems count="58">
    <i>
      <x/>
    </i>
    <i r="1">
      <x v="1"/>
    </i>
    <i>
      <x v="1"/>
    </i>
    <i r="1">
      <x v="11"/>
    </i>
    <i r="1">
      <x v="38"/>
    </i>
    <i r="1">
      <x v="39"/>
    </i>
    <i r="1">
      <x v="41"/>
    </i>
    <i r="1">
      <x v="51"/>
    </i>
    <i>
      <x v="2"/>
    </i>
    <i r="1">
      <x v="10"/>
    </i>
    <i r="1">
      <x v="12"/>
    </i>
    <i r="1">
      <x v="13"/>
    </i>
    <i r="1">
      <x v="14"/>
    </i>
    <i r="1">
      <x v="15"/>
    </i>
    <i r="1">
      <x v="16"/>
    </i>
    <i r="1">
      <x v="19"/>
    </i>
    <i r="1">
      <x v="20"/>
    </i>
    <i r="1">
      <x v="21"/>
    </i>
    <i r="1">
      <x v="22"/>
    </i>
    <i r="1">
      <x v="23"/>
    </i>
    <i r="1">
      <x v="24"/>
    </i>
    <i r="1">
      <x v="30"/>
    </i>
    <i r="1">
      <x v="31"/>
    </i>
    <i r="1">
      <x v="35"/>
    </i>
    <i r="1">
      <x v="37"/>
    </i>
    <i r="1">
      <x v="40"/>
    </i>
    <i>
      <x v="3"/>
    </i>
    <i r="1">
      <x v="9"/>
    </i>
    <i r="1">
      <x v="42"/>
    </i>
    <i r="1">
      <x v="43"/>
    </i>
    <i>
      <x v="4"/>
    </i>
    <i r="1">
      <x v="3"/>
    </i>
    <i r="1">
      <x v="4"/>
    </i>
    <i r="1">
      <x v="5"/>
    </i>
    <i r="1">
      <x v="6"/>
    </i>
    <i r="1">
      <x v="7"/>
    </i>
    <i r="1">
      <x v="8"/>
    </i>
    <i r="1">
      <x v="18"/>
    </i>
    <i r="1">
      <x v="26"/>
    </i>
    <i r="1">
      <x v="27"/>
    </i>
    <i r="1">
      <x v="28"/>
    </i>
    <i r="1">
      <x v="29"/>
    </i>
    <i r="1">
      <x v="32"/>
    </i>
    <i r="1">
      <x v="36"/>
    </i>
    <i r="1">
      <x v="44"/>
    </i>
    <i r="1">
      <x v="45"/>
    </i>
    <i r="1">
      <x v="46"/>
    </i>
    <i r="1">
      <x v="47"/>
    </i>
    <i r="1">
      <x v="48"/>
    </i>
    <i r="1">
      <x v="49"/>
    </i>
    <i r="1">
      <x v="50"/>
    </i>
    <i>
      <x v="5"/>
    </i>
    <i r="1">
      <x/>
    </i>
    <i r="1">
      <x v="2"/>
    </i>
    <i r="1">
      <x v="17"/>
    </i>
    <i r="1">
      <x v="25"/>
    </i>
    <i r="1">
      <x v="34"/>
    </i>
    <i t="grand">
      <x/>
    </i>
  </rowItems>
  <colFields count="1">
    <field x="3"/>
  </colFields>
  <colItems count="20">
    <i>
      <x/>
    </i>
    <i>
      <x v="1"/>
    </i>
    <i>
      <x v="2"/>
    </i>
    <i>
      <x v="3"/>
    </i>
    <i>
      <x v="4"/>
    </i>
    <i>
      <x v="5"/>
    </i>
    <i>
      <x v="6"/>
    </i>
    <i>
      <x v="7"/>
    </i>
    <i>
      <x v="8"/>
    </i>
    <i>
      <x v="9"/>
    </i>
    <i>
      <x v="10"/>
    </i>
    <i>
      <x v="11"/>
    </i>
    <i>
      <x v="12"/>
    </i>
    <i>
      <x v="13"/>
    </i>
    <i>
      <x v="14"/>
    </i>
    <i>
      <x v="15"/>
    </i>
    <i>
      <x v="16"/>
    </i>
    <i>
      <x v="17"/>
    </i>
    <i>
      <x v="18"/>
    </i>
    <i t="grand">
      <x/>
    </i>
  </colItems>
  <dataFields count="1">
    <dataField name="Somme de Energía [PJ]" fld="4" baseField="0" baseItem="0"/>
  </dataFields>
  <formats count="62">
    <format dxfId="82">
      <pivotArea outline="0" collapsedLevelsAreSubtotals="1" fieldPosition="0"/>
    </format>
    <format dxfId="81">
      <pivotArea type="all" dataOnly="0" outline="0" fieldPosition="0"/>
    </format>
    <format dxfId="80">
      <pivotArea outline="0" collapsedLevelsAreSubtotals="1" fieldPosition="0"/>
    </format>
    <format dxfId="79">
      <pivotArea type="origin" dataOnly="0" labelOnly="1" outline="0" fieldPosition="0"/>
    </format>
    <format dxfId="78">
      <pivotArea field="3" type="button" dataOnly="0" labelOnly="1" outline="0" axis="axisCol" fieldPosition="0"/>
    </format>
    <format dxfId="77">
      <pivotArea type="topRight" dataOnly="0" labelOnly="1" outline="0" fieldPosition="0"/>
    </format>
    <format dxfId="76">
      <pivotArea field="1" type="button" dataOnly="0" labelOnly="1" outline="0" axis="axisRow" fieldPosition="0"/>
    </format>
    <format dxfId="75">
      <pivotArea dataOnly="0" labelOnly="1" fieldPosition="0">
        <references count="1">
          <reference field="1" count="0"/>
        </references>
      </pivotArea>
    </format>
    <format dxfId="74">
      <pivotArea dataOnly="0" labelOnly="1" grandRow="1" outline="0" fieldPosition="0"/>
    </format>
    <format dxfId="73">
      <pivotArea dataOnly="0" labelOnly="1" fieldPosition="0">
        <references count="2">
          <reference field="1" count="1" selected="0">
            <x v="0"/>
          </reference>
          <reference field="2" count="1">
            <x v="1"/>
          </reference>
        </references>
      </pivotArea>
    </format>
    <format dxfId="72">
      <pivotArea dataOnly="0" labelOnly="1" fieldPosition="0">
        <references count="2">
          <reference field="1" count="1" selected="0">
            <x v="1"/>
          </reference>
          <reference field="2" count="5">
            <x v="11"/>
            <x v="38"/>
            <x v="39"/>
            <x v="40"/>
            <x v="41"/>
          </reference>
        </references>
      </pivotArea>
    </format>
    <format dxfId="71">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70">
      <pivotArea dataOnly="0" labelOnly="1" fieldPosition="0">
        <references count="2">
          <reference field="1" count="1" selected="0">
            <x v="3"/>
          </reference>
          <reference field="2" count="3">
            <x v="9"/>
            <x v="42"/>
            <x v="43"/>
          </reference>
        </references>
      </pivotArea>
    </format>
    <format dxfId="69">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68">
      <pivotArea dataOnly="0" labelOnly="1" fieldPosition="0">
        <references count="2">
          <reference field="1" count="1" selected="0">
            <x v="5"/>
          </reference>
          <reference field="2" count="5">
            <x v="0"/>
            <x v="2"/>
            <x v="17"/>
            <x v="25"/>
            <x v="34"/>
          </reference>
        </references>
      </pivotArea>
    </format>
    <format dxfId="67">
      <pivotArea dataOnly="0" labelOnly="1" fieldPosition="0">
        <references count="1">
          <reference field="3" count="0"/>
        </references>
      </pivotArea>
    </format>
    <format dxfId="66">
      <pivotArea dataOnly="0" labelOnly="1" grandCol="1" outline="0" fieldPosition="0"/>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3" type="button" dataOnly="0" labelOnly="1" outline="0" axis="axisCol" fieldPosition="0"/>
    </format>
    <format dxfId="61">
      <pivotArea type="topRight" dataOnly="0" labelOnly="1" outline="0" fieldPosition="0"/>
    </format>
    <format dxfId="60">
      <pivotArea field="1" type="button" dataOnly="0" labelOnly="1" outline="0" axis="axisRow" fieldPosition="0"/>
    </format>
    <format dxfId="59">
      <pivotArea dataOnly="0" labelOnly="1" fieldPosition="0">
        <references count="1">
          <reference field="1" count="0"/>
        </references>
      </pivotArea>
    </format>
    <format dxfId="58">
      <pivotArea dataOnly="0" labelOnly="1" grandRow="1" outline="0" fieldPosition="0"/>
    </format>
    <format dxfId="57">
      <pivotArea dataOnly="0" labelOnly="1" fieldPosition="0">
        <references count="2">
          <reference field="1" count="1" selected="0">
            <x v="0"/>
          </reference>
          <reference field="2" count="1">
            <x v="1"/>
          </reference>
        </references>
      </pivotArea>
    </format>
    <format dxfId="56">
      <pivotArea dataOnly="0" labelOnly="1" fieldPosition="0">
        <references count="2">
          <reference field="1" count="1" selected="0">
            <x v="1"/>
          </reference>
          <reference field="2" count="5">
            <x v="11"/>
            <x v="38"/>
            <x v="39"/>
            <x v="40"/>
            <x v="41"/>
          </reference>
        </references>
      </pivotArea>
    </format>
    <format dxfId="55">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54">
      <pivotArea dataOnly="0" labelOnly="1" fieldPosition="0">
        <references count="2">
          <reference field="1" count="1" selected="0">
            <x v="3"/>
          </reference>
          <reference field="2" count="3">
            <x v="9"/>
            <x v="42"/>
            <x v="43"/>
          </reference>
        </references>
      </pivotArea>
    </format>
    <format dxfId="53">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52">
      <pivotArea dataOnly="0" labelOnly="1" fieldPosition="0">
        <references count="2">
          <reference field="1" count="1" selected="0">
            <x v="5"/>
          </reference>
          <reference field="2" count="5">
            <x v="0"/>
            <x v="2"/>
            <x v="17"/>
            <x v="25"/>
            <x v="34"/>
          </reference>
        </references>
      </pivotArea>
    </format>
    <format dxfId="51">
      <pivotArea dataOnly="0" labelOnly="1" fieldPosition="0">
        <references count="1">
          <reference field="3" count="0"/>
        </references>
      </pivotArea>
    </format>
    <format dxfId="50">
      <pivotArea dataOnly="0" labelOnly="1" grandCol="1" outline="0" fieldPosition="0"/>
    </format>
    <format dxfId="49">
      <pivotArea outline="0" collapsedLevelsAreSubtotals="1" fieldPosition="0"/>
    </format>
    <format dxfId="48">
      <pivotArea field="3" type="button" dataOnly="0" labelOnly="1" outline="0" axis="axisCol" fieldPosition="0"/>
    </format>
    <format dxfId="47">
      <pivotArea field="-2" type="button" dataOnly="0" labelOnly="1" outline="0" axis="axisValues" fieldPosition="0"/>
    </format>
    <format dxfId="46">
      <pivotArea type="topRight" dataOnly="0" labelOnly="1" outline="0" fieldPosition="0"/>
    </format>
    <format dxfId="45">
      <pivotArea dataOnly="0" labelOnly="1" fieldPosition="0">
        <references count="1">
          <reference field="3" count="0"/>
        </references>
      </pivotArea>
    </format>
    <format dxfId="44">
      <pivotArea field="3" dataOnly="0" labelOnly="1" grandCol="1" outline="0" axis="axisCol" fieldPosition="0">
        <references count="1">
          <reference field="4294967294" count="1" selected="0">
            <x v="0"/>
          </reference>
        </references>
      </pivotArea>
    </format>
    <format dxfId="43">
      <pivotArea field="3" dataOnly="0" labelOnly="1" grandCol="1" outline="0" axis="axisCol" fieldPosition="0">
        <references count="1">
          <reference field="4294967294" count="1" selected="0">
            <x v="0"/>
          </reference>
        </references>
      </pivotArea>
    </format>
    <format dxfId="42">
      <pivotArea dataOnly="0" labelOnly="1" outline="0" fieldPosition="0">
        <references count="2">
          <reference field="4294967294" count="1">
            <x v="0"/>
          </reference>
          <reference field="3" count="1" selected="0">
            <x v="1"/>
          </reference>
        </references>
      </pivotArea>
    </format>
    <format dxfId="41">
      <pivotArea dataOnly="0" labelOnly="1" outline="0" fieldPosition="0">
        <references count="2">
          <reference field="4294967294" count="1">
            <x v="0"/>
          </reference>
          <reference field="3" count="1" selected="0">
            <x v="2"/>
          </reference>
        </references>
      </pivotArea>
    </format>
    <format dxfId="40">
      <pivotArea dataOnly="0" labelOnly="1" outline="0" fieldPosition="0">
        <references count="2">
          <reference field="4294967294" count="1">
            <x v="0"/>
          </reference>
          <reference field="3" count="1" selected="0">
            <x v="3"/>
          </reference>
        </references>
      </pivotArea>
    </format>
    <format dxfId="39">
      <pivotArea dataOnly="0" labelOnly="1" outline="0" fieldPosition="0">
        <references count="2">
          <reference field="4294967294" count="1">
            <x v="0"/>
          </reference>
          <reference field="3" count="1" selected="0">
            <x v="4"/>
          </reference>
        </references>
      </pivotArea>
    </format>
    <format dxfId="38">
      <pivotArea dataOnly="0" labelOnly="1" outline="0" fieldPosition="0">
        <references count="2">
          <reference field="4294967294" count="1">
            <x v="0"/>
          </reference>
          <reference field="3" count="1" selected="0">
            <x v="5"/>
          </reference>
        </references>
      </pivotArea>
    </format>
    <format dxfId="37">
      <pivotArea dataOnly="0" labelOnly="1" outline="0" fieldPosition="0">
        <references count="2">
          <reference field="4294967294" count="1">
            <x v="0"/>
          </reference>
          <reference field="3" count="1" selected="0">
            <x v="6"/>
          </reference>
        </references>
      </pivotArea>
    </format>
    <format dxfId="36">
      <pivotArea dataOnly="0" labelOnly="1" outline="0" fieldPosition="0">
        <references count="2">
          <reference field="4294967294" count="1">
            <x v="0"/>
          </reference>
          <reference field="3" count="1" selected="0">
            <x v="7"/>
          </reference>
        </references>
      </pivotArea>
    </format>
    <format dxfId="35">
      <pivotArea dataOnly="0" labelOnly="1" outline="0" fieldPosition="0">
        <references count="2">
          <reference field="4294967294" count="1">
            <x v="0"/>
          </reference>
          <reference field="3" count="1" selected="0">
            <x v="8"/>
          </reference>
        </references>
      </pivotArea>
    </format>
    <format dxfId="34">
      <pivotArea dataOnly="0" labelOnly="1" outline="0" fieldPosition="0">
        <references count="2">
          <reference field="4294967294" count="1">
            <x v="0"/>
          </reference>
          <reference field="3" count="1" selected="0">
            <x v="9"/>
          </reference>
        </references>
      </pivotArea>
    </format>
    <format dxfId="33">
      <pivotArea dataOnly="0" labelOnly="1" outline="0" fieldPosition="0">
        <references count="2">
          <reference field="4294967294" count="1">
            <x v="0"/>
          </reference>
          <reference field="3" count="1" selected="0">
            <x v="10"/>
          </reference>
        </references>
      </pivotArea>
    </format>
    <format dxfId="32">
      <pivotArea dataOnly="0" labelOnly="1" outline="0" fieldPosition="0">
        <references count="2">
          <reference field="4294967294" count="1">
            <x v="0"/>
          </reference>
          <reference field="3" count="1" selected="0">
            <x v="11"/>
          </reference>
        </references>
      </pivotArea>
    </format>
    <format dxfId="31">
      <pivotArea dataOnly="0" labelOnly="1" outline="0" fieldPosition="0">
        <references count="2">
          <reference field="4294967294" count="1">
            <x v="0"/>
          </reference>
          <reference field="3" count="1" selected="0">
            <x v="12"/>
          </reference>
        </references>
      </pivotArea>
    </format>
    <format dxfId="30">
      <pivotArea dataOnly="0" labelOnly="1" outline="0" fieldPosition="0">
        <references count="2">
          <reference field="4294967294" count="1">
            <x v="0"/>
          </reference>
          <reference field="3" count="1" selected="0">
            <x v="13"/>
          </reference>
        </references>
      </pivotArea>
    </format>
    <format dxfId="29">
      <pivotArea dataOnly="0" labelOnly="1" outline="0" fieldPosition="0">
        <references count="2">
          <reference field="4294967294" count="1">
            <x v="0"/>
          </reference>
          <reference field="3" count="1" selected="0">
            <x v="14"/>
          </reference>
        </references>
      </pivotArea>
    </format>
    <format dxfId="28">
      <pivotArea dataOnly="0" labelOnly="1" outline="0" fieldPosition="0">
        <references count="2">
          <reference field="4294967294" count="1">
            <x v="0"/>
          </reference>
          <reference field="3" count="1" selected="0">
            <x v="15"/>
          </reference>
        </references>
      </pivotArea>
    </format>
    <format dxfId="27">
      <pivotArea dataOnly="0" labelOnly="1" outline="0" fieldPosition="0">
        <references count="2">
          <reference field="4294967294" count="1">
            <x v="0"/>
          </reference>
          <reference field="3" count="1" selected="0">
            <x v="16"/>
          </reference>
        </references>
      </pivotArea>
    </format>
    <format dxfId="26">
      <pivotArea dataOnly="0" labelOnly="1" outline="0" fieldPosition="0">
        <references count="2">
          <reference field="4294967294" count="1">
            <x v="0"/>
          </reference>
          <reference field="3" count="1" selected="0">
            <x v="17"/>
          </reference>
        </references>
      </pivotArea>
    </format>
    <format dxfId="25">
      <pivotArea dataOnly="0" labelOnly="1" outline="0" fieldPosition="0">
        <references count="2">
          <reference field="4294967294" count="1">
            <x v="0"/>
          </reference>
          <reference field="3" count="1" selected="0">
            <x v="18"/>
          </reference>
        </references>
      </pivotArea>
    </format>
    <format dxfId="24">
      <pivotArea field="2" grandCol="1" collapsedLevelsAreSubtotals="1" axis="axisRow" fieldPosition="1">
        <references count="3">
          <reference field="4294967294" count="1" selected="0">
            <x v="0"/>
          </reference>
          <reference field="1" count="1" selected="0">
            <x v="2"/>
          </reference>
          <reference field="2" count="17">
            <x v="10"/>
            <x v="12"/>
            <x v="13"/>
            <x v="14"/>
            <x v="15"/>
            <x v="16"/>
            <x v="19"/>
            <x v="20"/>
            <x v="21"/>
            <x v="22"/>
            <x v="23"/>
            <x v="24"/>
            <x v="30"/>
            <x v="31"/>
            <x v="35"/>
            <x v="37"/>
            <x v="40"/>
          </reference>
        </references>
      </pivotArea>
    </format>
    <format dxfId="23">
      <pivotArea field="1" grandCol="1" collapsedLevelsAreSubtotals="1" axis="axisRow" fieldPosition="0">
        <references count="2">
          <reference field="4294967294" count="1" selected="0">
            <x v="0"/>
          </reference>
          <reference field="1" count="1">
            <x v="3"/>
          </reference>
        </references>
      </pivotArea>
    </format>
    <format dxfId="22">
      <pivotArea field="2" grandCol="1" collapsedLevelsAreSubtotals="1" axis="axisRow" fieldPosition="1">
        <references count="3">
          <reference field="4294967294" count="1" selected="0">
            <x v="0"/>
          </reference>
          <reference field="1" count="1" selected="0">
            <x v="2"/>
          </reference>
          <reference field="2" count="1">
            <x v="10"/>
          </reference>
        </references>
      </pivotArea>
    </format>
    <format dxfId="21">
      <pivotArea field="2" grandCol="1" collapsedLevelsAreSubtotals="1" axis="axisRow" fieldPosition="1">
        <references count="2">
          <reference field="1" count="1" selected="0">
            <x v="2"/>
          </reference>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ia.gov/energyexplained/index.php?page=about_energy_conversion_calculato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IPCC@2006" TargetMode="External"/><Relationship Id="rId7" Type="http://schemas.openxmlformats.org/officeDocument/2006/relationships/printerSettings" Target="../printerSettings/printerSettings3.bin"/><Relationship Id="rId2" Type="http://schemas.openxmlformats.org/officeDocument/2006/relationships/hyperlink" Target="mailto:INECC@2014" TargetMode="External"/><Relationship Id="rId1" Type="http://schemas.openxmlformats.org/officeDocument/2006/relationships/pivotTable" Target="../pivotTables/pivotTable1.xml"/><Relationship Id="rId6" Type="http://schemas.openxmlformats.org/officeDocument/2006/relationships/hyperlink" Target="mailto:IPCC@2006" TargetMode="External"/><Relationship Id="rId5" Type="http://schemas.openxmlformats.org/officeDocument/2006/relationships/hyperlink" Target="mailto:IPCC@2006" TargetMode="External"/><Relationship Id="rId4" Type="http://schemas.openxmlformats.org/officeDocument/2006/relationships/hyperlink" Target="mailto:INECC@201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xml"/><Relationship Id="rId1" Type="http://schemas.openxmlformats.org/officeDocument/2006/relationships/printerSettings" Target="../printerSettings/printerSettings12.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L26" sqref="L26"/>
    </sheetView>
  </sheetViews>
  <sheetFormatPr baseColWidth="10" defaultRowHeight="15.75"/>
  <sheetData>
    <row r="2" spans="2:3">
      <c r="B2" s="11" t="s">
        <v>275</v>
      </c>
      <c r="C2" t="s">
        <v>277</v>
      </c>
    </row>
    <row r="3" spans="2:3">
      <c r="B3" s="12" t="s">
        <v>276</v>
      </c>
      <c r="C3" t="s">
        <v>278</v>
      </c>
    </row>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opLeftCell="A3" workbookViewId="0">
      <selection activeCell="C3" sqref="C3"/>
    </sheetView>
  </sheetViews>
  <sheetFormatPr baseColWidth="10" defaultColWidth="11" defaultRowHeight="15.75"/>
  <cols>
    <col min="1" max="1" width="3.875" style="7" customWidth="1"/>
    <col min="2" max="2" width="13.5" style="7" customWidth="1"/>
    <col min="3" max="3" width="94.875" style="7" customWidth="1"/>
    <col min="4" max="7" width="11" style="7"/>
    <col min="8" max="8" width="48.375" style="7" customWidth="1"/>
    <col min="9" max="16384" width="11" style="7"/>
  </cols>
  <sheetData>
    <row r="1" spans="2:11" ht="28.5">
      <c r="B1" s="35" t="s">
        <v>249</v>
      </c>
      <c r="C1" s="6"/>
      <c r="D1" s="6"/>
      <c r="E1" s="6"/>
      <c r="F1" s="6"/>
      <c r="G1" s="36"/>
      <c r="H1" s="35" t="s">
        <v>250</v>
      </c>
      <c r="I1" s="6"/>
      <c r="J1" s="6"/>
      <c r="K1" s="6"/>
    </row>
    <row r="2" spans="2:11" ht="28.5">
      <c r="B2" s="35"/>
      <c r="C2" s="6"/>
      <c r="D2" s="6"/>
      <c r="E2" s="6"/>
      <c r="F2" s="6"/>
      <c r="G2" s="36"/>
      <c r="H2" s="36"/>
      <c r="I2" s="6"/>
      <c r="J2" s="6"/>
      <c r="K2" s="6"/>
    </row>
    <row r="3" spans="2:11" ht="18.75">
      <c r="B3" s="37"/>
      <c r="C3" s="37" t="s">
        <v>247</v>
      </c>
      <c r="D3" s="6"/>
      <c r="E3" s="6"/>
      <c r="F3" s="6"/>
      <c r="G3" s="6"/>
      <c r="H3" s="38" t="s">
        <v>267</v>
      </c>
      <c r="I3" s="38" t="s">
        <v>1</v>
      </c>
      <c r="J3" s="6"/>
      <c r="K3" s="6"/>
    </row>
    <row r="4" spans="2:11">
      <c r="B4" s="6" t="s">
        <v>244</v>
      </c>
      <c r="C4" s="1" t="s">
        <v>2</v>
      </c>
      <c r="D4" s="6"/>
      <c r="E4" s="6"/>
      <c r="F4" s="6"/>
      <c r="G4" s="6"/>
      <c r="H4" s="6" t="s">
        <v>12</v>
      </c>
      <c r="I4" s="6" t="s">
        <v>260</v>
      </c>
      <c r="J4" s="6"/>
      <c r="K4" s="6"/>
    </row>
    <row r="5" spans="2:11">
      <c r="B5" s="6" t="s">
        <v>245</v>
      </c>
      <c r="C5" s="1" t="s">
        <v>23</v>
      </c>
      <c r="D5" s="6"/>
      <c r="E5" s="6"/>
      <c r="F5" s="6"/>
      <c r="G5" s="6"/>
      <c r="H5" s="6" t="s">
        <v>13</v>
      </c>
      <c r="I5" s="6" t="s">
        <v>262</v>
      </c>
      <c r="J5" s="6"/>
      <c r="K5" s="6"/>
    </row>
    <row r="6" spans="2:11">
      <c r="B6" s="6"/>
      <c r="C6" s="1" t="s">
        <v>24</v>
      </c>
      <c r="D6" s="6"/>
      <c r="E6" s="6"/>
      <c r="F6" s="6"/>
      <c r="G6" s="6"/>
      <c r="H6" s="6" t="s">
        <v>9</v>
      </c>
      <c r="I6" s="6" t="s">
        <v>257</v>
      </c>
      <c r="J6" s="6"/>
      <c r="K6" s="6"/>
    </row>
    <row r="7" spans="2:11">
      <c r="B7" s="6"/>
      <c r="C7" s="1" t="s">
        <v>20</v>
      </c>
      <c r="D7" s="6"/>
      <c r="E7" s="6"/>
      <c r="F7" s="6"/>
      <c r="G7" s="6"/>
      <c r="H7" s="6" t="s">
        <v>14</v>
      </c>
      <c r="I7" s="6" t="s">
        <v>261</v>
      </c>
      <c r="J7" s="6"/>
      <c r="K7" s="6"/>
    </row>
    <row r="8" spans="2:11">
      <c r="B8" s="6"/>
      <c r="C8" s="1" t="s">
        <v>25</v>
      </c>
      <c r="D8" s="6"/>
      <c r="E8" s="6"/>
      <c r="F8" s="6"/>
      <c r="G8" s="6"/>
      <c r="H8" s="6" t="s">
        <v>15</v>
      </c>
      <c r="I8" s="6" t="s">
        <v>263</v>
      </c>
      <c r="J8" s="6"/>
      <c r="K8" s="6"/>
    </row>
    <row r="9" spans="2:11">
      <c r="B9" s="6"/>
      <c r="C9" s="1" t="s">
        <v>35</v>
      </c>
      <c r="D9" s="6"/>
      <c r="E9" s="6"/>
      <c r="F9" s="6"/>
      <c r="G9" s="6"/>
      <c r="H9" s="6" t="s">
        <v>3</v>
      </c>
      <c r="I9" s="6" t="s">
        <v>253</v>
      </c>
      <c r="J9" s="6"/>
      <c r="K9" s="6"/>
    </row>
    <row r="10" spans="2:11">
      <c r="B10" s="6"/>
      <c r="C10" s="1" t="s">
        <v>29</v>
      </c>
      <c r="D10" s="6"/>
      <c r="E10" s="6"/>
      <c r="F10" s="6"/>
      <c r="G10" s="6"/>
      <c r="H10" s="6" t="s">
        <v>4</v>
      </c>
      <c r="I10" s="6" t="s">
        <v>254</v>
      </c>
      <c r="J10" s="6"/>
      <c r="K10" s="6"/>
    </row>
    <row r="11" spans="2:11">
      <c r="B11" s="6"/>
      <c r="C11" s="1" t="s">
        <v>36</v>
      </c>
      <c r="D11" s="6"/>
      <c r="E11" s="6"/>
      <c r="F11" s="6"/>
      <c r="G11" s="6"/>
      <c r="H11" s="6" t="s">
        <v>5</v>
      </c>
      <c r="I11" s="6" t="s">
        <v>255</v>
      </c>
      <c r="J11" s="6"/>
      <c r="K11" s="6"/>
    </row>
    <row r="12" spans="2:11">
      <c r="B12" s="6"/>
      <c r="C12" s="1" t="s">
        <v>34</v>
      </c>
      <c r="D12" s="6"/>
      <c r="E12" s="6"/>
      <c r="F12" s="6"/>
      <c r="G12" s="6"/>
      <c r="H12" s="6" t="s">
        <v>10</v>
      </c>
      <c r="I12" s="6" t="s">
        <v>258</v>
      </c>
      <c r="J12" s="6"/>
      <c r="K12" s="6"/>
    </row>
    <row r="13" spans="2:11">
      <c r="B13" s="6"/>
      <c r="C13" s="1" t="s">
        <v>30</v>
      </c>
      <c r="D13" s="6"/>
      <c r="E13" s="6"/>
      <c r="F13" s="6"/>
      <c r="G13" s="6"/>
      <c r="H13" s="6" t="s">
        <v>16</v>
      </c>
      <c r="I13" s="6" t="s">
        <v>264</v>
      </c>
      <c r="J13" s="6"/>
      <c r="K13" s="6"/>
    </row>
    <row r="14" spans="2:11">
      <c r="B14" s="6"/>
      <c r="C14" s="1" t="s">
        <v>22</v>
      </c>
      <c r="D14" s="6"/>
      <c r="E14" s="6"/>
      <c r="F14" s="6"/>
      <c r="G14" s="6"/>
      <c r="H14" s="6" t="s">
        <v>17</v>
      </c>
      <c r="I14" s="6" t="s">
        <v>265</v>
      </c>
      <c r="J14" s="6"/>
      <c r="K14" s="6"/>
    </row>
    <row r="15" spans="2:11">
      <c r="B15" s="6"/>
      <c r="C15" s="1" t="s">
        <v>27</v>
      </c>
      <c r="D15" s="6"/>
      <c r="E15" s="6"/>
      <c r="F15" s="6"/>
      <c r="G15" s="6"/>
      <c r="H15" s="6" t="s">
        <v>19</v>
      </c>
      <c r="I15" s="6" t="s">
        <v>266</v>
      </c>
      <c r="J15" s="6"/>
      <c r="K15" s="6"/>
    </row>
    <row r="16" spans="2:11">
      <c r="B16" s="6"/>
      <c r="C16" s="1" t="s">
        <v>33</v>
      </c>
      <c r="D16" s="6"/>
      <c r="E16" s="6"/>
      <c r="F16" s="6"/>
      <c r="G16" s="6"/>
      <c r="H16" s="6" t="s">
        <v>6</v>
      </c>
      <c r="I16" s="6" t="s">
        <v>256</v>
      </c>
      <c r="J16" s="6"/>
      <c r="K16" s="6"/>
    </row>
    <row r="17" spans="2:11">
      <c r="B17" s="6"/>
      <c r="C17" s="1" t="s">
        <v>32</v>
      </c>
      <c r="D17" s="6"/>
      <c r="E17" s="6"/>
      <c r="F17" s="6"/>
      <c r="G17" s="6"/>
      <c r="H17" s="6" t="s">
        <v>11</v>
      </c>
      <c r="I17" s="6" t="s">
        <v>259</v>
      </c>
      <c r="J17" s="6"/>
      <c r="K17" s="6"/>
    </row>
    <row r="18" spans="2:11">
      <c r="B18" s="6"/>
      <c r="C18" s="1" t="s">
        <v>21</v>
      </c>
      <c r="D18" s="6"/>
      <c r="E18" s="6"/>
      <c r="F18" s="6"/>
      <c r="G18" s="6"/>
      <c r="H18" s="6"/>
      <c r="I18" s="6"/>
      <c r="J18" s="6"/>
      <c r="K18" s="6"/>
    </row>
    <row r="19" spans="2:11">
      <c r="B19" s="6"/>
      <c r="C19" s="1" t="s">
        <v>31</v>
      </c>
      <c r="D19" s="6"/>
      <c r="E19" s="6"/>
      <c r="F19" s="6"/>
      <c r="G19" s="6"/>
      <c r="H19" s="6"/>
      <c r="I19" s="6"/>
      <c r="J19" s="6"/>
      <c r="K19" s="6"/>
    </row>
    <row r="20" spans="2:11">
      <c r="B20" s="6"/>
      <c r="C20" s="1" t="s">
        <v>26</v>
      </c>
      <c r="D20" s="6"/>
      <c r="E20" s="6"/>
      <c r="F20" s="6"/>
      <c r="G20" s="6"/>
      <c r="H20" s="6"/>
      <c r="I20" s="6"/>
      <c r="J20" s="6"/>
      <c r="K20" s="6"/>
    </row>
    <row r="21" spans="2:11">
      <c r="B21" s="6" t="s">
        <v>194</v>
      </c>
      <c r="C21" s="1" t="s">
        <v>43</v>
      </c>
      <c r="D21" s="6"/>
      <c r="E21" s="6"/>
      <c r="F21" s="6"/>
      <c r="G21" s="6"/>
      <c r="H21" s="6"/>
      <c r="I21" s="6"/>
      <c r="J21" s="6"/>
      <c r="K21" s="6"/>
    </row>
    <row r="22" spans="2:11">
      <c r="B22" s="6"/>
      <c r="C22" s="1" t="s">
        <v>39</v>
      </c>
      <c r="D22" s="6"/>
      <c r="E22" s="6"/>
      <c r="F22" s="6"/>
      <c r="G22" s="6"/>
      <c r="H22" s="6"/>
      <c r="I22" s="6"/>
      <c r="J22" s="6"/>
      <c r="K22" s="6"/>
    </row>
    <row r="23" spans="2:11">
      <c r="B23" s="6"/>
      <c r="C23" s="1" t="s">
        <v>40</v>
      </c>
      <c r="D23" s="6"/>
      <c r="E23" s="6"/>
      <c r="F23" s="6"/>
      <c r="G23" s="6"/>
      <c r="H23" s="6"/>
      <c r="I23" s="6"/>
      <c r="J23" s="6"/>
      <c r="K23" s="6"/>
    </row>
    <row r="24" spans="2:11">
      <c r="B24" s="6"/>
      <c r="C24" s="1" t="s">
        <v>42</v>
      </c>
      <c r="D24" s="6"/>
      <c r="E24" s="6"/>
      <c r="F24" s="6"/>
      <c r="G24" s="6"/>
      <c r="H24" s="6"/>
      <c r="I24" s="6"/>
      <c r="J24" s="6"/>
      <c r="K24" s="6"/>
    </row>
    <row r="25" spans="2:11">
      <c r="B25" s="6"/>
      <c r="C25" s="1" t="s">
        <v>41</v>
      </c>
      <c r="D25" s="6"/>
      <c r="E25" s="6"/>
      <c r="F25" s="6"/>
      <c r="G25" s="6"/>
      <c r="H25" s="6"/>
      <c r="I25" s="6"/>
      <c r="J25" s="6"/>
      <c r="K25" s="6"/>
    </row>
    <row r="26" spans="2:11">
      <c r="B26" s="6" t="s">
        <v>195</v>
      </c>
      <c r="C26" s="1" t="s">
        <v>8</v>
      </c>
      <c r="D26" s="6"/>
      <c r="E26" s="6"/>
      <c r="F26" s="6"/>
      <c r="G26" s="6"/>
      <c r="H26" s="6"/>
      <c r="I26" s="6"/>
      <c r="J26" s="6"/>
      <c r="K26" s="6"/>
    </row>
    <row r="27" spans="2:11">
      <c r="B27" s="6"/>
      <c r="C27" s="1" t="s">
        <v>37</v>
      </c>
      <c r="D27" s="6"/>
      <c r="E27" s="6"/>
      <c r="F27" s="6"/>
      <c r="G27" s="6"/>
      <c r="H27" s="6"/>
      <c r="I27" s="6"/>
      <c r="J27" s="6"/>
      <c r="K27" s="6"/>
    </row>
    <row r="28" spans="2:11">
      <c r="B28" s="6"/>
      <c r="C28" s="1" t="s">
        <v>38</v>
      </c>
      <c r="D28" s="6"/>
      <c r="E28" s="6"/>
      <c r="F28" s="6"/>
      <c r="G28" s="6"/>
      <c r="H28" s="6"/>
      <c r="I28" s="6"/>
      <c r="J28" s="6"/>
      <c r="K28" s="6"/>
    </row>
    <row r="29" spans="2:11">
      <c r="B29" s="6" t="s">
        <v>246</v>
      </c>
      <c r="C29" s="1" t="s">
        <v>18</v>
      </c>
      <c r="D29" s="6"/>
      <c r="E29" s="6"/>
      <c r="F29" s="6"/>
      <c r="G29" s="6"/>
      <c r="H29" s="6"/>
      <c r="I29" s="6"/>
      <c r="J29" s="6"/>
      <c r="K29" s="6"/>
    </row>
    <row r="30" spans="2:11">
      <c r="B30" s="6"/>
      <c r="C30" s="6"/>
      <c r="D30" s="6"/>
      <c r="E30" s="6"/>
      <c r="F30" s="6"/>
      <c r="G30" s="6"/>
      <c r="H30" s="6"/>
      <c r="I30" s="6"/>
      <c r="J30" s="6"/>
      <c r="K30" s="6"/>
    </row>
    <row r="31" spans="2:11">
      <c r="B31" s="6"/>
      <c r="C31" s="6"/>
      <c r="D31" s="6"/>
      <c r="E31" s="6"/>
      <c r="F31" s="6"/>
      <c r="G31" s="6"/>
      <c r="H31" s="6"/>
      <c r="I31" s="6"/>
      <c r="J31" s="6"/>
      <c r="K31" s="6"/>
    </row>
    <row r="32" spans="2:11" ht="39.75">
      <c r="B32" s="6"/>
      <c r="C32" s="37" t="s">
        <v>248</v>
      </c>
      <c r="D32" s="39" t="s">
        <v>252</v>
      </c>
      <c r="E32" s="40" t="s">
        <v>151</v>
      </c>
      <c r="F32" s="6"/>
      <c r="G32" s="6"/>
      <c r="H32" s="37" t="s">
        <v>251</v>
      </c>
      <c r="I32" s="39" t="s">
        <v>252</v>
      </c>
      <c r="J32" s="6"/>
      <c r="K32" s="6"/>
    </row>
    <row r="33" spans="2:11" ht="47.25">
      <c r="B33" s="41" t="s">
        <v>148</v>
      </c>
      <c r="C33" s="1" t="s">
        <v>76</v>
      </c>
      <c r="D33" s="42" t="s">
        <v>77</v>
      </c>
      <c r="E33" s="43" t="s">
        <v>157</v>
      </c>
      <c r="F33" s="6"/>
      <c r="G33" s="6"/>
      <c r="H33" s="6" t="s">
        <v>173</v>
      </c>
      <c r="I33" s="6" t="s">
        <v>49</v>
      </c>
      <c r="J33" s="6"/>
      <c r="K33" s="6"/>
    </row>
    <row r="34" spans="2:11">
      <c r="B34" s="6"/>
      <c r="C34" s="1" t="s">
        <v>78</v>
      </c>
      <c r="D34" s="42" t="s">
        <v>79</v>
      </c>
      <c r="E34" s="43" t="s">
        <v>159</v>
      </c>
      <c r="F34" s="6"/>
      <c r="G34" s="6"/>
      <c r="H34" s="6" t="s">
        <v>174</v>
      </c>
      <c r="I34" s="6" t="s">
        <v>50</v>
      </c>
      <c r="J34" s="6"/>
      <c r="K34" s="6"/>
    </row>
    <row r="35" spans="2:11">
      <c r="B35" s="6"/>
      <c r="C35" s="1" t="s">
        <v>80</v>
      </c>
      <c r="D35" s="42" t="s">
        <v>81</v>
      </c>
      <c r="E35" s="43" t="s">
        <v>158</v>
      </c>
      <c r="F35" s="6"/>
      <c r="G35" s="6"/>
      <c r="H35" s="6" t="s">
        <v>166</v>
      </c>
      <c r="I35" s="6" t="s">
        <v>51</v>
      </c>
      <c r="J35" s="6"/>
      <c r="K35" s="6"/>
    </row>
    <row r="36" spans="2:11">
      <c r="B36" s="6"/>
      <c r="C36" s="1" t="s">
        <v>82</v>
      </c>
      <c r="D36" s="42" t="s">
        <v>83</v>
      </c>
      <c r="E36" s="43" t="s">
        <v>160</v>
      </c>
      <c r="F36" s="6"/>
      <c r="G36" s="6"/>
      <c r="H36" s="6" t="s">
        <v>175</v>
      </c>
      <c r="I36" s="6" t="s">
        <v>52</v>
      </c>
      <c r="J36" s="6"/>
      <c r="K36" s="6"/>
    </row>
    <row r="37" spans="2:11">
      <c r="B37" s="6"/>
      <c r="C37" s="1" t="s">
        <v>84</v>
      </c>
      <c r="D37" s="42" t="s">
        <v>85</v>
      </c>
      <c r="E37" s="43">
        <v>19</v>
      </c>
      <c r="F37" s="6"/>
      <c r="G37" s="6"/>
      <c r="H37" s="6" t="s">
        <v>176</v>
      </c>
      <c r="I37" s="6" t="s">
        <v>53</v>
      </c>
      <c r="J37" s="6"/>
      <c r="K37" s="6"/>
    </row>
    <row r="38" spans="2:11">
      <c r="B38" s="6"/>
      <c r="C38" s="1" t="s">
        <v>86</v>
      </c>
      <c r="D38" s="42" t="s">
        <v>87</v>
      </c>
      <c r="E38" s="43">
        <v>20</v>
      </c>
      <c r="F38" s="6"/>
      <c r="G38" s="6"/>
      <c r="H38" s="6" t="s">
        <v>177</v>
      </c>
      <c r="I38" s="6" t="s">
        <v>54</v>
      </c>
      <c r="J38" s="6"/>
      <c r="K38" s="6"/>
    </row>
    <row r="39" spans="2:11">
      <c r="B39" s="6"/>
      <c r="C39" s="1" t="s">
        <v>88</v>
      </c>
      <c r="D39" s="42" t="s">
        <v>89</v>
      </c>
      <c r="E39" s="44" t="s">
        <v>152</v>
      </c>
      <c r="F39" s="6"/>
      <c r="G39" s="6"/>
      <c r="H39" s="6" t="s">
        <v>178</v>
      </c>
      <c r="I39" s="6" t="s">
        <v>55</v>
      </c>
      <c r="J39" s="6"/>
      <c r="K39" s="6"/>
    </row>
    <row r="40" spans="2:11">
      <c r="B40" s="6"/>
      <c r="C40" s="1" t="s">
        <v>90</v>
      </c>
      <c r="D40" s="42" t="s">
        <v>91</v>
      </c>
      <c r="E40" s="43">
        <v>23</v>
      </c>
      <c r="F40" s="6"/>
      <c r="G40" s="6"/>
      <c r="H40" s="6" t="s">
        <v>179</v>
      </c>
      <c r="I40" s="6" t="s">
        <v>56</v>
      </c>
      <c r="J40" s="6"/>
      <c r="K40" s="6"/>
    </row>
    <row r="41" spans="2:11">
      <c r="B41" s="6"/>
      <c r="C41" s="1" t="s">
        <v>92</v>
      </c>
      <c r="D41" s="42" t="s">
        <v>93</v>
      </c>
      <c r="E41" s="43">
        <v>24</v>
      </c>
      <c r="F41" s="6"/>
      <c r="G41" s="6"/>
      <c r="H41" s="6" t="s">
        <v>180</v>
      </c>
      <c r="I41" s="6" t="s">
        <v>57</v>
      </c>
      <c r="J41" s="6"/>
      <c r="K41" s="6"/>
    </row>
    <row r="42" spans="2:11">
      <c r="B42" s="6"/>
      <c r="C42" s="1" t="s">
        <v>94</v>
      </c>
      <c r="D42" s="42" t="s">
        <v>95</v>
      </c>
      <c r="E42" s="43">
        <v>25</v>
      </c>
      <c r="F42" s="6"/>
      <c r="G42" s="6"/>
      <c r="H42" s="6" t="s">
        <v>181</v>
      </c>
      <c r="I42" s="6" t="s">
        <v>58</v>
      </c>
      <c r="J42" s="6"/>
      <c r="K42" s="6"/>
    </row>
    <row r="43" spans="2:11">
      <c r="B43" s="6"/>
      <c r="C43" s="1" t="s">
        <v>96</v>
      </c>
      <c r="D43" s="42" t="s">
        <v>97</v>
      </c>
      <c r="E43" s="43">
        <v>26</v>
      </c>
      <c r="F43" s="6"/>
      <c r="G43" s="6"/>
      <c r="H43" s="6" t="s">
        <v>182</v>
      </c>
      <c r="I43" s="6" t="s">
        <v>59</v>
      </c>
      <c r="J43" s="6"/>
      <c r="K43" s="6"/>
    </row>
    <row r="44" spans="2:11">
      <c r="B44" s="6"/>
      <c r="C44" s="1" t="s">
        <v>98</v>
      </c>
      <c r="D44" s="42" t="s">
        <v>99</v>
      </c>
      <c r="E44" s="43" t="s">
        <v>153</v>
      </c>
      <c r="F44" s="6"/>
      <c r="G44" s="6"/>
      <c r="H44" s="6" t="s">
        <v>167</v>
      </c>
      <c r="I44" s="6" t="s">
        <v>60</v>
      </c>
      <c r="J44" s="6"/>
      <c r="K44" s="6"/>
    </row>
    <row r="45" spans="2:11">
      <c r="B45" s="6"/>
      <c r="C45" s="1" t="s">
        <v>100</v>
      </c>
      <c r="D45" s="42" t="s">
        <v>101</v>
      </c>
      <c r="E45" s="43">
        <v>29</v>
      </c>
      <c r="F45" s="6"/>
      <c r="G45" s="6"/>
      <c r="H45" s="6" t="s">
        <v>183</v>
      </c>
      <c r="I45" s="6" t="s">
        <v>61</v>
      </c>
      <c r="J45" s="6"/>
      <c r="K45" s="6"/>
    </row>
    <row r="46" spans="2:11">
      <c r="B46" s="6"/>
      <c r="C46" s="1" t="s">
        <v>102</v>
      </c>
      <c r="D46" s="42" t="s">
        <v>103</v>
      </c>
      <c r="E46" s="45" t="s">
        <v>161</v>
      </c>
      <c r="F46" s="6"/>
      <c r="G46" s="6"/>
      <c r="H46" s="6" t="s">
        <v>168</v>
      </c>
      <c r="I46" s="6" t="s">
        <v>62</v>
      </c>
      <c r="J46" s="6"/>
      <c r="K46" s="6"/>
    </row>
    <row r="47" spans="2:11">
      <c r="B47" s="6"/>
      <c r="C47" s="1" t="s">
        <v>104</v>
      </c>
      <c r="D47" s="42" t="s">
        <v>105</v>
      </c>
      <c r="E47" s="45" t="s">
        <v>154</v>
      </c>
      <c r="F47" s="6"/>
      <c r="G47" s="6"/>
      <c r="H47" s="6" t="s">
        <v>184</v>
      </c>
      <c r="I47" s="6" t="s">
        <v>63</v>
      </c>
      <c r="J47" s="6"/>
      <c r="K47" s="6"/>
    </row>
    <row r="48" spans="2:11">
      <c r="B48" s="6"/>
      <c r="C48" s="1" t="s">
        <v>106</v>
      </c>
      <c r="D48" s="42" t="s">
        <v>107</v>
      </c>
      <c r="E48" s="45" t="s">
        <v>155</v>
      </c>
      <c r="F48" s="6"/>
      <c r="G48" s="6"/>
      <c r="H48" s="6" t="s">
        <v>169</v>
      </c>
      <c r="I48" s="6" t="s">
        <v>64</v>
      </c>
      <c r="J48" s="6"/>
      <c r="K48" s="6"/>
    </row>
    <row r="49" spans="2:11">
      <c r="B49" s="6"/>
      <c r="C49" s="1" t="s">
        <v>108</v>
      </c>
      <c r="D49" s="42" t="s">
        <v>109</v>
      </c>
      <c r="E49" s="45" t="s">
        <v>156</v>
      </c>
      <c r="F49" s="6"/>
      <c r="G49" s="6"/>
      <c r="H49" s="6" t="s">
        <v>185</v>
      </c>
      <c r="I49" s="6" t="s">
        <v>65</v>
      </c>
      <c r="J49" s="6"/>
      <c r="K49" s="6"/>
    </row>
    <row r="50" spans="2:11">
      <c r="B50" s="6"/>
      <c r="C50" s="1" t="s">
        <v>110</v>
      </c>
      <c r="D50" s="42" t="s">
        <v>111</v>
      </c>
      <c r="E50" s="43">
        <v>45</v>
      </c>
      <c r="F50" s="6"/>
      <c r="G50" s="6"/>
      <c r="H50" s="6" t="s">
        <v>192</v>
      </c>
      <c r="I50" s="6" t="s">
        <v>66</v>
      </c>
      <c r="J50" s="6"/>
      <c r="K50" s="6"/>
    </row>
    <row r="51" spans="2:11">
      <c r="B51" s="6"/>
      <c r="C51" s="1" t="s">
        <v>112</v>
      </c>
      <c r="D51" s="42" t="s">
        <v>113</v>
      </c>
      <c r="E51" s="43">
        <v>50</v>
      </c>
      <c r="F51" s="6"/>
      <c r="G51" s="6"/>
      <c r="H51" s="6" t="s">
        <v>172</v>
      </c>
      <c r="I51" s="6" t="s">
        <v>67</v>
      </c>
      <c r="J51" s="6"/>
      <c r="K51" s="6"/>
    </row>
    <row r="52" spans="2:11">
      <c r="B52" s="6"/>
      <c r="C52" s="1" t="s">
        <v>114</v>
      </c>
      <c r="D52" s="42" t="s">
        <v>115</v>
      </c>
      <c r="E52" s="43">
        <v>51</v>
      </c>
      <c r="F52" s="6"/>
      <c r="G52" s="6"/>
      <c r="H52" s="6" t="s">
        <v>186</v>
      </c>
      <c r="I52" s="6" t="s">
        <v>68</v>
      </c>
      <c r="J52" s="6"/>
      <c r="K52" s="6"/>
    </row>
    <row r="53" spans="2:11">
      <c r="B53" s="6"/>
      <c r="C53" s="1" t="s">
        <v>116</v>
      </c>
      <c r="D53" s="42" t="s">
        <v>117</v>
      </c>
      <c r="E53" s="43">
        <v>52</v>
      </c>
      <c r="F53" s="6"/>
      <c r="G53" s="6"/>
      <c r="H53" s="6" t="s">
        <v>187</v>
      </c>
      <c r="I53" s="6" t="s">
        <v>69</v>
      </c>
      <c r="J53" s="6"/>
      <c r="K53" s="6"/>
    </row>
    <row r="54" spans="2:11">
      <c r="B54" s="6"/>
      <c r="C54" s="1" t="s">
        <v>118</v>
      </c>
      <c r="D54" s="42" t="s">
        <v>119</v>
      </c>
      <c r="E54" s="43">
        <v>55</v>
      </c>
      <c r="F54" s="6"/>
      <c r="G54" s="6"/>
      <c r="H54" s="6" t="s">
        <v>170</v>
      </c>
      <c r="I54" s="6" t="s">
        <v>70</v>
      </c>
      <c r="J54" s="6"/>
      <c r="K54" s="6"/>
    </row>
    <row r="55" spans="2:11">
      <c r="B55" s="6"/>
      <c r="C55" s="1" t="s">
        <v>120</v>
      </c>
      <c r="D55" s="42" t="s">
        <v>121</v>
      </c>
      <c r="E55" s="43">
        <v>60</v>
      </c>
      <c r="F55" s="6"/>
      <c r="G55" s="6"/>
      <c r="H55" s="6" t="s">
        <v>171</v>
      </c>
      <c r="I55" s="6" t="s">
        <v>71</v>
      </c>
      <c r="J55" s="6"/>
      <c r="K55" s="6"/>
    </row>
    <row r="56" spans="2:11">
      <c r="B56" s="6"/>
      <c r="C56" s="1" t="s">
        <v>122</v>
      </c>
      <c r="D56" s="42" t="s">
        <v>123</v>
      </c>
      <c r="E56" s="43">
        <v>61</v>
      </c>
      <c r="F56" s="6"/>
      <c r="G56" s="6"/>
      <c r="H56" s="6" t="s">
        <v>188</v>
      </c>
      <c r="I56" s="6" t="s">
        <v>72</v>
      </c>
      <c r="J56" s="6"/>
      <c r="K56" s="6"/>
    </row>
    <row r="57" spans="2:11">
      <c r="B57" s="6"/>
      <c r="C57" s="1" t="s">
        <v>124</v>
      </c>
      <c r="D57" s="42" t="s">
        <v>125</v>
      </c>
      <c r="E57" s="43">
        <v>62</v>
      </c>
      <c r="F57" s="6"/>
      <c r="G57" s="6"/>
      <c r="H57" s="6" t="s">
        <v>189</v>
      </c>
      <c r="I57" s="6" t="s">
        <v>73</v>
      </c>
      <c r="J57" s="6"/>
      <c r="K57" s="6"/>
    </row>
    <row r="58" spans="2:11">
      <c r="B58" s="6"/>
      <c r="C58" s="1" t="s">
        <v>126</v>
      </c>
      <c r="D58" s="42" t="s">
        <v>127</v>
      </c>
      <c r="E58" s="43">
        <v>63</v>
      </c>
      <c r="F58" s="6"/>
      <c r="G58" s="6"/>
      <c r="H58" s="6" t="s">
        <v>190</v>
      </c>
      <c r="I58" s="6" t="s">
        <v>74</v>
      </c>
      <c r="J58" s="6"/>
      <c r="K58" s="6"/>
    </row>
    <row r="59" spans="2:11">
      <c r="B59" s="6"/>
      <c r="C59" s="1" t="s">
        <v>128</v>
      </c>
      <c r="D59" s="42" t="s">
        <v>129</v>
      </c>
      <c r="E59" s="43">
        <v>64</v>
      </c>
      <c r="F59" s="6"/>
      <c r="G59" s="6"/>
      <c r="H59" s="6" t="s">
        <v>191</v>
      </c>
      <c r="I59" s="6" t="s">
        <v>75</v>
      </c>
      <c r="J59" s="6"/>
      <c r="K59" s="6"/>
    </row>
    <row r="60" spans="2:11">
      <c r="B60" s="6"/>
      <c r="C60" s="1" t="s">
        <v>130</v>
      </c>
      <c r="D60" s="42" t="s">
        <v>131</v>
      </c>
      <c r="E60" s="45" t="s">
        <v>162</v>
      </c>
      <c r="F60" s="6"/>
      <c r="G60" s="6"/>
      <c r="H60" s="6"/>
      <c r="I60" s="6"/>
      <c r="J60" s="6"/>
      <c r="K60" s="6"/>
    </row>
    <row r="61" spans="2:11">
      <c r="B61" s="6"/>
      <c r="C61" s="1" t="s">
        <v>132</v>
      </c>
      <c r="D61" s="42" t="s">
        <v>133</v>
      </c>
      <c r="E61" s="43">
        <v>70</v>
      </c>
      <c r="F61" s="6"/>
      <c r="G61" s="6"/>
      <c r="H61" s="6"/>
      <c r="I61" s="6"/>
      <c r="J61" s="6"/>
      <c r="K61" s="6"/>
    </row>
    <row r="62" spans="2:11">
      <c r="B62" s="6"/>
      <c r="C62" s="1" t="s">
        <v>134</v>
      </c>
      <c r="D62" s="42" t="s">
        <v>135</v>
      </c>
      <c r="E62" s="45" t="s">
        <v>163</v>
      </c>
      <c r="F62" s="6"/>
      <c r="G62" s="6"/>
      <c r="H62" s="6"/>
      <c r="I62" s="6"/>
      <c r="J62" s="6"/>
      <c r="K62" s="6"/>
    </row>
    <row r="63" spans="2:11">
      <c r="B63" s="6"/>
      <c r="C63" s="1" t="s">
        <v>136</v>
      </c>
      <c r="D63" s="42" t="s">
        <v>137</v>
      </c>
      <c r="E63" s="43">
        <v>75</v>
      </c>
      <c r="F63" s="6"/>
      <c r="G63" s="6"/>
      <c r="H63" s="6"/>
      <c r="I63" s="6"/>
      <c r="J63" s="6"/>
      <c r="K63" s="6"/>
    </row>
    <row r="64" spans="2:11">
      <c r="B64" s="6"/>
      <c r="C64" s="1" t="s">
        <v>138</v>
      </c>
      <c r="D64" s="42" t="s">
        <v>139</v>
      </c>
      <c r="E64" s="43">
        <v>80</v>
      </c>
      <c r="F64" s="6"/>
      <c r="G64" s="6"/>
      <c r="H64" s="6"/>
      <c r="I64" s="6"/>
      <c r="J64" s="6"/>
      <c r="K64" s="6"/>
    </row>
    <row r="65" spans="1:11">
      <c r="B65" s="6"/>
      <c r="C65" s="1" t="s">
        <v>140</v>
      </c>
      <c r="D65" s="42" t="s">
        <v>141</v>
      </c>
      <c r="E65" s="43">
        <v>85</v>
      </c>
      <c r="F65" s="6"/>
      <c r="G65" s="6"/>
      <c r="H65" s="6"/>
      <c r="I65" s="6"/>
      <c r="J65" s="6"/>
      <c r="K65" s="6"/>
    </row>
    <row r="66" spans="1:11">
      <c r="B66" s="6"/>
      <c r="C66" s="1" t="s">
        <v>142</v>
      </c>
      <c r="D66" s="42" t="s">
        <v>143</v>
      </c>
      <c r="E66" s="45" t="s">
        <v>164</v>
      </c>
      <c r="F66" s="6"/>
      <c r="G66" s="6"/>
      <c r="H66" s="6"/>
      <c r="I66" s="6"/>
      <c r="J66" s="6"/>
      <c r="K66" s="6"/>
    </row>
    <row r="67" spans="1:11">
      <c r="B67" s="6"/>
      <c r="C67" s="1" t="s">
        <v>144</v>
      </c>
      <c r="D67" s="42" t="s">
        <v>145</v>
      </c>
      <c r="E67" s="43">
        <v>95</v>
      </c>
      <c r="F67" s="6"/>
      <c r="G67" s="6"/>
      <c r="H67" s="6"/>
      <c r="I67" s="6"/>
      <c r="J67" s="6"/>
      <c r="K67" s="6"/>
    </row>
    <row r="68" spans="1:11">
      <c r="B68" s="6"/>
      <c r="D68" s="42" t="s">
        <v>147</v>
      </c>
      <c r="E68" s="43">
        <v>99</v>
      </c>
      <c r="F68" s="6"/>
      <c r="G68" s="6"/>
      <c r="H68" s="6"/>
      <c r="I68" s="6"/>
      <c r="J68" s="6"/>
      <c r="K68" s="6"/>
    </row>
    <row r="69" spans="1:11">
      <c r="B69" s="6"/>
      <c r="C69" s="1" t="s">
        <v>146</v>
      </c>
      <c r="D69" s="42" t="s">
        <v>150</v>
      </c>
      <c r="E69" s="46" t="s">
        <v>165</v>
      </c>
      <c r="F69" s="6"/>
      <c r="G69" s="6"/>
      <c r="H69" s="6"/>
      <c r="I69" s="6"/>
      <c r="J69" s="6"/>
      <c r="K69" s="6"/>
    </row>
    <row r="70" spans="1:11">
      <c r="C70" s="42" t="s">
        <v>149</v>
      </c>
      <c r="D70" s="2"/>
      <c r="E70" s="47"/>
    </row>
    <row r="71" spans="1:11">
      <c r="D71" s="2"/>
      <c r="E71" s="8"/>
    </row>
    <row r="73" spans="1:11">
      <c r="C73" s="48" t="s">
        <v>268</v>
      </c>
    </row>
    <row r="74" spans="1:11">
      <c r="A74" s="7">
        <v>1</v>
      </c>
      <c r="B74" s="6" t="s">
        <v>193</v>
      </c>
      <c r="C74" s="633" t="s">
        <v>197</v>
      </c>
    </row>
    <row r="75" spans="1:11">
      <c r="A75" s="7">
        <v>2</v>
      </c>
      <c r="B75" s="10"/>
      <c r="C75" s="1" t="s">
        <v>198</v>
      </c>
    </row>
    <row r="76" spans="1:11">
      <c r="A76" s="7">
        <v>3</v>
      </c>
      <c r="B76" s="10"/>
      <c r="C76" s="633" t="s">
        <v>199</v>
      </c>
    </row>
    <row r="77" spans="1:11">
      <c r="A77" s="7">
        <v>4</v>
      </c>
      <c r="B77" s="10"/>
      <c r="C77" s="633" t="s">
        <v>200</v>
      </c>
    </row>
    <row r="78" spans="1:11">
      <c r="A78" s="7">
        <v>5</v>
      </c>
      <c r="B78" s="10"/>
      <c r="C78" s="1" t="s">
        <v>201</v>
      </c>
    </row>
    <row r="79" spans="1:11">
      <c r="A79" s="7">
        <v>6</v>
      </c>
      <c r="B79" s="10"/>
      <c r="C79" s="1" t="s">
        <v>202</v>
      </c>
    </row>
    <row r="80" spans="1:11">
      <c r="A80" s="7">
        <v>7</v>
      </c>
      <c r="B80" s="10"/>
      <c r="C80" s="1" t="s">
        <v>203</v>
      </c>
    </row>
    <row r="81" spans="1:3">
      <c r="A81" s="7">
        <v>8</v>
      </c>
      <c r="B81" s="10"/>
      <c r="C81" s="1" t="s">
        <v>204</v>
      </c>
    </row>
    <row r="82" spans="1:3">
      <c r="A82" s="7">
        <v>9</v>
      </c>
      <c r="B82" s="10"/>
      <c r="C82" s="1" t="s">
        <v>205</v>
      </c>
    </row>
    <row r="83" spans="1:3">
      <c r="A83" s="7">
        <v>10</v>
      </c>
      <c r="B83" s="10"/>
      <c r="C83" s="1" t="s">
        <v>206</v>
      </c>
    </row>
    <row r="84" spans="1:3">
      <c r="A84" s="7">
        <v>11</v>
      </c>
      <c r="B84" s="10"/>
      <c r="C84" s="1" t="s">
        <v>207</v>
      </c>
    </row>
    <row r="85" spans="1:3">
      <c r="A85" s="7">
        <v>12</v>
      </c>
      <c r="B85" s="6" t="s">
        <v>194</v>
      </c>
      <c r="C85" s="1" t="s">
        <v>208</v>
      </c>
    </row>
    <row r="86" spans="1:3">
      <c r="A86" s="7">
        <v>13</v>
      </c>
      <c r="B86" s="10"/>
      <c r="C86" s="1" t="s">
        <v>209</v>
      </c>
    </row>
    <row r="87" spans="1:3">
      <c r="A87" s="7">
        <v>14</v>
      </c>
      <c r="B87" s="10"/>
      <c r="C87" s="1" t="s">
        <v>210</v>
      </c>
    </row>
    <row r="88" spans="1:3">
      <c r="A88" s="7">
        <v>15</v>
      </c>
      <c r="B88" s="10"/>
      <c r="C88" s="1" t="s">
        <v>211</v>
      </c>
    </row>
    <row r="89" spans="1:3">
      <c r="A89" s="7">
        <v>16</v>
      </c>
      <c r="B89" s="10"/>
      <c r="C89" s="1" t="s">
        <v>212</v>
      </c>
    </row>
    <row r="90" spans="1:3">
      <c r="A90" s="7">
        <v>17</v>
      </c>
      <c r="B90" s="10"/>
      <c r="C90" s="1" t="s">
        <v>213</v>
      </c>
    </row>
    <row r="91" spans="1:3">
      <c r="A91" s="7">
        <v>18</v>
      </c>
      <c r="B91" s="6" t="s">
        <v>195</v>
      </c>
      <c r="C91" s="1" t="s">
        <v>214</v>
      </c>
    </row>
    <row r="92" spans="1:3">
      <c r="A92" s="7">
        <v>19</v>
      </c>
      <c r="B92" s="10"/>
      <c r="C92" s="1" t="s">
        <v>215</v>
      </c>
    </row>
    <row r="93" spans="1:3">
      <c r="A93" s="7">
        <v>20</v>
      </c>
      <c r="B93" s="6" t="s">
        <v>196</v>
      </c>
      <c r="C93" s="1" t="s">
        <v>216</v>
      </c>
    </row>
    <row r="94" spans="1:3">
      <c r="A94" s="7">
        <v>21</v>
      </c>
      <c r="B94" s="10"/>
      <c r="C94" s="1" t="s">
        <v>217</v>
      </c>
    </row>
    <row r="95" spans="1:3">
      <c r="A95" s="7">
        <v>22</v>
      </c>
      <c r="B95" s="6" t="s">
        <v>225</v>
      </c>
      <c r="C95" s="1" t="s">
        <v>218</v>
      </c>
    </row>
    <row r="96" spans="1:3">
      <c r="A96" s="7">
        <v>23</v>
      </c>
      <c r="B96" s="6"/>
      <c r="C96" s="1" t="s">
        <v>219</v>
      </c>
    </row>
    <row r="97" spans="1:3">
      <c r="A97" s="7">
        <v>24</v>
      </c>
      <c r="B97" s="6"/>
      <c r="C97" s="1" t="s">
        <v>171</v>
      </c>
    </row>
    <row r="98" spans="1:3">
      <c r="A98" s="7">
        <v>25</v>
      </c>
      <c r="B98" s="6"/>
      <c r="C98" s="1" t="s">
        <v>11</v>
      </c>
    </row>
    <row r="99" spans="1:3">
      <c r="A99" s="7">
        <v>26</v>
      </c>
      <c r="B99" s="6"/>
      <c r="C99" s="1" t="s">
        <v>220</v>
      </c>
    </row>
    <row r="100" spans="1:3">
      <c r="A100" s="7">
        <v>27</v>
      </c>
      <c r="B100" s="6"/>
      <c r="C100" s="1" t="s">
        <v>365</v>
      </c>
    </row>
    <row r="101" spans="1:3">
      <c r="A101" s="7">
        <v>28</v>
      </c>
      <c r="B101" s="1"/>
      <c r="C101" s="1" t="s">
        <v>366</v>
      </c>
    </row>
    <row r="102" spans="1:3">
      <c r="A102" s="7">
        <v>29</v>
      </c>
      <c r="B102" s="1"/>
      <c r="C102" s="1" t="s">
        <v>187</v>
      </c>
    </row>
    <row r="103" spans="1:3">
      <c r="A103" s="7">
        <v>30</v>
      </c>
      <c r="B103" s="1"/>
      <c r="C103" s="1" t="s">
        <v>222</v>
      </c>
    </row>
    <row r="104" spans="1:3">
      <c r="A104" s="7">
        <v>31</v>
      </c>
      <c r="B104" s="1"/>
      <c r="C104" s="1" t="s">
        <v>224</v>
      </c>
    </row>
    <row r="105" spans="1:3">
      <c r="A105" s="7">
        <v>32</v>
      </c>
      <c r="B105" s="1"/>
      <c r="C105" s="1" t="s">
        <v>223</v>
      </c>
    </row>
    <row r="106" spans="1:3">
      <c r="A106" s="7">
        <v>33</v>
      </c>
      <c r="B106" s="1"/>
      <c r="C106" s="1" t="s">
        <v>221</v>
      </c>
    </row>
    <row r="107" spans="1:3">
      <c r="B107" s="1"/>
      <c r="C107" s="6"/>
    </row>
    <row r="108" spans="1:3">
      <c r="B108" s="1"/>
    </row>
    <row r="109" spans="1:3">
      <c r="B109" s="1"/>
    </row>
    <row r="110" spans="1:3">
      <c r="B110" s="1"/>
    </row>
    <row r="111" spans="1:3">
      <c r="B111" s="1"/>
    </row>
    <row r="113" spans="2:3">
      <c r="B113" s="6" t="s">
        <v>269</v>
      </c>
      <c r="C113" s="1" t="s">
        <v>241</v>
      </c>
    </row>
    <row r="114" spans="2:3">
      <c r="B114" s="6"/>
      <c r="C114" s="1" t="s">
        <v>212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44"/>
  <sheetViews>
    <sheetView workbookViewId="0">
      <selection activeCell="F28" sqref="F28"/>
    </sheetView>
  </sheetViews>
  <sheetFormatPr baseColWidth="10" defaultColWidth="11" defaultRowHeight="15"/>
  <cols>
    <col min="1" max="3" width="11" style="152"/>
    <col min="4" max="4" width="14.875" style="152" customWidth="1"/>
    <col min="5" max="5" width="19.875" style="152" bestFit="1" customWidth="1"/>
    <col min="6" max="16384" width="11" style="152"/>
  </cols>
  <sheetData>
    <row r="1" spans="1:12" ht="16.5" thickBot="1">
      <c r="A1" s="151" t="s">
        <v>423</v>
      </c>
      <c r="J1" s="151" t="s">
        <v>424</v>
      </c>
    </row>
    <row r="2" spans="1:12" ht="15.75" thickBot="1">
      <c r="A2" s="153" t="s">
        <v>425</v>
      </c>
      <c r="B2" s="154" t="s">
        <v>426</v>
      </c>
      <c r="C2" s="154" t="s">
        <v>427</v>
      </c>
      <c r="D2" s="154" t="s">
        <v>428</v>
      </c>
      <c r="E2" s="154" t="s">
        <v>429</v>
      </c>
      <c r="F2" s="155" t="s">
        <v>430</v>
      </c>
      <c r="G2" s="156" t="s">
        <v>431</v>
      </c>
      <c r="H2" s="156" t="s">
        <v>432</v>
      </c>
      <c r="J2" s="157" t="s">
        <v>433</v>
      </c>
      <c r="K2" s="158" t="s">
        <v>434</v>
      </c>
      <c r="L2" s="158" t="s">
        <v>435</v>
      </c>
    </row>
    <row r="3" spans="1:12">
      <c r="A3" s="159" t="s">
        <v>436</v>
      </c>
      <c r="B3" s="160">
        <v>1</v>
      </c>
      <c r="C3" s="161" t="s">
        <v>437</v>
      </c>
      <c r="D3" s="160" t="s">
        <v>438</v>
      </c>
      <c r="E3" s="160" t="s">
        <v>439</v>
      </c>
      <c r="F3" s="162" t="s">
        <v>440</v>
      </c>
      <c r="G3" s="163"/>
      <c r="H3" s="163"/>
      <c r="J3" s="164" t="s">
        <v>441</v>
      </c>
      <c r="K3" s="165">
        <v>0.4047</v>
      </c>
      <c r="L3" s="166" t="s">
        <v>442</v>
      </c>
    </row>
    <row r="4" spans="1:12">
      <c r="A4" s="159" t="s">
        <v>443</v>
      </c>
      <c r="B4" s="167">
        <v>3600000</v>
      </c>
      <c r="C4" s="160">
        <v>1</v>
      </c>
      <c r="D4" s="167">
        <v>3413</v>
      </c>
      <c r="E4" s="160">
        <v>860</v>
      </c>
      <c r="F4" s="162" t="s">
        <v>444</v>
      </c>
      <c r="G4" s="163"/>
      <c r="H4" s="163"/>
      <c r="J4" s="164" t="s">
        <v>445</v>
      </c>
      <c r="K4" s="168">
        <v>8760</v>
      </c>
      <c r="L4" s="166" t="s">
        <v>446</v>
      </c>
    </row>
    <row r="5" spans="1:12">
      <c r="A5" s="159" t="s">
        <v>447</v>
      </c>
      <c r="B5" s="169">
        <v>1054.79</v>
      </c>
      <c r="C5" s="160" t="s">
        <v>448</v>
      </c>
      <c r="D5" s="160">
        <v>1</v>
      </c>
      <c r="E5" s="160">
        <v>0.252</v>
      </c>
      <c r="F5" s="162" t="s">
        <v>449</v>
      </c>
      <c r="G5" s="163"/>
      <c r="H5" s="163"/>
      <c r="J5" s="164" t="s">
        <v>450</v>
      </c>
      <c r="K5" s="165">
        <v>1.0333000000000001</v>
      </c>
      <c r="L5" s="166" t="s">
        <v>451</v>
      </c>
    </row>
    <row r="6" spans="1:12">
      <c r="A6" s="159" t="s">
        <v>452</v>
      </c>
      <c r="B6" s="169">
        <v>4186.05</v>
      </c>
      <c r="C6" s="160" t="s">
        <v>453</v>
      </c>
      <c r="D6" s="160">
        <v>3.9685999999999999</v>
      </c>
      <c r="E6" s="160">
        <v>1</v>
      </c>
      <c r="F6" s="162" t="s">
        <v>454</v>
      </c>
      <c r="G6" s="163"/>
      <c r="H6" s="163"/>
      <c r="J6" s="164" t="s">
        <v>450</v>
      </c>
      <c r="K6" s="165">
        <v>14.7</v>
      </c>
      <c r="L6" s="166" t="s">
        <v>455</v>
      </c>
    </row>
    <row r="7" spans="1:12" ht="15.75" thickBot="1">
      <c r="A7" s="170" t="s">
        <v>456</v>
      </c>
      <c r="B7" s="171" t="s">
        <v>457</v>
      </c>
      <c r="C7" s="172">
        <v>24000</v>
      </c>
      <c r="D7" s="171" t="s">
        <v>458</v>
      </c>
      <c r="E7" s="171" t="s">
        <v>459</v>
      </c>
      <c r="F7" s="173">
        <v>1</v>
      </c>
      <c r="G7" s="163"/>
      <c r="H7" s="163"/>
      <c r="J7" s="164" t="s">
        <v>460</v>
      </c>
      <c r="K7" s="165">
        <v>0.9869</v>
      </c>
      <c r="L7" s="166" t="s">
        <v>450</v>
      </c>
    </row>
    <row r="8" spans="1:12">
      <c r="A8" s="159" t="s">
        <v>461</v>
      </c>
      <c r="B8" s="174"/>
      <c r="C8" s="174"/>
      <c r="D8" s="174"/>
      <c r="E8" s="174"/>
      <c r="F8" s="174"/>
      <c r="G8" s="174">
        <v>0.27777777780000001</v>
      </c>
      <c r="H8" s="174">
        <v>948451.38280892</v>
      </c>
      <c r="J8" s="164" t="s">
        <v>460</v>
      </c>
      <c r="K8" s="165">
        <v>14.5</v>
      </c>
      <c r="L8" s="166" t="s">
        <v>455</v>
      </c>
    </row>
    <row r="9" spans="1:12">
      <c r="J9" s="164" t="s">
        <v>460</v>
      </c>
      <c r="K9" s="165">
        <v>1.0197000000000001</v>
      </c>
      <c r="L9" s="166" t="s">
        <v>451</v>
      </c>
    </row>
    <row r="10" spans="1:12">
      <c r="A10" s="174"/>
      <c r="B10" s="174" t="s">
        <v>462</v>
      </c>
      <c r="D10" s="152" t="s">
        <v>517</v>
      </c>
      <c r="E10" s="181" t="s">
        <v>518</v>
      </c>
      <c r="F10" s="152" t="s">
        <v>519</v>
      </c>
      <c r="J10" s="164" t="s">
        <v>463</v>
      </c>
      <c r="K10" s="165">
        <v>42</v>
      </c>
      <c r="L10" s="166" t="s">
        <v>464</v>
      </c>
    </row>
    <row r="11" spans="1:12">
      <c r="A11" s="175" t="s">
        <v>465</v>
      </c>
      <c r="B11" s="181">
        <v>1000</v>
      </c>
      <c r="D11" s="152" t="s">
        <v>524</v>
      </c>
      <c r="E11" s="181">
        <v>1000000</v>
      </c>
      <c r="F11" s="152" t="s">
        <v>519</v>
      </c>
      <c r="J11" s="164" t="s">
        <v>463</v>
      </c>
      <c r="K11" s="165">
        <v>158.98699999999999</v>
      </c>
      <c r="L11" s="166" t="s">
        <v>466</v>
      </c>
    </row>
    <row r="12" spans="1:12">
      <c r="A12" s="175" t="s">
        <v>467</v>
      </c>
      <c r="B12" s="181">
        <v>1000000</v>
      </c>
      <c r="D12" s="152" t="s">
        <v>520</v>
      </c>
      <c r="E12" s="181">
        <v>1000000000</v>
      </c>
      <c r="F12" s="152" t="s">
        <v>519</v>
      </c>
      <c r="J12" s="164" t="s">
        <v>463</v>
      </c>
      <c r="K12" s="165">
        <v>0.15898699999999999</v>
      </c>
      <c r="L12" s="166" t="s">
        <v>468</v>
      </c>
    </row>
    <row r="13" spans="1:12">
      <c r="A13" s="175" t="s">
        <v>469</v>
      </c>
      <c r="B13" s="181">
        <v>1000000000</v>
      </c>
      <c r="D13" s="152" t="s">
        <v>523</v>
      </c>
      <c r="E13" s="181">
        <v>1000000000000</v>
      </c>
      <c r="F13" s="152" t="s">
        <v>519</v>
      </c>
      <c r="J13" s="164" t="s">
        <v>470</v>
      </c>
      <c r="K13" s="165">
        <v>0.21390000000000001</v>
      </c>
      <c r="L13" s="166" t="s">
        <v>471</v>
      </c>
    </row>
    <row r="14" spans="1:12">
      <c r="D14" s="152" t="s">
        <v>521</v>
      </c>
      <c r="E14" s="181">
        <v>1000000000000000</v>
      </c>
      <c r="F14" s="152" t="s">
        <v>519</v>
      </c>
      <c r="J14" s="164" t="s">
        <v>472</v>
      </c>
      <c r="K14" s="165">
        <v>0.33789999999999998</v>
      </c>
      <c r="L14" s="166" t="s">
        <v>473</v>
      </c>
    </row>
    <row r="15" spans="1:12">
      <c r="D15" s="152" t="s">
        <v>522</v>
      </c>
      <c r="E15" s="181">
        <v>1E+18</v>
      </c>
      <c r="F15" s="152" t="s">
        <v>519</v>
      </c>
      <c r="J15" s="164" t="s">
        <v>472</v>
      </c>
      <c r="K15" s="165">
        <v>1.4148000000000001</v>
      </c>
      <c r="L15" s="166" t="s">
        <v>474</v>
      </c>
    </row>
    <row r="16" spans="1:12">
      <c r="A16" s="152">
        <v>2013</v>
      </c>
      <c r="B16" s="152" t="s">
        <v>475</v>
      </c>
      <c r="J16" s="164" t="s">
        <v>476</v>
      </c>
      <c r="K16" s="165">
        <v>0.25197999999999998</v>
      </c>
      <c r="L16" s="166" t="s">
        <v>473</v>
      </c>
    </row>
    <row r="17" spans="1:12">
      <c r="A17" s="175" t="s">
        <v>477</v>
      </c>
      <c r="B17" s="152">
        <v>13</v>
      </c>
      <c r="J17" s="164" t="s">
        <v>476</v>
      </c>
      <c r="K17" s="165">
        <v>1.0548</v>
      </c>
      <c r="L17" s="166" t="s">
        <v>474</v>
      </c>
    </row>
    <row r="18" spans="1:12">
      <c r="J18" s="164" t="s">
        <v>478</v>
      </c>
      <c r="K18" s="165">
        <v>0.55549999999999999</v>
      </c>
      <c r="L18" s="166" t="s">
        <v>479</v>
      </c>
    </row>
    <row r="19" spans="1:12">
      <c r="J19" s="164" t="s">
        <v>478</v>
      </c>
      <c r="K19" s="165">
        <v>2.3256000000000001</v>
      </c>
      <c r="L19" s="166" t="s">
        <v>480</v>
      </c>
    </row>
    <row r="20" spans="1:12" ht="25.5">
      <c r="A20" s="301" t="s">
        <v>512</v>
      </c>
      <c r="J20" s="164" t="s">
        <v>481</v>
      </c>
      <c r="K20" s="165" t="s">
        <v>482</v>
      </c>
      <c r="L20" s="166" t="s">
        <v>483</v>
      </c>
    </row>
    <row r="21" spans="1:12">
      <c r="J21" s="164" t="s">
        <v>481</v>
      </c>
      <c r="K21" s="165" t="s">
        <v>484</v>
      </c>
      <c r="L21" s="166" t="s">
        <v>485</v>
      </c>
    </row>
    <row r="22" spans="1:12">
      <c r="A22" s="152" t="s">
        <v>513</v>
      </c>
      <c r="B22" s="152" t="s">
        <v>514</v>
      </c>
      <c r="C22" s="152" t="s">
        <v>515</v>
      </c>
      <c r="D22" s="152" t="s">
        <v>516</v>
      </c>
      <c r="J22" s="164" t="s">
        <v>486</v>
      </c>
      <c r="K22" s="165">
        <v>3.785412</v>
      </c>
      <c r="L22" s="166" t="s">
        <v>466</v>
      </c>
    </row>
    <row r="23" spans="1:12">
      <c r="A23" s="152">
        <v>1</v>
      </c>
      <c r="B23" s="152">
        <v>37.938591099999996</v>
      </c>
      <c r="C23" s="152">
        <v>35958.846100000002</v>
      </c>
      <c r="D23" s="152">
        <v>6.2898099999999998E-3</v>
      </c>
      <c r="J23" s="164" t="s">
        <v>487</v>
      </c>
      <c r="K23" s="165">
        <v>0.74570000000000003</v>
      </c>
      <c r="L23" s="166" t="s">
        <v>488</v>
      </c>
    </row>
    <row r="24" spans="1:12" ht="25.5">
      <c r="J24" s="164" t="s">
        <v>489</v>
      </c>
      <c r="K24" s="165" t="s">
        <v>490</v>
      </c>
      <c r="L24" s="166" t="s">
        <v>451</v>
      </c>
    </row>
    <row r="25" spans="1:12" ht="25.5">
      <c r="J25" s="176" t="s">
        <v>491</v>
      </c>
      <c r="K25" s="165" t="s">
        <v>492</v>
      </c>
      <c r="L25" s="166" t="s">
        <v>451</v>
      </c>
    </row>
    <row r="26" spans="1:12" ht="25.5">
      <c r="J26" s="176" t="s">
        <v>491</v>
      </c>
      <c r="K26" s="165" t="s">
        <v>493</v>
      </c>
      <c r="L26" s="166" t="s">
        <v>455</v>
      </c>
    </row>
    <row r="27" spans="1:12">
      <c r="J27" s="164" t="s">
        <v>494</v>
      </c>
      <c r="K27" s="165">
        <v>2.2046000000000001</v>
      </c>
      <c r="L27" s="166" t="s">
        <v>495</v>
      </c>
    </row>
    <row r="28" spans="1:12" ht="25.5">
      <c r="J28" s="164" t="s">
        <v>494</v>
      </c>
      <c r="K28" s="165" t="s">
        <v>496</v>
      </c>
      <c r="L28" s="166" t="s">
        <v>497</v>
      </c>
    </row>
    <row r="29" spans="1:12" ht="25.5">
      <c r="J29" s="164" t="s">
        <v>494</v>
      </c>
      <c r="K29" s="165" t="s">
        <v>498</v>
      </c>
      <c r="L29" s="166" t="s">
        <v>499</v>
      </c>
    </row>
    <row r="30" spans="1:12">
      <c r="J30" s="164" t="s">
        <v>500</v>
      </c>
      <c r="K30" s="165">
        <v>0.45358999999999999</v>
      </c>
      <c r="L30" s="166" t="s">
        <v>501</v>
      </c>
    </row>
    <row r="31" spans="1:12">
      <c r="J31" s="164" t="s">
        <v>466</v>
      </c>
      <c r="K31" s="165">
        <v>0.26419999999999999</v>
      </c>
      <c r="L31" s="166" t="s">
        <v>464</v>
      </c>
    </row>
    <row r="32" spans="1:12">
      <c r="J32" s="164" t="s">
        <v>466</v>
      </c>
      <c r="K32" s="165">
        <v>3.5310000000000001E-2</v>
      </c>
      <c r="L32" s="166" t="s">
        <v>502</v>
      </c>
    </row>
    <row r="33" spans="10:12">
      <c r="J33" s="164" t="s">
        <v>503</v>
      </c>
      <c r="K33" s="168">
        <v>1000</v>
      </c>
      <c r="L33" s="166" t="s">
        <v>466</v>
      </c>
    </row>
    <row r="34" spans="10:12">
      <c r="J34" s="164" t="s">
        <v>502</v>
      </c>
      <c r="K34" s="165">
        <v>2.8316999999999998E-2</v>
      </c>
      <c r="L34" s="166" t="s">
        <v>468</v>
      </c>
    </row>
    <row r="35" spans="10:12" ht="25.5">
      <c r="J35" s="164" t="s">
        <v>504</v>
      </c>
      <c r="K35" s="165">
        <v>907.18499999999995</v>
      </c>
      <c r="L35" s="166" t="s">
        <v>501</v>
      </c>
    </row>
    <row r="36" spans="10:12" ht="25.5">
      <c r="J36" s="164" t="s">
        <v>505</v>
      </c>
      <c r="K36" s="177">
        <v>1016.06</v>
      </c>
      <c r="L36" s="166" t="s">
        <v>501</v>
      </c>
    </row>
    <row r="37" spans="10:12" ht="38.25">
      <c r="J37" s="164" t="s">
        <v>506</v>
      </c>
      <c r="K37" s="165">
        <v>8.1410000000000007E-3</v>
      </c>
      <c r="L37" s="166" t="s">
        <v>507</v>
      </c>
    </row>
    <row r="38" spans="10:12" ht="25.5">
      <c r="J38" s="164" t="s">
        <v>508</v>
      </c>
      <c r="K38" s="165">
        <v>1.163E-2</v>
      </c>
      <c r="L38" s="166" t="s">
        <v>507</v>
      </c>
    </row>
    <row r="39" spans="10:12">
      <c r="J39" s="164" t="s">
        <v>426</v>
      </c>
      <c r="K39" s="165" t="s">
        <v>509</v>
      </c>
      <c r="L39" s="166" t="s">
        <v>427</v>
      </c>
    </row>
    <row r="40" spans="10:12">
      <c r="J40" s="164" t="s">
        <v>426</v>
      </c>
      <c r="K40" s="165" t="s">
        <v>510</v>
      </c>
      <c r="L40" s="166" t="s">
        <v>428</v>
      </c>
    </row>
    <row r="41" spans="10:12">
      <c r="J41" s="164" t="s">
        <v>426</v>
      </c>
      <c r="K41" s="165" t="s">
        <v>511</v>
      </c>
      <c r="L41" s="166" t="s">
        <v>429</v>
      </c>
    </row>
    <row r="42" spans="10:12">
      <c r="J42" s="164" t="s">
        <v>427</v>
      </c>
      <c r="K42" s="165">
        <v>3413</v>
      </c>
      <c r="L42" s="166" t="s">
        <v>428</v>
      </c>
    </row>
    <row r="43" spans="10:12">
      <c r="J43" s="164" t="s">
        <v>427</v>
      </c>
      <c r="K43" s="165">
        <v>860</v>
      </c>
      <c r="L43" s="166" t="s">
        <v>429</v>
      </c>
    </row>
    <row r="44" spans="10:12" ht="15.75" thickBot="1">
      <c r="J44" s="178" t="s">
        <v>428</v>
      </c>
      <c r="K44" s="179">
        <v>0.252</v>
      </c>
      <c r="L44" s="180" t="s">
        <v>429</v>
      </c>
    </row>
  </sheetData>
  <hyperlinks>
    <hyperlink ref="A2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M69"/>
  <sheetViews>
    <sheetView zoomScaleNormal="100" workbookViewId="0">
      <selection activeCell="Q80" sqref="Q80"/>
    </sheetView>
  </sheetViews>
  <sheetFormatPr baseColWidth="10" defaultColWidth="9.5" defaultRowHeight="12.75"/>
  <cols>
    <col min="1" max="1" width="40.625" style="476" customWidth="1"/>
    <col min="2" max="256" width="7.625" style="476" customWidth="1"/>
    <col min="257" max="16384" width="9.5" style="476"/>
  </cols>
  <sheetData>
    <row r="1" spans="1:12">
      <c r="A1" s="475" t="s">
        <v>595</v>
      </c>
    </row>
    <row r="2" spans="1:12">
      <c r="A2" s="475" t="s">
        <v>596</v>
      </c>
    </row>
    <row r="3" spans="1:12">
      <c r="A3" s="475" t="s">
        <v>597</v>
      </c>
    </row>
    <row r="4" spans="1:12">
      <c r="A4" s="475" t="s">
        <v>861</v>
      </c>
    </row>
    <row r="5" spans="1:12">
      <c r="A5" s="476" t="s">
        <v>862</v>
      </c>
    </row>
    <row r="7" spans="1:12">
      <c r="B7" s="475" t="s">
        <v>600</v>
      </c>
      <c r="C7" s="475" t="s">
        <v>863</v>
      </c>
      <c r="D7" s="475" t="s">
        <v>863</v>
      </c>
      <c r="E7" s="475" t="s">
        <v>863</v>
      </c>
      <c r="F7" s="475" t="s">
        <v>863</v>
      </c>
      <c r="G7" s="475" t="s">
        <v>863</v>
      </c>
      <c r="H7" s="475" t="s">
        <v>863</v>
      </c>
      <c r="I7" s="475" t="s">
        <v>863</v>
      </c>
      <c r="J7" s="475" t="s">
        <v>863</v>
      </c>
    </row>
    <row r="8" spans="1:12">
      <c r="B8" s="475" t="s">
        <v>864</v>
      </c>
      <c r="C8" s="475" t="s">
        <v>865</v>
      </c>
      <c r="D8" s="475" t="s">
        <v>866</v>
      </c>
      <c r="E8" s="475" t="s">
        <v>867</v>
      </c>
      <c r="F8" s="475" t="s">
        <v>868</v>
      </c>
      <c r="G8" s="475" t="s">
        <v>869</v>
      </c>
      <c r="H8" s="475" t="s">
        <v>870</v>
      </c>
      <c r="I8" s="475" t="s">
        <v>871</v>
      </c>
      <c r="J8" s="475" t="s">
        <v>872</v>
      </c>
    </row>
    <row r="9" spans="1:12">
      <c r="A9" s="476" t="s">
        <v>863</v>
      </c>
    </row>
    <row r="10" spans="1:12">
      <c r="A10" s="475" t="s">
        <v>873</v>
      </c>
      <c r="B10" s="477">
        <v>269.29972243766201</v>
      </c>
      <c r="C10" s="477">
        <v>267.75388910309198</v>
      </c>
      <c r="D10" s="477">
        <v>275.56750022045395</v>
      </c>
      <c r="E10" s="477">
        <v>292.14305578926997</v>
      </c>
      <c r="F10" s="477">
        <v>296.39583357045001</v>
      </c>
      <c r="G10" s="477">
        <v>297.11805579324999</v>
      </c>
      <c r="H10" s="477">
        <v>303.31583357598595</v>
      </c>
      <c r="I10" s="477">
        <v>310.349722470502</v>
      </c>
      <c r="J10" s="477">
        <v>320.34472247849794</v>
      </c>
      <c r="K10" s="478">
        <f>SUM(J11:J14)</f>
        <v>320.34472247849794</v>
      </c>
      <c r="L10" s="476" t="s">
        <v>874</v>
      </c>
    </row>
    <row r="11" spans="1:12">
      <c r="A11" s="476" t="s">
        <v>875</v>
      </c>
      <c r="B11" s="478">
        <v>159.86500012789199</v>
      </c>
      <c r="C11" s="478">
        <v>156.97500012557998</v>
      </c>
      <c r="D11" s="478">
        <v>162.80750013024598</v>
      </c>
      <c r="E11" s="478">
        <v>174.21166680603599</v>
      </c>
      <c r="F11" s="478">
        <v>179.02166680988398</v>
      </c>
      <c r="G11" s="478">
        <v>172.76722236043599</v>
      </c>
      <c r="H11" s="478">
        <v>172.54138902692199</v>
      </c>
      <c r="I11" s="478">
        <v>171.98416680425399</v>
      </c>
      <c r="J11" s="478">
        <v>174.71805569532998</v>
      </c>
    </row>
    <row r="12" spans="1:12">
      <c r="A12" s="476" t="s">
        <v>876</v>
      </c>
      <c r="B12" s="478">
        <v>76.00694450524999</v>
      </c>
      <c r="C12" s="478">
        <v>78.131111173615992</v>
      </c>
      <c r="D12" s="478">
        <v>79.728888952671994</v>
      </c>
      <c r="E12" s="478">
        <v>85.195555623711996</v>
      </c>
      <c r="F12" s="478">
        <v>83.219444511019987</v>
      </c>
      <c r="G12" s="478">
        <v>85.845555624231991</v>
      </c>
      <c r="H12" s="478">
        <v>87.596388958965989</v>
      </c>
      <c r="I12" s="478">
        <v>90.491111183503989</v>
      </c>
      <c r="J12" s="478">
        <v>90.32944451670798</v>
      </c>
    </row>
    <row r="13" spans="1:12">
      <c r="A13" s="476" t="s">
        <v>877</v>
      </c>
      <c r="B13" s="478">
        <v>33.427777804519998</v>
      </c>
      <c r="C13" s="478">
        <v>32.647777803895998</v>
      </c>
      <c r="D13" s="478">
        <v>33.031111137536001</v>
      </c>
      <c r="E13" s="478">
        <v>32.735833359521997</v>
      </c>
      <c r="F13" s="478">
        <v>34.154722249545998</v>
      </c>
      <c r="G13" s="478">
        <v>38.505277808581994</v>
      </c>
      <c r="H13" s="478">
        <v>43.178055590097998</v>
      </c>
      <c r="I13" s="478">
        <v>47.874444482743996</v>
      </c>
      <c r="J13" s="478">
        <v>54.393333376847998</v>
      </c>
    </row>
    <row r="14" spans="1:12">
      <c r="A14" s="476" t="s">
        <v>878</v>
      </c>
      <c r="B14" s="478" t="s">
        <v>228</v>
      </c>
      <c r="C14" s="478" t="s">
        <v>228</v>
      </c>
      <c r="D14" s="478" t="s">
        <v>228</v>
      </c>
      <c r="E14" s="478" t="s">
        <v>228</v>
      </c>
      <c r="F14" s="478" t="s">
        <v>228</v>
      </c>
      <c r="G14" s="478" t="s">
        <v>228</v>
      </c>
      <c r="H14" s="478" t="s">
        <v>228</v>
      </c>
      <c r="I14" s="478" t="s">
        <v>228</v>
      </c>
      <c r="J14" s="478">
        <v>0.90388888961199987</v>
      </c>
    </row>
    <row r="15" spans="1:12">
      <c r="A15" s="476" t="s">
        <v>879</v>
      </c>
      <c r="B15" s="478">
        <v>0.39583333364999995</v>
      </c>
      <c r="C15" s="478">
        <v>0.38555555586399992</v>
      </c>
      <c r="D15" s="478">
        <v>0.43638888923799996</v>
      </c>
      <c r="E15" s="478">
        <v>0.65527777830199996</v>
      </c>
      <c r="F15" s="478">
        <v>2.342222224096</v>
      </c>
      <c r="G15" s="478">
        <v>1.650555556876</v>
      </c>
      <c r="H15" s="478">
        <v>2.5391666686979999</v>
      </c>
      <c r="I15" s="478">
        <v>2.4430555575099997</v>
      </c>
      <c r="J15" s="478">
        <v>3.4619444472139995</v>
      </c>
    </row>
    <row r="16" spans="1:12">
      <c r="A16" s="476" t="s">
        <v>851</v>
      </c>
      <c r="B16" s="478">
        <v>8.4011111178319986</v>
      </c>
      <c r="C16" s="478">
        <v>7.8391666729379992</v>
      </c>
      <c r="D16" s="478">
        <v>6.0611111159599993</v>
      </c>
      <c r="E16" s="478">
        <v>6.1813888938339998</v>
      </c>
      <c r="F16" s="478">
        <v>6.5816666719319992</v>
      </c>
      <c r="G16" s="478">
        <v>7.3555555614399992</v>
      </c>
      <c r="H16" s="478">
        <v>9.4036111186340001</v>
      </c>
      <c r="I16" s="478">
        <v>9.1602777851059987</v>
      </c>
      <c r="J16" s="478">
        <v>8.6122222291119996</v>
      </c>
    </row>
    <row r="17" spans="1:13">
      <c r="A17" s="476" t="s">
        <v>863</v>
      </c>
      <c r="B17" s="478"/>
      <c r="C17" s="478"/>
      <c r="D17" s="478"/>
      <c r="E17" s="478"/>
      <c r="F17" s="478"/>
      <c r="G17" s="478"/>
      <c r="H17" s="478"/>
      <c r="I17" s="478"/>
      <c r="J17" s="478"/>
    </row>
    <row r="18" spans="1:13">
      <c r="A18" s="475" t="s">
        <v>880</v>
      </c>
      <c r="B18" s="477">
        <v>261.29444465347996</v>
      </c>
      <c r="C18" s="477">
        <v>260.30027798601799</v>
      </c>
      <c r="D18" s="477">
        <v>269.94277799373197</v>
      </c>
      <c r="E18" s="477">
        <v>286.61694467373798</v>
      </c>
      <c r="F18" s="477">
        <v>292.15638912261403</v>
      </c>
      <c r="G18" s="477">
        <v>291.41305578868599</v>
      </c>
      <c r="H18" s="477">
        <v>296.45138912604995</v>
      </c>
      <c r="I18" s="477">
        <v>303.63250024290596</v>
      </c>
      <c r="J18" s="477">
        <v>315.19444469659999</v>
      </c>
      <c r="K18" s="478">
        <f>SUM(J11:J14)-J16+J15</f>
        <v>315.19444469659999</v>
      </c>
      <c r="L18" s="476" t="s">
        <v>881</v>
      </c>
    </row>
    <row r="19" spans="1:13">
      <c r="A19" s="476" t="s">
        <v>863</v>
      </c>
      <c r="B19" s="478"/>
      <c r="C19" s="478"/>
      <c r="D19" s="478"/>
      <c r="E19" s="478"/>
      <c r="F19" s="478"/>
      <c r="G19" s="478"/>
      <c r="H19" s="478"/>
      <c r="I19" s="478"/>
      <c r="J19" s="478"/>
    </row>
    <row r="20" spans="1:13">
      <c r="A20" s="475" t="s">
        <v>882</v>
      </c>
      <c r="B20" s="477" t="s">
        <v>228</v>
      </c>
      <c r="C20" s="477" t="s">
        <v>228</v>
      </c>
      <c r="D20" s="477" t="s">
        <v>228</v>
      </c>
      <c r="E20" s="477" t="s">
        <v>228</v>
      </c>
      <c r="F20" s="477" t="s">
        <v>228</v>
      </c>
      <c r="G20" s="477" t="s">
        <v>228</v>
      </c>
      <c r="H20" s="477" t="s">
        <v>228</v>
      </c>
      <c r="I20" s="477" t="s">
        <v>228</v>
      </c>
      <c r="J20" s="477" t="s">
        <v>228</v>
      </c>
    </row>
    <row r="21" spans="1:13">
      <c r="A21" s="476" t="s">
        <v>863</v>
      </c>
      <c r="B21" s="478"/>
      <c r="C21" s="478"/>
      <c r="D21" s="478"/>
      <c r="E21" s="478"/>
      <c r="F21" s="478"/>
      <c r="G21" s="478"/>
      <c r="H21" s="478"/>
      <c r="I21" s="478"/>
      <c r="J21" s="478"/>
    </row>
    <row r="22" spans="1:13">
      <c r="A22" s="475" t="s">
        <v>883</v>
      </c>
      <c r="B22" s="477">
        <v>261.29444465348001</v>
      </c>
      <c r="C22" s="477">
        <v>260.29972243046194</v>
      </c>
      <c r="D22" s="477">
        <v>269.94277799373197</v>
      </c>
      <c r="E22" s="477">
        <v>286.61694467373798</v>
      </c>
      <c r="F22" s="477">
        <v>292.15638912261397</v>
      </c>
      <c r="G22" s="477">
        <v>291.41277801090797</v>
      </c>
      <c r="H22" s="477">
        <v>296.45111134827198</v>
      </c>
      <c r="I22" s="477">
        <v>303.632222465128</v>
      </c>
      <c r="J22" s="477">
        <v>315.19472247437795</v>
      </c>
      <c r="L22" s="476">
        <f>(G24+G26)/G22</f>
        <v>0.19310047031415919</v>
      </c>
    </row>
    <row r="23" spans="1:13">
      <c r="A23" s="476" t="s">
        <v>863</v>
      </c>
      <c r="B23" s="478"/>
      <c r="C23" s="478"/>
      <c r="D23" s="478"/>
      <c r="E23" s="478"/>
      <c r="F23" s="478"/>
      <c r="G23" s="478"/>
      <c r="H23" s="478"/>
      <c r="I23" s="478"/>
      <c r="J23" s="478"/>
    </row>
    <row r="24" spans="1:13">
      <c r="A24" s="476" t="s">
        <v>884</v>
      </c>
      <c r="B24" s="478">
        <v>41.408888922015997</v>
      </c>
      <c r="C24" s="478">
        <v>42.451944478405998</v>
      </c>
      <c r="D24" s="478">
        <v>44.251944479845996</v>
      </c>
      <c r="E24" s="478">
        <v>45.601944480925994</v>
      </c>
      <c r="F24" s="478">
        <v>44.050000035239997</v>
      </c>
      <c r="G24" s="478">
        <v>42.520000034016</v>
      </c>
      <c r="H24" s="478">
        <v>41.321388921945996</v>
      </c>
      <c r="I24" s="478">
        <v>40.640000032511999</v>
      </c>
      <c r="J24" s="478">
        <v>40.378611143413998</v>
      </c>
    </row>
    <row r="25" spans="1:13">
      <c r="A25" s="476" t="s">
        <v>863</v>
      </c>
      <c r="B25" s="478"/>
      <c r="C25" s="478"/>
      <c r="D25" s="478"/>
      <c r="E25" s="478"/>
      <c r="F25" s="478"/>
      <c r="G25" s="478"/>
      <c r="H25" s="478"/>
      <c r="I25" s="478"/>
      <c r="J25" s="478"/>
    </row>
    <row r="26" spans="1:13">
      <c r="A26" s="476" t="s">
        <v>885</v>
      </c>
      <c r="B26" s="478">
        <v>12.649166676785999</v>
      </c>
      <c r="C26" s="478">
        <v>12.592500010073998</v>
      </c>
      <c r="D26" s="478">
        <v>12.916666676999998</v>
      </c>
      <c r="E26" s="478">
        <v>13.660277788705999</v>
      </c>
      <c r="F26" s="478">
        <v>14.800000011839998</v>
      </c>
      <c r="G26" s="478">
        <v>13.751944455445997</v>
      </c>
      <c r="H26" s="478">
        <v>13.933055566701999</v>
      </c>
      <c r="I26" s="478">
        <v>14.253611122514</v>
      </c>
      <c r="J26" s="478">
        <v>14.764166678478</v>
      </c>
    </row>
    <row r="27" spans="1:13">
      <c r="A27" s="476" t="s">
        <v>863</v>
      </c>
      <c r="B27" s="478"/>
      <c r="C27" s="478"/>
      <c r="D27" s="478"/>
      <c r="E27" s="478"/>
      <c r="F27" s="478"/>
      <c r="G27" s="478"/>
      <c r="H27" s="478"/>
      <c r="I27" s="478"/>
      <c r="J27" s="478"/>
      <c r="L27" s="476">
        <v>2016</v>
      </c>
      <c r="M27" s="476">
        <v>2013</v>
      </c>
    </row>
    <row r="28" spans="1:13">
      <c r="A28" s="476" t="s">
        <v>886</v>
      </c>
      <c r="B28" s="479">
        <v>207.236389054678</v>
      </c>
      <c r="C28" s="479">
        <v>205.25527794198197</v>
      </c>
      <c r="D28" s="479">
        <v>212.77416683688597</v>
      </c>
      <c r="E28" s="479">
        <v>227.35472240410598</v>
      </c>
      <c r="F28" s="479">
        <v>233.30638907553399</v>
      </c>
      <c r="G28" s="479">
        <v>235.14083352144596</v>
      </c>
      <c r="H28" s="479">
        <v>241.19666685962397</v>
      </c>
      <c r="I28" s="479">
        <v>248.73861131010196</v>
      </c>
      <c r="J28" s="479">
        <v>260.05194465248599</v>
      </c>
      <c r="L28" s="480">
        <f>J28/$J$28</f>
        <v>1</v>
      </c>
      <c r="M28" s="480">
        <f>G28/$G$28</f>
        <v>1</v>
      </c>
    </row>
    <row r="29" spans="1:13">
      <c r="A29" s="476" t="s">
        <v>863</v>
      </c>
      <c r="B29" s="478"/>
      <c r="C29" s="478"/>
      <c r="D29" s="478"/>
      <c r="E29" s="478"/>
      <c r="F29" s="478"/>
      <c r="G29" s="478"/>
      <c r="H29" s="478"/>
      <c r="I29" s="478"/>
      <c r="J29" s="478"/>
      <c r="L29" s="480"/>
      <c r="M29" s="480"/>
    </row>
    <row r="30" spans="1:13">
      <c r="A30" s="476" t="s">
        <v>887</v>
      </c>
      <c r="B30" s="478">
        <v>207.236389054678</v>
      </c>
      <c r="C30" s="478">
        <v>205.25527794198197</v>
      </c>
      <c r="D30" s="478">
        <v>212.77416683688597</v>
      </c>
      <c r="E30" s="478">
        <v>227.35472240410598</v>
      </c>
      <c r="F30" s="478">
        <v>233.30638907553399</v>
      </c>
      <c r="G30" s="478">
        <v>235.14083352144596</v>
      </c>
      <c r="H30" s="478">
        <v>241.19666685962397</v>
      </c>
      <c r="I30" s="478">
        <v>248.73861131010196</v>
      </c>
      <c r="J30" s="478">
        <v>260.05194465248599</v>
      </c>
      <c r="L30" s="480">
        <f t="shared" ref="L30:L42" si="0">J30/$J$28</f>
        <v>1</v>
      </c>
      <c r="M30" s="480">
        <f t="shared" ref="M30:M42" si="1">G30/$G$28</f>
        <v>1</v>
      </c>
    </row>
    <row r="31" spans="1:13">
      <c r="A31" s="476" t="s">
        <v>863</v>
      </c>
      <c r="B31" s="478"/>
      <c r="C31" s="478"/>
      <c r="D31" s="478"/>
      <c r="E31" s="478"/>
      <c r="F31" s="478"/>
      <c r="G31" s="478"/>
      <c r="H31" s="478"/>
      <c r="I31" s="478"/>
      <c r="J31" s="478"/>
      <c r="L31" s="480"/>
      <c r="M31" s="480"/>
    </row>
    <row r="32" spans="1:13">
      <c r="A32" s="476" t="s">
        <v>281</v>
      </c>
      <c r="B32" s="478">
        <v>47.451111149071998</v>
      </c>
      <c r="C32" s="478">
        <v>49.213055594925997</v>
      </c>
      <c r="D32" s="478">
        <v>49.406944483970001</v>
      </c>
      <c r="E32" s="478">
        <v>52.505000042003992</v>
      </c>
      <c r="F32" s="478">
        <v>52.771111153327993</v>
      </c>
      <c r="G32" s="478">
        <v>53.094166709142002</v>
      </c>
      <c r="H32" s="478">
        <v>54.617500043693994</v>
      </c>
      <c r="I32" s="478">
        <v>56.596388934166001</v>
      </c>
      <c r="J32" s="478">
        <v>58.965555602727996</v>
      </c>
      <c r="L32" s="480">
        <f t="shared" si="0"/>
        <v>0.22674529768091203</v>
      </c>
      <c r="M32" s="480">
        <f t="shared" si="1"/>
        <v>0.22579730586988653</v>
      </c>
    </row>
    <row r="33" spans="1:13">
      <c r="A33" s="476" t="s">
        <v>298</v>
      </c>
      <c r="B33" s="478">
        <v>13.750000010999999</v>
      </c>
      <c r="C33" s="478">
        <v>13.628055566457999</v>
      </c>
      <c r="D33" s="478">
        <v>13.139722232733998</v>
      </c>
      <c r="E33" s="478">
        <v>13.745000010995998</v>
      </c>
      <c r="F33" s="478">
        <v>14.078333344595999</v>
      </c>
      <c r="G33" s="478">
        <v>13.911388900018</v>
      </c>
      <c r="H33" s="478">
        <v>18.875000015099999</v>
      </c>
      <c r="I33" s="478">
        <v>21.958333350899998</v>
      </c>
      <c r="J33" s="478">
        <v>23.994722241418</v>
      </c>
      <c r="L33" s="480">
        <f t="shared" si="0"/>
        <v>9.2268959086165475E-2</v>
      </c>
      <c r="M33" s="480">
        <f t="shared" si="1"/>
        <v>5.916194431942088E-2</v>
      </c>
    </row>
    <row r="34" spans="1:13">
      <c r="A34" s="476" t="s">
        <v>297</v>
      </c>
      <c r="B34" s="478">
        <v>7.0738888945479994</v>
      </c>
      <c r="C34" s="478">
        <v>7.8030555617979998</v>
      </c>
      <c r="D34" s="478">
        <v>7.7230555617339993</v>
      </c>
      <c r="E34" s="478">
        <v>8.0888888953600002</v>
      </c>
      <c r="F34" s="478">
        <v>8.3880555622659987</v>
      </c>
      <c r="G34" s="478">
        <v>9.2852777852059987</v>
      </c>
      <c r="H34" s="478">
        <v>8.9986111183100004</v>
      </c>
      <c r="I34" s="478">
        <v>8.9908333405259988</v>
      </c>
      <c r="J34" s="478">
        <v>8.6722222291599991</v>
      </c>
      <c r="L34" s="480">
        <f t="shared" si="0"/>
        <v>3.334803837267554E-2</v>
      </c>
      <c r="M34" s="480">
        <f t="shared" si="1"/>
        <v>3.9488155443487181E-2</v>
      </c>
    </row>
    <row r="35" spans="1:13">
      <c r="A35" s="476" t="s">
        <v>863</v>
      </c>
      <c r="B35" s="478"/>
      <c r="C35" s="478"/>
      <c r="D35" s="478"/>
      <c r="E35" s="478"/>
      <c r="F35" s="478"/>
      <c r="G35" s="478"/>
      <c r="H35" s="478"/>
      <c r="I35" s="478"/>
      <c r="J35" s="478"/>
      <c r="L35" s="480"/>
      <c r="M35" s="480"/>
    </row>
    <row r="36" spans="1:13">
      <c r="A36" s="475" t="s">
        <v>48</v>
      </c>
      <c r="B36" s="477">
        <v>1.1111111119999999</v>
      </c>
      <c r="C36" s="477">
        <v>1.110000000888</v>
      </c>
      <c r="D36" s="477">
        <v>1.1905555565079997</v>
      </c>
      <c r="E36" s="477">
        <v>1.1225000008979999</v>
      </c>
      <c r="F36" s="477">
        <v>1.1300000009039999</v>
      </c>
      <c r="G36" s="477">
        <v>1.1744444453839997</v>
      </c>
      <c r="H36" s="477">
        <v>1.145000000916</v>
      </c>
      <c r="I36" s="477">
        <v>1.1336111120179999</v>
      </c>
      <c r="J36" s="477">
        <v>1.1400000009119999</v>
      </c>
      <c r="L36" s="480">
        <f t="shared" si="0"/>
        <v>4.3837395733971954E-3</v>
      </c>
      <c r="M36" s="480">
        <f t="shared" si="1"/>
        <v>4.9946426904916323E-3</v>
      </c>
    </row>
    <row r="37" spans="1:13">
      <c r="A37" s="476" t="s">
        <v>888</v>
      </c>
      <c r="B37" s="478">
        <v>1.0733333341919999</v>
      </c>
      <c r="C37" s="478">
        <v>1.0716666675239999</v>
      </c>
      <c r="D37" s="478">
        <v>1.1505555564759999</v>
      </c>
      <c r="E37" s="478">
        <v>1.0791666675299998</v>
      </c>
      <c r="F37" s="478">
        <v>1.0858333342019999</v>
      </c>
      <c r="G37" s="478">
        <v>1.1294444453479999</v>
      </c>
      <c r="H37" s="478">
        <v>1.1025000008819998</v>
      </c>
      <c r="I37" s="478">
        <v>1.08194444531</v>
      </c>
      <c r="J37" s="478">
        <v>1.0900000008719999</v>
      </c>
      <c r="L37" s="480"/>
      <c r="M37" s="480"/>
    </row>
    <row r="38" spans="1:13">
      <c r="A38" s="476" t="s">
        <v>889</v>
      </c>
      <c r="B38" s="478">
        <v>3.7777777807999999E-2</v>
      </c>
      <c r="C38" s="478">
        <v>3.8333333364000001E-2</v>
      </c>
      <c r="D38" s="478">
        <v>4.0000000031999994E-2</v>
      </c>
      <c r="E38" s="478">
        <v>4.3611111145999998E-2</v>
      </c>
      <c r="F38" s="478">
        <v>4.4444444479999998E-2</v>
      </c>
      <c r="G38" s="478">
        <v>4.4722222257999995E-2</v>
      </c>
      <c r="H38" s="478">
        <v>4.2500000033999993E-2</v>
      </c>
      <c r="I38" s="478">
        <v>5.1388888929999994E-2</v>
      </c>
      <c r="J38" s="478">
        <v>5.0000000039999992E-2</v>
      </c>
      <c r="L38" s="480"/>
      <c r="M38" s="480"/>
    </row>
    <row r="39" spans="1:13">
      <c r="A39" s="476" t="s">
        <v>863</v>
      </c>
      <c r="B39" s="478"/>
      <c r="C39" s="478"/>
      <c r="D39" s="478"/>
      <c r="E39" s="478"/>
      <c r="F39" s="478"/>
      <c r="G39" s="478"/>
      <c r="H39" s="478"/>
      <c r="I39" s="478"/>
      <c r="J39" s="478"/>
      <c r="L39" s="480"/>
      <c r="M39" s="480"/>
    </row>
    <row r="40" spans="1:13">
      <c r="A40" s="476" t="s">
        <v>227</v>
      </c>
      <c r="B40" s="478">
        <v>8.1100000064879989</v>
      </c>
      <c r="C40" s="478">
        <v>9.301111118551999</v>
      </c>
      <c r="D40" s="478">
        <v>8.6013888957699987</v>
      </c>
      <c r="E40" s="478">
        <v>10.975833342113999</v>
      </c>
      <c r="F40" s="478">
        <v>10.820555564211999</v>
      </c>
      <c r="G40" s="478">
        <v>10.285555563783999</v>
      </c>
      <c r="H40" s="478">
        <v>10.032500008025998</v>
      </c>
      <c r="I40" s="478">
        <v>10.067500008053999</v>
      </c>
      <c r="J40" s="478">
        <v>11.335000009067999</v>
      </c>
      <c r="L40" s="480">
        <f t="shared" si="0"/>
        <v>4.3587445670576493E-2</v>
      </c>
      <c r="M40" s="480">
        <f t="shared" si="1"/>
        <v>4.3742107271410639E-2</v>
      </c>
    </row>
    <row r="41" spans="1:13">
      <c r="A41" s="476" t="s">
        <v>863</v>
      </c>
      <c r="B41" s="478"/>
      <c r="C41" s="478"/>
      <c r="D41" s="478"/>
      <c r="E41" s="478"/>
      <c r="F41" s="478"/>
      <c r="G41" s="478"/>
      <c r="H41" s="478"/>
      <c r="I41" s="478"/>
      <c r="J41" s="478"/>
      <c r="L41" s="480"/>
      <c r="M41" s="480"/>
    </row>
    <row r="42" spans="1:13">
      <c r="A42" s="475" t="s">
        <v>47</v>
      </c>
      <c r="B42" s="477">
        <v>129.740000103792</v>
      </c>
      <c r="C42" s="477">
        <v>124.20027787713798</v>
      </c>
      <c r="D42" s="477">
        <v>132.71222232839199</v>
      </c>
      <c r="E42" s="477">
        <v>140.91694455717797</v>
      </c>
      <c r="F42" s="477">
        <v>146.11861122800599</v>
      </c>
      <c r="G42" s="477">
        <v>147.390000117912</v>
      </c>
      <c r="H42" s="477">
        <v>147.528055673578</v>
      </c>
      <c r="I42" s="477">
        <v>149.99222234221597</v>
      </c>
      <c r="J42" s="477">
        <v>155.94444456919999</v>
      </c>
      <c r="L42" s="480">
        <f t="shared" si="0"/>
        <v>0.59966651961627326</v>
      </c>
      <c r="M42" s="480">
        <f t="shared" si="1"/>
        <v>0.62681584440530336</v>
      </c>
    </row>
    <row r="43" spans="1:13">
      <c r="A43" s="476" t="s">
        <v>890</v>
      </c>
      <c r="B43" s="478">
        <v>7.6044444505279998</v>
      </c>
      <c r="C43" s="478">
        <v>7.2511111169119991</v>
      </c>
      <c r="D43" s="478">
        <v>6.0647222270739993</v>
      </c>
      <c r="E43" s="478">
        <v>6.0505555603959991</v>
      </c>
      <c r="F43" s="478">
        <v>6.4858333385219993</v>
      </c>
      <c r="G43" s="478">
        <v>5.9950000047959993</v>
      </c>
      <c r="H43" s="478">
        <v>5.5152777821899992</v>
      </c>
      <c r="I43" s="478">
        <v>5.3394444487159998</v>
      </c>
      <c r="J43" s="478">
        <v>5.7308333379179999</v>
      </c>
      <c r="L43" s="481"/>
    </row>
    <row r="44" spans="1:13">
      <c r="A44" s="476" t="s">
        <v>891</v>
      </c>
      <c r="B44" s="478">
        <v>4.4775000035819996</v>
      </c>
      <c r="C44" s="478">
        <v>5.363055559845999</v>
      </c>
      <c r="D44" s="478">
        <v>4.9700000039759997</v>
      </c>
      <c r="E44" s="478">
        <v>4.9616666706359993</v>
      </c>
      <c r="F44" s="478">
        <v>4.7255555593359997</v>
      </c>
      <c r="G44" s="478">
        <v>4.7569444482499996</v>
      </c>
      <c r="H44" s="478">
        <v>4.7394444482360001</v>
      </c>
      <c r="I44" s="478">
        <v>4.6336111148179997</v>
      </c>
      <c r="J44" s="478">
        <v>4.684444448192</v>
      </c>
      <c r="L44" s="481"/>
    </row>
    <row r="45" spans="1:13">
      <c r="A45" s="476" t="s">
        <v>892</v>
      </c>
      <c r="B45" s="478">
        <v>0.83750000066999997</v>
      </c>
      <c r="C45" s="478">
        <v>0.74833333393199997</v>
      </c>
      <c r="D45" s="478">
        <v>0.75611111171599987</v>
      </c>
      <c r="E45" s="478">
        <v>0.79194444507799988</v>
      </c>
      <c r="F45" s="478">
        <v>0.84416666734199997</v>
      </c>
      <c r="G45" s="478">
        <v>1.1513888898099998</v>
      </c>
      <c r="H45" s="478">
        <v>0.97472222300199984</v>
      </c>
      <c r="I45" s="478">
        <v>0.98666666745599996</v>
      </c>
      <c r="J45" s="478">
        <v>1.0536111119539999</v>
      </c>
      <c r="L45" s="481"/>
    </row>
    <row r="46" spans="1:13">
      <c r="A46" s="476" t="s">
        <v>893</v>
      </c>
      <c r="B46" s="478">
        <v>1.3727777788759998</v>
      </c>
      <c r="C46" s="478">
        <v>1.3755555566559998</v>
      </c>
      <c r="D46" s="478">
        <v>1.3675000010939999</v>
      </c>
      <c r="E46" s="478">
        <v>1.3911111122239999</v>
      </c>
      <c r="F46" s="478">
        <v>1.3288888899519997</v>
      </c>
      <c r="G46" s="478">
        <v>1.4213888900259999</v>
      </c>
      <c r="H46" s="478">
        <v>1.3869444455539999</v>
      </c>
      <c r="I46" s="478">
        <v>1.3036111121539997</v>
      </c>
      <c r="J46" s="478">
        <v>1.1919444453979999</v>
      </c>
      <c r="L46" s="481"/>
    </row>
    <row r="47" spans="1:13">
      <c r="A47" s="476" t="s">
        <v>894</v>
      </c>
      <c r="B47" s="478">
        <v>9.6088888965759995</v>
      </c>
      <c r="C47" s="478">
        <v>9.2483333407319979</v>
      </c>
      <c r="D47" s="478">
        <v>8.4697222289979983</v>
      </c>
      <c r="E47" s="478">
        <v>8.762222229232</v>
      </c>
      <c r="F47" s="478">
        <v>9.3497222297019995</v>
      </c>
      <c r="G47" s="478">
        <v>10.036944452474</v>
      </c>
      <c r="H47" s="478">
        <v>9.1702777851139992</v>
      </c>
      <c r="I47" s="478">
        <v>9.6861111188599978</v>
      </c>
      <c r="J47" s="478">
        <v>10.355277786062</v>
      </c>
      <c r="L47" s="481"/>
    </row>
    <row r="48" spans="1:13">
      <c r="A48" s="476" t="s">
        <v>895</v>
      </c>
      <c r="B48" s="478">
        <v>5.7297222268059995</v>
      </c>
      <c r="C48" s="478">
        <v>5.340833337606</v>
      </c>
      <c r="D48" s="478">
        <v>7.3116666725159991</v>
      </c>
      <c r="E48" s="478">
        <v>7.2963888947259994</v>
      </c>
      <c r="F48" s="478">
        <v>8.5788888957519998</v>
      </c>
      <c r="G48" s="478">
        <v>10.081666674731999</v>
      </c>
      <c r="H48" s="478">
        <v>9.5413888965219975</v>
      </c>
      <c r="I48" s="478">
        <v>10.587222230691998</v>
      </c>
      <c r="J48" s="478">
        <v>11.286388897917998</v>
      </c>
      <c r="L48" s="481"/>
    </row>
    <row r="49" spans="1:12">
      <c r="A49" s="476" t="s">
        <v>896</v>
      </c>
      <c r="B49" s="478">
        <v>2.5072222242279998</v>
      </c>
      <c r="C49" s="478">
        <v>2.8225000022579998</v>
      </c>
      <c r="D49" s="478">
        <v>2.6802777799219997</v>
      </c>
      <c r="E49" s="478">
        <v>2.6675000021339996</v>
      </c>
      <c r="F49" s="478">
        <v>2.7875000022299998</v>
      </c>
      <c r="G49" s="478">
        <v>2.8600000022879994</v>
      </c>
      <c r="H49" s="478">
        <v>2.9383333356839998</v>
      </c>
      <c r="I49" s="478">
        <v>3.0280555579779995</v>
      </c>
      <c r="J49" s="478">
        <v>3.3144444470959997</v>
      </c>
      <c r="L49" s="481"/>
    </row>
    <row r="50" spans="1:12">
      <c r="A50" s="476" t="s">
        <v>897</v>
      </c>
      <c r="B50" s="478">
        <v>1.1833333342799999</v>
      </c>
      <c r="C50" s="478">
        <v>1.1158333342260001</v>
      </c>
      <c r="D50" s="478">
        <v>1.5405555567879998</v>
      </c>
      <c r="E50" s="478">
        <v>1.7083333347</v>
      </c>
      <c r="F50" s="478">
        <v>1.1913888898419998</v>
      </c>
      <c r="G50" s="478">
        <v>1.1605555564839998</v>
      </c>
      <c r="H50" s="478">
        <v>1.1797222231659998</v>
      </c>
      <c r="I50" s="478">
        <v>1.2463888898859998</v>
      </c>
      <c r="J50" s="478">
        <v>1.3325000010659998</v>
      </c>
      <c r="L50" s="481"/>
    </row>
    <row r="51" spans="1:12">
      <c r="A51" s="476" t="s">
        <v>898</v>
      </c>
      <c r="B51" s="478">
        <v>0.89777777849599993</v>
      </c>
      <c r="C51" s="478">
        <v>0.85888888957599996</v>
      </c>
      <c r="D51" s="478">
        <v>0.91166666739599989</v>
      </c>
      <c r="E51" s="478">
        <v>0.82166666732399996</v>
      </c>
      <c r="F51" s="478">
        <v>1.01250000081</v>
      </c>
      <c r="G51" s="478">
        <v>1.0227777785959999</v>
      </c>
      <c r="H51" s="478">
        <v>1.0561111119559998</v>
      </c>
      <c r="I51" s="478">
        <v>1.1002777786579998</v>
      </c>
      <c r="J51" s="478">
        <v>1.2044444454079999</v>
      </c>
      <c r="L51" s="481"/>
    </row>
    <row r="52" spans="1:12">
      <c r="A52" s="476" t="s">
        <v>899</v>
      </c>
      <c r="B52" s="478">
        <v>0.15416666678999999</v>
      </c>
      <c r="C52" s="478">
        <v>0.13888888899999999</v>
      </c>
      <c r="D52" s="478">
        <v>0.13638888899799997</v>
      </c>
      <c r="E52" s="478">
        <v>0.14416666678199999</v>
      </c>
      <c r="F52" s="478">
        <v>0.13527777788599998</v>
      </c>
      <c r="G52" s="478">
        <v>0.13194444454999998</v>
      </c>
      <c r="H52" s="478">
        <v>0.20138888904999996</v>
      </c>
      <c r="I52" s="478">
        <v>0.20555555571999998</v>
      </c>
      <c r="J52" s="478">
        <v>0.20777777794399999</v>
      </c>
      <c r="L52" s="481"/>
    </row>
    <row r="53" spans="1:12">
      <c r="A53" s="476" t="s">
        <v>900</v>
      </c>
      <c r="B53" s="478">
        <v>1.959444446012</v>
      </c>
      <c r="C53" s="478">
        <v>1.8522222237039998</v>
      </c>
      <c r="D53" s="478">
        <v>1.9830555571419999</v>
      </c>
      <c r="E53" s="478">
        <v>2.1141666683579996</v>
      </c>
      <c r="F53" s="478">
        <v>2.1261111128119996</v>
      </c>
      <c r="G53" s="478">
        <v>2.1875000017499997</v>
      </c>
      <c r="H53" s="478">
        <v>2.3686111130059997</v>
      </c>
      <c r="I53" s="478">
        <v>2.55833333538</v>
      </c>
      <c r="J53" s="478">
        <v>2.6730555576939996</v>
      </c>
      <c r="L53" s="481"/>
    </row>
    <row r="54" spans="1:12">
      <c r="A54" s="476" t="s">
        <v>901</v>
      </c>
      <c r="B54" s="478">
        <v>0.84833333401199984</v>
      </c>
      <c r="C54" s="478">
        <v>0.80444444508799995</v>
      </c>
      <c r="D54" s="478">
        <v>0.76833333394799996</v>
      </c>
      <c r="E54" s="478">
        <v>0.81416666731799991</v>
      </c>
      <c r="F54" s="478">
        <v>0.84250000067399988</v>
      </c>
      <c r="G54" s="478">
        <v>0.85083333401399996</v>
      </c>
      <c r="H54" s="478">
        <v>0.87861111181399987</v>
      </c>
      <c r="I54" s="478">
        <v>0.91555555628799989</v>
      </c>
      <c r="J54" s="478">
        <v>1.001944445246</v>
      </c>
      <c r="L54" s="481"/>
    </row>
    <row r="55" spans="1:12">
      <c r="A55" s="476" t="s">
        <v>902</v>
      </c>
      <c r="B55" s="478">
        <v>0.47361111148999996</v>
      </c>
      <c r="C55" s="478">
        <v>0.45472222258599998</v>
      </c>
      <c r="D55" s="478">
        <v>0.45916666703399994</v>
      </c>
      <c r="E55" s="478">
        <v>0.47750000038199997</v>
      </c>
      <c r="F55" s="478">
        <v>0.49583333372999994</v>
      </c>
      <c r="G55" s="478">
        <v>0.49250000039399994</v>
      </c>
      <c r="H55" s="478">
        <v>0.51194444485399992</v>
      </c>
      <c r="I55" s="478">
        <v>0.51944444485999997</v>
      </c>
      <c r="J55" s="478">
        <v>0.55527777822199997</v>
      </c>
      <c r="L55" s="481"/>
    </row>
    <row r="56" spans="1:12">
      <c r="A56" s="476" t="s">
        <v>903</v>
      </c>
      <c r="B56" s="478">
        <v>0.38861111142199994</v>
      </c>
      <c r="C56" s="478">
        <v>0.35138888916999994</v>
      </c>
      <c r="D56" s="478">
        <v>0.39888888920799997</v>
      </c>
      <c r="E56" s="478">
        <v>0.42555555589599997</v>
      </c>
      <c r="F56" s="478">
        <v>0.46083333370199997</v>
      </c>
      <c r="G56" s="478">
        <v>0.45777777814399995</v>
      </c>
      <c r="H56" s="478">
        <v>0.48166666705199995</v>
      </c>
      <c r="I56" s="478">
        <v>0.50555555596000001</v>
      </c>
      <c r="J56" s="478">
        <v>0.54250000043399993</v>
      </c>
      <c r="L56" s="481"/>
    </row>
    <row r="57" spans="1:12">
      <c r="A57" s="476" t="s">
        <v>904</v>
      </c>
      <c r="B57" s="478" t="s">
        <v>228</v>
      </c>
      <c r="C57" s="478" t="s">
        <v>228</v>
      </c>
      <c r="D57" s="478" t="s">
        <v>228</v>
      </c>
      <c r="E57" s="478" t="s">
        <v>228</v>
      </c>
      <c r="F57" s="478" t="s">
        <v>228</v>
      </c>
      <c r="G57" s="478" t="s">
        <v>228</v>
      </c>
      <c r="H57" s="478" t="s">
        <v>228</v>
      </c>
      <c r="I57" s="478" t="s">
        <v>228</v>
      </c>
      <c r="J57" s="478" t="s">
        <v>228</v>
      </c>
      <c r="L57" s="481"/>
    </row>
    <row r="58" spans="1:12">
      <c r="A58" s="476" t="s">
        <v>905</v>
      </c>
      <c r="B58" s="478">
        <v>6.1388888937999993E-2</v>
      </c>
      <c r="C58" s="478">
        <v>6.1666666715999997E-2</v>
      </c>
      <c r="D58" s="478">
        <v>6.1944444493999995E-2</v>
      </c>
      <c r="E58" s="478">
        <v>6.4722222273999999E-2</v>
      </c>
      <c r="F58" s="478">
        <v>6.6388888941999985E-2</v>
      </c>
      <c r="G58" s="478">
        <v>6.7222222275999999E-2</v>
      </c>
      <c r="H58" s="478">
        <v>6.9444444499999994E-2</v>
      </c>
      <c r="I58" s="478">
        <v>7.2222222279999998E-2</v>
      </c>
      <c r="J58" s="478">
        <v>7.9166666729999988E-2</v>
      </c>
      <c r="L58" s="481"/>
    </row>
    <row r="59" spans="1:12">
      <c r="A59" s="476" t="s">
        <v>906</v>
      </c>
      <c r="B59" s="478">
        <v>91.635555628863983</v>
      </c>
      <c r="C59" s="478">
        <v>86.412777846908</v>
      </c>
      <c r="D59" s="478">
        <v>94.832500075865994</v>
      </c>
      <c r="E59" s="478">
        <v>102.425555637496</v>
      </c>
      <c r="F59" s="478">
        <v>105.68750008455</v>
      </c>
      <c r="G59" s="478">
        <v>104.71527786154999</v>
      </c>
      <c r="H59" s="478">
        <v>106.51416675187799</v>
      </c>
      <c r="I59" s="478">
        <v>107.304444530288</v>
      </c>
      <c r="J59" s="478">
        <v>110.73055564413998</v>
      </c>
      <c r="L59" s="481"/>
    </row>
    <row r="60" spans="1:12">
      <c r="A60" s="476" t="s">
        <v>863</v>
      </c>
    </row>
    <row r="61" spans="1:12">
      <c r="A61" s="475" t="s">
        <v>907</v>
      </c>
    </row>
    <row r="62" spans="1:12">
      <c r="A62" s="476" t="s">
        <v>908</v>
      </c>
    </row>
    <row r="63" spans="1:12">
      <c r="A63" s="476" t="s">
        <v>909</v>
      </c>
    </row>
    <row r="64" spans="1:12">
      <c r="A64" s="476" t="s">
        <v>910</v>
      </c>
    </row>
    <row r="65" spans="1:1">
      <c r="A65" s="476" t="s">
        <v>911</v>
      </c>
    </row>
    <row r="66" spans="1:1">
      <c r="A66" s="476" t="s">
        <v>912</v>
      </c>
    </row>
    <row r="67" spans="1:1">
      <c r="A67" s="476" t="s">
        <v>618</v>
      </c>
    </row>
    <row r="68" spans="1:1">
      <c r="A68" s="476" t="s">
        <v>863</v>
      </c>
    </row>
    <row r="69" spans="1:1">
      <c r="A69" s="476" t="s">
        <v>913</v>
      </c>
    </row>
  </sheetData>
  <pageMargins left="0" right="0" top="1" bottom="1"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V177"/>
  <sheetViews>
    <sheetView zoomScaleNormal="100" workbookViewId="0">
      <selection activeCell="L40" sqref="L40"/>
    </sheetView>
  </sheetViews>
  <sheetFormatPr baseColWidth="10" defaultColWidth="11" defaultRowHeight="12.75"/>
  <cols>
    <col min="1" max="1" width="14.125" style="417" customWidth="1"/>
    <col min="2" max="3" width="11" style="417"/>
    <col min="4" max="4" width="15.375" style="417" customWidth="1"/>
    <col min="5" max="6" width="11" style="417"/>
    <col min="7" max="7" width="11.375" style="417" customWidth="1"/>
    <col min="8" max="16384" width="11" style="417"/>
  </cols>
  <sheetData>
    <row r="2" spans="1:22" ht="26.1" customHeight="1">
      <c r="A2" s="415" t="s">
        <v>753</v>
      </c>
      <c r="B2" s="416"/>
      <c r="C2" s="416"/>
      <c r="D2" s="416"/>
      <c r="E2" s="416"/>
      <c r="F2" s="416"/>
      <c r="G2" s="416"/>
      <c r="H2" s="416"/>
      <c r="I2" s="416"/>
      <c r="J2" s="416"/>
      <c r="K2" s="416"/>
      <c r="L2" s="416"/>
      <c r="M2" s="416"/>
      <c r="S2" s="678" t="s">
        <v>754</v>
      </c>
      <c r="T2" s="678"/>
      <c r="U2" s="678"/>
      <c r="V2" s="678"/>
    </row>
    <row r="3" spans="1:22" ht="24.75" thickBot="1">
      <c r="A3" s="418" t="s">
        <v>755</v>
      </c>
      <c r="B3" s="416"/>
      <c r="C3" s="416"/>
      <c r="D3" s="416"/>
      <c r="E3" s="416"/>
      <c r="F3" s="419"/>
      <c r="G3" s="416"/>
      <c r="H3" s="416"/>
      <c r="I3" s="416"/>
      <c r="J3" s="416"/>
      <c r="K3" s="416"/>
      <c r="L3" s="416"/>
      <c r="M3" s="416"/>
      <c r="S3" s="420" t="s">
        <v>755</v>
      </c>
      <c r="T3" s="421"/>
      <c r="U3" s="421"/>
      <c r="V3" s="421"/>
    </row>
    <row r="4" spans="1:22" ht="35.1" customHeight="1" thickBot="1">
      <c r="A4" s="422" t="s">
        <v>527</v>
      </c>
      <c r="B4" s="422" t="s">
        <v>756</v>
      </c>
      <c r="C4" s="422" t="s">
        <v>757</v>
      </c>
      <c r="D4" s="422" t="s">
        <v>758</v>
      </c>
      <c r="E4" s="422" t="s">
        <v>759</v>
      </c>
      <c r="F4" s="422" t="s">
        <v>760</v>
      </c>
      <c r="G4" s="422" t="s">
        <v>761</v>
      </c>
      <c r="H4" s="422" t="s">
        <v>762</v>
      </c>
      <c r="I4" s="422" t="s">
        <v>763</v>
      </c>
      <c r="J4" s="422" t="s">
        <v>764</v>
      </c>
      <c r="K4" s="422" t="s">
        <v>765</v>
      </c>
      <c r="L4" s="422" t="s">
        <v>766</v>
      </c>
      <c r="M4" s="422" t="s">
        <v>767</v>
      </c>
      <c r="S4" s="423" t="s">
        <v>768</v>
      </c>
      <c r="T4" s="424" t="s">
        <v>769</v>
      </c>
      <c r="U4" s="424" t="s">
        <v>770</v>
      </c>
      <c r="V4" s="423" t="s">
        <v>771</v>
      </c>
    </row>
    <row r="5" spans="1:22" ht="13.5" thickBot="1">
      <c r="A5" s="425">
        <v>2004</v>
      </c>
      <c r="B5" s="426">
        <v>47255</v>
      </c>
      <c r="C5" s="426">
        <v>34634</v>
      </c>
      <c r="D5" s="426">
        <v>45177</v>
      </c>
      <c r="E5" s="426">
        <v>14609</v>
      </c>
      <c r="F5" s="426">
        <v>17200.28</v>
      </c>
      <c r="G5" s="426">
        <v>37279</v>
      </c>
      <c r="H5" s="426">
        <v>7019.52</v>
      </c>
      <c r="I5" s="426">
        <v>10252</v>
      </c>
      <c r="J5" s="426">
        <v>1332.9999999999998</v>
      </c>
      <c r="K5" s="426">
        <v>95.7</v>
      </c>
      <c r="L5" s="426">
        <v>203173.8</v>
      </c>
      <c r="M5" s="426">
        <v>214854.5</v>
      </c>
      <c r="S5" s="427" t="s">
        <v>772</v>
      </c>
      <c r="T5" s="428">
        <v>53649.121304147746</v>
      </c>
      <c r="U5" s="428">
        <v>59102.642976763709</v>
      </c>
      <c r="V5" s="429">
        <v>10.16516494594355</v>
      </c>
    </row>
    <row r="6" spans="1:22" ht="13.5" thickBot="1">
      <c r="A6" s="425">
        <v>2005</v>
      </c>
      <c r="B6" s="426">
        <v>49129</v>
      </c>
      <c r="C6" s="426">
        <v>36208</v>
      </c>
      <c r="D6" s="426">
        <v>47734</v>
      </c>
      <c r="E6" s="426">
        <v>15506</v>
      </c>
      <c r="F6" s="426">
        <v>18254</v>
      </c>
      <c r="G6" s="426">
        <v>38630</v>
      </c>
      <c r="H6" s="426">
        <v>7218.0399999999991</v>
      </c>
      <c r="I6" s="426">
        <v>10466</v>
      </c>
      <c r="J6" s="426">
        <v>1453</v>
      </c>
      <c r="K6" s="426">
        <v>98.740000000000009</v>
      </c>
      <c r="L6" s="426">
        <v>212679.04000000001</v>
      </c>
      <c r="M6" s="426">
        <v>224696.78</v>
      </c>
      <c r="S6" s="427" t="s">
        <v>773</v>
      </c>
      <c r="T6" s="428">
        <v>46587.115837690355</v>
      </c>
      <c r="U6" s="428">
        <v>47641.9921629733</v>
      </c>
      <c r="V6" s="429">
        <v>2.2643091471000965</v>
      </c>
    </row>
    <row r="7" spans="1:22" ht="13.5" thickBot="1">
      <c r="A7" s="425">
        <v>2006</v>
      </c>
      <c r="B7" s="426">
        <v>50523.3</v>
      </c>
      <c r="C7" s="426">
        <v>37452</v>
      </c>
      <c r="D7" s="426">
        <v>49239</v>
      </c>
      <c r="E7" s="426">
        <v>15966</v>
      </c>
      <c r="F7" s="426">
        <v>18751.925999999999</v>
      </c>
      <c r="G7" s="426">
        <v>40205</v>
      </c>
      <c r="H7" s="426">
        <v>7720.9939999999997</v>
      </c>
      <c r="I7" s="426">
        <v>11088</v>
      </c>
      <c r="J7" s="426">
        <v>1605</v>
      </c>
      <c r="K7" s="426">
        <v>106.733</v>
      </c>
      <c r="L7" s="426">
        <v>219858.22</v>
      </c>
      <c r="M7" s="426">
        <v>232657.95300000001</v>
      </c>
      <c r="S7" s="427" t="s">
        <v>774</v>
      </c>
      <c r="T7" s="428">
        <v>65219.670901059108</v>
      </c>
      <c r="U7" s="428">
        <v>63406.602568711511</v>
      </c>
      <c r="V7" s="429">
        <v>-2.7799409400548702</v>
      </c>
    </row>
    <row r="8" spans="1:22" ht="13.5" thickBot="1">
      <c r="A8" s="425">
        <v>2007</v>
      </c>
      <c r="B8" s="426">
        <v>51953</v>
      </c>
      <c r="C8" s="426">
        <v>38322</v>
      </c>
      <c r="D8" s="426">
        <v>51603</v>
      </c>
      <c r="E8" s="426">
        <v>16616</v>
      </c>
      <c r="F8" s="426">
        <v>19416.444</v>
      </c>
      <c r="G8" s="426">
        <v>41068</v>
      </c>
      <c r="H8" s="426">
        <v>8353.34</v>
      </c>
      <c r="I8" s="426">
        <v>11272</v>
      </c>
      <c r="J8" s="426">
        <v>1722</v>
      </c>
      <c r="K8" s="426">
        <v>119.05799999999999</v>
      </c>
      <c r="L8" s="426">
        <v>227331.78399999999</v>
      </c>
      <c r="M8" s="426">
        <v>240444.84199999998</v>
      </c>
      <c r="S8" s="427" t="s">
        <v>775</v>
      </c>
      <c r="T8" s="428">
        <v>21642.364635698341</v>
      </c>
      <c r="U8" s="428">
        <v>23388.609765898003</v>
      </c>
      <c r="V8" s="429">
        <v>8.0686429583544328</v>
      </c>
    </row>
    <row r="9" spans="1:22" ht="13.5" thickBot="1">
      <c r="A9" s="425">
        <v>2008</v>
      </c>
      <c r="B9" s="426">
        <v>52429.663854395018</v>
      </c>
      <c r="C9" s="426">
        <v>39106.826910621188</v>
      </c>
      <c r="D9" s="426">
        <v>52404.632592133275</v>
      </c>
      <c r="E9" s="426">
        <v>16690.357318999999</v>
      </c>
      <c r="F9" s="426">
        <v>19346.520989224133</v>
      </c>
      <c r="G9" s="426">
        <v>41824.074117021395</v>
      </c>
      <c r="H9" s="426">
        <v>8853.6265610000009</v>
      </c>
      <c r="I9" s="426">
        <v>11418.156000000001</v>
      </c>
      <c r="J9" s="426">
        <v>1932.9650000000004</v>
      </c>
      <c r="K9" s="426">
        <v>134.773</v>
      </c>
      <c r="L9" s="426">
        <v>230655.70234339504</v>
      </c>
      <c r="M9" s="426">
        <v>244141.59634339504</v>
      </c>
      <c r="S9" s="427" t="s">
        <v>776</v>
      </c>
      <c r="T9" s="428">
        <v>23734.427122595531</v>
      </c>
      <c r="U9" s="428">
        <v>24696.078034525901</v>
      </c>
      <c r="V9" s="429">
        <v>4.0517131800281048</v>
      </c>
    </row>
    <row r="10" spans="1:22" ht="13.5" thickBot="1">
      <c r="A10" s="425">
        <v>2009</v>
      </c>
      <c r="B10" s="426">
        <v>52158.193564902511</v>
      </c>
      <c r="C10" s="426">
        <v>39096.231780779686</v>
      </c>
      <c r="D10" s="426">
        <v>52179.285975420091</v>
      </c>
      <c r="E10" s="426">
        <v>16996.994453645562</v>
      </c>
      <c r="F10" s="426">
        <v>19436.712414084097</v>
      </c>
      <c r="G10" s="426">
        <v>41469.969546325752</v>
      </c>
      <c r="H10" s="426">
        <v>9216.0480670937559</v>
      </c>
      <c r="I10" s="426">
        <v>11099.57850072628</v>
      </c>
      <c r="J10" s="426">
        <v>1988.8927306057187</v>
      </c>
      <c r="K10" s="426">
        <v>132.16552300031012</v>
      </c>
      <c r="L10" s="426">
        <v>230553.43580225145</v>
      </c>
      <c r="M10" s="426">
        <v>243774.07255658376</v>
      </c>
      <c r="S10" s="427" t="s">
        <v>777</v>
      </c>
      <c r="T10" s="428">
        <v>50114.456984899611</v>
      </c>
      <c r="U10" s="428">
        <v>52297.239044134396</v>
      </c>
      <c r="V10" s="429">
        <v>4.3555935563514003</v>
      </c>
    </row>
    <row r="11" spans="1:22" ht="13.5" thickBot="1">
      <c r="A11" s="425">
        <v>2010</v>
      </c>
      <c r="B11" s="426">
        <v>54227.410299428637</v>
      </c>
      <c r="C11" s="426">
        <v>40097.942209129338</v>
      </c>
      <c r="D11" s="426">
        <v>55602.013430078616</v>
      </c>
      <c r="E11" s="426">
        <v>17338.60896221071</v>
      </c>
      <c r="F11" s="426">
        <v>20403.175950689318</v>
      </c>
      <c r="G11" s="426">
        <v>43441.976673351892</v>
      </c>
      <c r="H11" s="426">
        <v>9205.9227737828369</v>
      </c>
      <c r="I11" s="426">
        <v>10991.194168759523</v>
      </c>
      <c r="J11" s="426">
        <v>2015.552203</v>
      </c>
      <c r="K11" s="426">
        <v>136.39029099999999</v>
      </c>
      <c r="L11" s="426">
        <v>240317.05029867135</v>
      </c>
      <c r="M11" s="426">
        <v>253460.18696143085</v>
      </c>
      <c r="S11" s="427" t="s">
        <v>778</v>
      </c>
      <c r="T11" s="428">
        <v>11609.883416999999</v>
      </c>
      <c r="U11" s="428">
        <v>12128.915975</v>
      </c>
      <c r="V11" s="429">
        <v>4.470609560471539</v>
      </c>
    </row>
    <row r="12" spans="1:22" ht="13.5" thickBot="1">
      <c r="A12" s="425">
        <v>2011</v>
      </c>
      <c r="B12" s="426">
        <v>55107.598141109993</v>
      </c>
      <c r="C12" s="426">
        <v>42447.497781202197</v>
      </c>
      <c r="D12" s="426">
        <v>60066.284497109926</v>
      </c>
      <c r="E12" s="426">
        <v>19251.027031999998</v>
      </c>
      <c r="F12" s="426">
        <v>22116.179492999996</v>
      </c>
      <c r="G12" s="426">
        <v>47379.359973000021</v>
      </c>
      <c r="H12" s="426">
        <v>9734.5739619999986</v>
      </c>
      <c r="I12" s="426">
        <v>11426.457462570001</v>
      </c>
      <c r="J12" s="426">
        <v>2164.5295360000005</v>
      </c>
      <c r="K12" s="426">
        <v>137.88864909999998</v>
      </c>
      <c r="L12" s="426">
        <v>256102.52087942214</v>
      </c>
      <c r="M12" s="426">
        <v>269831.39652709215</v>
      </c>
      <c r="S12" s="430" t="s">
        <v>766</v>
      </c>
      <c r="T12" s="431">
        <v>272557.0402030907</v>
      </c>
      <c r="U12" s="431">
        <v>282662.08052800683</v>
      </c>
      <c r="V12" s="432">
        <v>3.707495619040535</v>
      </c>
    </row>
    <row r="13" spans="1:22" ht="13.5" thickBot="1">
      <c r="A13" s="425">
        <v>2012</v>
      </c>
      <c r="B13" s="426">
        <v>54866.334497106727</v>
      </c>
      <c r="C13" s="426">
        <v>43835.246796846506</v>
      </c>
      <c r="D13" s="426">
        <v>61664.6367152733</v>
      </c>
      <c r="E13" s="426">
        <v>20097.016313999997</v>
      </c>
      <c r="F13" s="426">
        <v>22483.567883956399</v>
      </c>
      <c r="G13" s="426">
        <v>47776.47391375999</v>
      </c>
      <c r="H13" s="426">
        <v>9937.6969269999991</v>
      </c>
      <c r="I13" s="426">
        <v>12020.430468017599</v>
      </c>
      <c r="J13" s="426">
        <v>2209.3872519023403</v>
      </c>
      <c r="K13" s="426">
        <v>143.124223432924</v>
      </c>
      <c r="L13" s="426">
        <v>260660.97304794294</v>
      </c>
      <c r="M13" s="426">
        <v>275033.91499129584</v>
      </c>
      <c r="S13" s="427" t="s">
        <v>779</v>
      </c>
      <c r="T13" s="428">
        <v>13122.157332572999</v>
      </c>
      <c r="U13" s="428">
        <v>13437.693751460301</v>
      </c>
      <c r="V13" s="429">
        <v>2.4046078010667493</v>
      </c>
    </row>
    <row r="14" spans="1:22" ht="13.5" thickBot="1">
      <c r="A14" s="433">
        <v>2013</v>
      </c>
      <c r="B14" s="434">
        <v>53891.086712574004</v>
      </c>
      <c r="C14" s="434">
        <v>44224.273716416006</v>
      </c>
      <c r="D14" s="434">
        <v>61974.129628419701</v>
      </c>
      <c r="E14" s="434">
        <v>20465.606630977869</v>
      </c>
      <c r="F14" s="434">
        <v>22678.647954167012</v>
      </c>
      <c r="G14" s="434">
        <v>47581.092986245239</v>
      </c>
      <c r="H14" s="434">
        <v>10299.991437000053</v>
      </c>
      <c r="I14" s="434">
        <v>11996.208940271927</v>
      </c>
      <c r="J14" s="434">
        <v>2239.4071252401145</v>
      </c>
      <c r="K14" s="434">
        <v>146.55003079999997</v>
      </c>
      <c r="L14" s="434">
        <v>261114.82906579986</v>
      </c>
      <c r="M14" s="434">
        <v>275496.99516211188</v>
      </c>
      <c r="S14" s="427" t="s">
        <v>780</v>
      </c>
      <c r="T14" s="428">
        <v>2400</v>
      </c>
      <c r="U14" s="428">
        <v>2541</v>
      </c>
      <c r="V14" s="429">
        <v>5.875000000000008</v>
      </c>
    </row>
    <row r="15" spans="1:22" ht="13.5" thickBot="1">
      <c r="A15" s="425">
        <v>2014</v>
      </c>
      <c r="B15" s="426">
        <v>53227.874664332419</v>
      </c>
      <c r="C15" s="426">
        <v>44901.049547986579</v>
      </c>
      <c r="D15" s="426">
        <v>63539.82065515461</v>
      </c>
      <c r="E15" s="426">
        <v>21088.570950583406</v>
      </c>
      <c r="F15" s="426">
        <v>23149.820125645401</v>
      </c>
      <c r="G15" s="426">
        <v>48558.955502289478</v>
      </c>
      <c r="H15" s="426">
        <v>10635.238358000002</v>
      </c>
      <c r="I15" s="426">
        <v>12598.428930193</v>
      </c>
      <c r="J15" s="426">
        <v>2309.7019563139961</v>
      </c>
      <c r="K15" s="426">
        <v>150.68933257602001</v>
      </c>
      <c r="L15" s="426">
        <v>265101.32980399189</v>
      </c>
      <c r="M15" s="426">
        <v>280160.15002307494</v>
      </c>
      <c r="S15" s="427" t="s">
        <v>781</v>
      </c>
      <c r="T15" s="428">
        <v>146</v>
      </c>
      <c r="U15" s="428">
        <v>151</v>
      </c>
      <c r="V15" s="429">
        <v>3.4246575342465668</v>
      </c>
    </row>
    <row r="16" spans="1:22" ht="13.5" thickBot="1">
      <c r="A16" s="425">
        <v>2015</v>
      </c>
      <c r="B16" s="426">
        <v>53649</v>
      </c>
      <c r="C16" s="426">
        <v>46587</v>
      </c>
      <c r="D16" s="426">
        <v>65220</v>
      </c>
      <c r="E16" s="426">
        <v>21642.364635698301</v>
      </c>
      <c r="F16" s="426">
        <v>23734.427122595531</v>
      </c>
      <c r="G16" s="426">
        <v>50114.456984899611</v>
      </c>
      <c r="H16" s="426">
        <v>11609.883416999999</v>
      </c>
      <c r="I16" s="426">
        <v>13122.157332572999</v>
      </c>
      <c r="J16" s="426">
        <v>2400</v>
      </c>
      <c r="K16" s="426">
        <v>146</v>
      </c>
      <c r="L16" s="426">
        <v>272557.0402030907</v>
      </c>
      <c r="M16" s="426">
        <v>288224.78666741366</v>
      </c>
      <c r="S16" s="430" t="s">
        <v>767</v>
      </c>
      <c r="T16" s="431">
        <v>288225.19753566373</v>
      </c>
      <c r="U16" s="431">
        <v>298791.77427946712</v>
      </c>
      <c r="V16" s="432">
        <v>3.6660836159184029</v>
      </c>
    </row>
    <row r="17" spans="1:22" ht="18.95" customHeight="1" thickBot="1">
      <c r="A17" s="435" t="s">
        <v>782</v>
      </c>
      <c r="B17" s="436">
        <v>59102.642976763702</v>
      </c>
      <c r="C17" s="436">
        <v>47641.9921629733</v>
      </c>
      <c r="D17" s="437">
        <v>63406.602568711511</v>
      </c>
      <c r="E17" s="436">
        <v>23388.609765898003</v>
      </c>
      <c r="F17" s="436">
        <v>24696.078034525901</v>
      </c>
      <c r="G17" s="436">
        <v>52297.239044134396</v>
      </c>
      <c r="H17" s="436">
        <v>12128.915975</v>
      </c>
      <c r="I17" s="436">
        <v>13437.693751460301</v>
      </c>
      <c r="J17" s="436">
        <v>2540.8754159999999</v>
      </c>
      <c r="K17" s="436">
        <v>151.07721498670006</v>
      </c>
      <c r="L17" s="436">
        <v>282662.08052800677</v>
      </c>
      <c r="M17" s="426">
        <v>298791.72691045381</v>
      </c>
      <c r="S17" s="679" t="s">
        <v>783</v>
      </c>
      <c r="T17" s="679"/>
      <c r="U17" s="679"/>
      <c r="V17" s="679"/>
    </row>
    <row r="18" spans="1:22" ht="27" customHeight="1">
      <c r="A18" s="438" t="s">
        <v>784</v>
      </c>
      <c r="B18" s="416"/>
      <c r="C18" s="416"/>
      <c r="D18" s="416"/>
      <c r="E18" s="416"/>
      <c r="F18" s="416"/>
      <c r="G18" s="416"/>
      <c r="H18" s="416"/>
      <c r="I18" s="416"/>
      <c r="J18" s="416"/>
      <c r="K18" s="416"/>
      <c r="L18" s="416"/>
      <c r="M18" s="416"/>
      <c r="S18" s="680" t="s">
        <v>785</v>
      </c>
      <c r="T18" s="680"/>
      <c r="U18" s="680"/>
      <c r="V18" s="680"/>
    </row>
    <row r="19" spans="1:22" ht="12.95" customHeight="1">
      <c r="A19" s="438" t="s">
        <v>786</v>
      </c>
      <c r="B19" s="416"/>
      <c r="C19" s="416"/>
      <c r="D19" s="416"/>
      <c r="E19" s="416"/>
      <c r="F19" s="416"/>
      <c r="G19" s="416"/>
      <c r="H19" s="416"/>
      <c r="I19" s="416"/>
      <c r="J19" s="416"/>
      <c r="K19" s="416"/>
      <c r="L19" s="416"/>
      <c r="M19" s="416"/>
    </row>
    <row r="22" spans="1:22" ht="13.5">
      <c r="A22" s="415" t="s">
        <v>787</v>
      </c>
      <c r="B22" s="416"/>
      <c r="C22" s="416"/>
      <c r="D22" s="416"/>
      <c r="E22" s="416"/>
      <c r="F22" s="416"/>
      <c r="G22" s="416"/>
      <c r="H22" s="416"/>
      <c r="I22" s="416"/>
      <c r="J22" s="416"/>
      <c r="K22" s="416"/>
      <c r="L22" s="416"/>
      <c r="M22" s="416"/>
      <c r="N22" s="416"/>
      <c r="O22" s="416"/>
      <c r="P22" s="416"/>
    </row>
    <row r="23" spans="1:22" ht="13.5" thickBot="1">
      <c r="A23" s="418" t="s">
        <v>788</v>
      </c>
      <c r="B23" s="416"/>
      <c r="C23" s="416"/>
      <c r="D23" s="416"/>
      <c r="E23" s="416"/>
      <c r="F23" s="419"/>
      <c r="G23" s="416"/>
      <c r="H23" s="416"/>
      <c r="I23" s="416"/>
      <c r="J23" s="416"/>
      <c r="K23" s="416"/>
      <c r="L23" s="416"/>
      <c r="M23" s="416"/>
      <c r="N23" s="416"/>
      <c r="O23" s="416"/>
      <c r="P23" s="416"/>
    </row>
    <row r="24" spans="1:22" ht="13.5" thickBot="1">
      <c r="A24" s="675" t="s">
        <v>527</v>
      </c>
      <c r="B24" s="677" t="s">
        <v>789</v>
      </c>
      <c r="C24" s="677"/>
      <c r="D24" s="677" t="s">
        <v>790</v>
      </c>
      <c r="E24" s="677"/>
      <c r="F24" s="677" t="s">
        <v>791</v>
      </c>
      <c r="G24" s="677"/>
      <c r="H24" s="677" t="s">
        <v>792</v>
      </c>
      <c r="I24" s="677"/>
      <c r="J24" s="677" t="s">
        <v>793</v>
      </c>
      <c r="K24" s="677"/>
      <c r="L24" s="677" t="s">
        <v>794</v>
      </c>
      <c r="M24" s="677"/>
      <c r="N24" s="677" t="s">
        <v>795</v>
      </c>
      <c r="O24" s="677"/>
      <c r="P24" s="416"/>
    </row>
    <row r="25" spans="1:22" ht="23.25" thickBot="1">
      <c r="A25" s="676"/>
      <c r="B25" s="422" t="s">
        <v>796</v>
      </c>
      <c r="C25" s="422" t="s">
        <v>797</v>
      </c>
      <c r="D25" s="422" t="s">
        <v>796</v>
      </c>
      <c r="E25" s="422" t="s">
        <v>797</v>
      </c>
      <c r="F25" s="422" t="s">
        <v>796</v>
      </c>
      <c r="G25" s="422" t="s">
        <v>797</v>
      </c>
      <c r="H25" s="422" t="s">
        <v>796</v>
      </c>
      <c r="I25" s="422" t="s">
        <v>797</v>
      </c>
      <c r="J25" s="422" t="s">
        <v>796</v>
      </c>
      <c r="K25" s="422" t="s">
        <v>797</v>
      </c>
      <c r="L25" s="422" t="s">
        <v>796</v>
      </c>
      <c r="M25" s="422" t="s">
        <v>797</v>
      </c>
      <c r="N25" s="422" t="s">
        <v>796</v>
      </c>
      <c r="O25" s="422" t="s">
        <v>797</v>
      </c>
      <c r="P25" s="416"/>
    </row>
    <row r="26" spans="1:22" ht="13.5" thickBot="1">
      <c r="A26" s="439">
        <v>2004</v>
      </c>
      <c r="B26" s="440">
        <v>260</v>
      </c>
      <c r="C26" s="440">
        <v>1455</v>
      </c>
      <c r="D26" s="440">
        <v>331</v>
      </c>
      <c r="E26" s="440">
        <v>1770</v>
      </c>
      <c r="F26" s="440">
        <v>218</v>
      </c>
      <c r="G26" s="440">
        <v>1813</v>
      </c>
      <c r="H26" s="440">
        <v>111</v>
      </c>
      <c r="I26" s="440">
        <v>718</v>
      </c>
      <c r="J26" s="440">
        <v>93</v>
      </c>
      <c r="K26" s="440">
        <v>604</v>
      </c>
      <c r="L26" s="440">
        <v>303</v>
      </c>
      <c r="M26" s="440">
        <v>1858</v>
      </c>
      <c r="N26" s="440">
        <v>31</v>
      </c>
      <c r="O26" s="440">
        <v>232</v>
      </c>
      <c r="P26" s="416"/>
    </row>
    <row r="27" spans="1:22" ht="13.5" thickBot="1">
      <c r="A27" s="439">
        <v>2005</v>
      </c>
      <c r="B27" s="440">
        <v>260</v>
      </c>
      <c r="C27" s="440">
        <v>1252</v>
      </c>
      <c r="D27" s="440">
        <v>328</v>
      </c>
      <c r="E27" s="440">
        <v>1755</v>
      </c>
      <c r="F27" s="440">
        <v>477</v>
      </c>
      <c r="G27" s="440">
        <v>2376</v>
      </c>
      <c r="H27" s="440">
        <v>96</v>
      </c>
      <c r="I27" s="440">
        <v>732</v>
      </c>
      <c r="J27" s="440">
        <v>75</v>
      </c>
      <c r="K27" s="440">
        <v>548</v>
      </c>
      <c r="L27" s="440">
        <v>308</v>
      </c>
      <c r="M27" s="440">
        <v>1891</v>
      </c>
      <c r="N27" s="440">
        <v>36</v>
      </c>
      <c r="O27" s="440">
        <v>244</v>
      </c>
      <c r="P27" s="416"/>
    </row>
    <row r="28" spans="1:22" ht="13.5" thickBot="1">
      <c r="A28" s="439">
        <v>2006</v>
      </c>
      <c r="B28" s="440">
        <v>260</v>
      </c>
      <c r="C28" s="440">
        <v>1150</v>
      </c>
      <c r="D28" s="440">
        <v>312</v>
      </c>
      <c r="E28" s="440">
        <v>1669</v>
      </c>
      <c r="F28" s="440">
        <v>476</v>
      </c>
      <c r="G28" s="440">
        <v>2335</v>
      </c>
      <c r="H28" s="440">
        <v>106</v>
      </c>
      <c r="I28" s="440">
        <v>717</v>
      </c>
      <c r="J28" s="440">
        <v>84</v>
      </c>
      <c r="K28" s="440">
        <v>509</v>
      </c>
      <c r="L28" s="440">
        <v>267</v>
      </c>
      <c r="M28" s="440">
        <v>1638</v>
      </c>
      <c r="N28" s="440">
        <v>28</v>
      </c>
      <c r="O28" s="440">
        <v>221</v>
      </c>
      <c r="P28" s="416"/>
    </row>
    <row r="29" spans="1:22" ht="13.5" thickBot="1">
      <c r="A29" s="439">
        <v>2007</v>
      </c>
      <c r="B29" s="440">
        <v>222</v>
      </c>
      <c r="C29" s="440">
        <v>1188</v>
      </c>
      <c r="D29" s="440">
        <v>290</v>
      </c>
      <c r="E29" s="440">
        <v>2022</v>
      </c>
      <c r="F29" s="440">
        <v>412</v>
      </c>
      <c r="G29" s="440">
        <v>2680</v>
      </c>
      <c r="H29" s="440">
        <v>136</v>
      </c>
      <c r="I29" s="440">
        <v>703</v>
      </c>
      <c r="J29" s="440">
        <v>99</v>
      </c>
      <c r="K29" s="440">
        <v>527</v>
      </c>
      <c r="L29" s="440">
        <v>314</v>
      </c>
      <c r="M29" s="440">
        <v>1799</v>
      </c>
      <c r="N29" s="440">
        <v>43</v>
      </c>
      <c r="O29" s="440">
        <v>176</v>
      </c>
      <c r="P29" s="416"/>
    </row>
    <row r="30" spans="1:22" ht="13.5" thickBot="1">
      <c r="A30" s="439">
        <v>2008</v>
      </c>
      <c r="B30" s="440">
        <v>195</v>
      </c>
      <c r="C30" s="440">
        <v>1209.29</v>
      </c>
      <c r="D30" s="440">
        <v>278</v>
      </c>
      <c r="E30" s="440">
        <v>1769.49</v>
      </c>
      <c r="F30" s="440">
        <v>341</v>
      </c>
      <c r="G30" s="440">
        <v>2214.5700000000002</v>
      </c>
      <c r="H30" s="440">
        <v>128</v>
      </c>
      <c r="I30" s="440">
        <v>698.33</v>
      </c>
      <c r="J30" s="440">
        <v>89</v>
      </c>
      <c r="K30" s="440">
        <v>518.33000000000004</v>
      </c>
      <c r="L30" s="440">
        <v>303</v>
      </c>
      <c r="M30" s="440">
        <v>1870.93</v>
      </c>
      <c r="N30" s="440">
        <v>28</v>
      </c>
      <c r="O30" s="440">
        <v>180.78</v>
      </c>
      <c r="P30" s="416"/>
    </row>
    <row r="31" spans="1:22" ht="13.5" thickBot="1">
      <c r="A31" s="439">
        <v>2009</v>
      </c>
      <c r="B31" s="440">
        <v>213.97783769896841</v>
      </c>
      <c r="C31" s="440">
        <v>1250.0544088971496</v>
      </c>
      <c r="D31" s="440">
        <v>261.50881565269469</v>
      </c>
      <c r="E31" s="440">
        <v>1685.0270754333872</v>
      </c>
      <c r="F31" s="440">
        <v>338.32088985137494</v>
      </c>
      <c r="G31" s="440">
        <v>2274.0361281738369</v>
      </c>
      <c r="H31" s="440">
        <v>142.39314274875636</v>
      </c>
      <c r="I31" s="440">
        <v>736.75965221850015</v>
      </c>
      <c r="J31" s="440">
        <v>86.436691677098153</v>
      </c>
      <c r="K31" s="440">
        <v>517.02549694786171</v>
      </c>
      <c r="L31" s="440">
        <v>302.35457330627412</v>
      </c>
      <c r="M31" s="440">
        <v>1822.0662012897299</v>
      </c>
      <c r="N31" s="440">
        <v>30.848899443429683</v>
      </c>
      <c r="O31" s="440">
        <v>201.80066922805923</v>
      </c>
      <c r="P31" s="416"/>
    </row>
    <row r="32" spans="1:22" ht="13.5" thickBot="1">
      <c r="A32" s="439">
        <v>2010</v>
      </c>
      <c r="B32" s="440">
        <v>224.34390848014689</v>
      </c>
      <c r="C32" s="440">
        <v>1351.1316219977684</v>
      </c>
      <c r="D32" s="440">
        <v>277.5955702322442</v>
      </c>
      <c r="E32" s="440">
        <v>1751.2604047644484</v>
      </c>
      <c r="F32" s="440">
        <v>369.79173373304303</v>
      </c>
      <c r="G32" s="440">
        <v>2515.1272104411878</v>
      </c>
      <c r="H32" s="440">
        <v>170.03487821304412</v>
      </c>
      <c r="I32" s="440">
        <v>815.08660859084694</v>
      </c>
      <c r="J32" s="440">
        <v>80.294401312330635</v>
      </c>
      <c r="K32" s="440">
        <v>483.7754126893152</v>
      </c>
      <c r="L32" s="440">
        <v>301.78519123524552</v>
      </c>
      <c r="M32" s="440">
        <v>1854.3345456866446</v>
      </c>
      <c r="N32" s="440">
        <v>33.689481989887632</v>
      </c>
      <c r="O32" s="440">
        <v>203.91886007026568</v>
      </c>
      <c r="P32" s="416"/>
    </row>
    <row r="33" spans="1:16" ht="13.5" thickBot="1">
      <c r="A33" s="439">
        <v>2011</v>
      </c>
      <c r="B33" s="440">
        <v>233</v>
      </c>
      <c r="C33" s="440">
        <v>1451.3437941094912</v>
      </c>
      <c r="D33" s="440">
        <v>292</v>
      </c>
      <c r="E33" s="440">
        <v>1881.4255407758037</v>
      </c>
      <c r="F33" s="440">
        <v>368</v>
      </c>
      <c r="G33" s="440">
        <v>2547.3787372714655</v>
      </c>
      <c r="H33" s="440">
        <v>181</v>
      </c>
      <c r="I33" s="440">
        <v>924.62890008568445</v>
      </c>
      <c r="J33" s="440">
        <v>83</v>
      </c>
      <c r="K33" s="440">
        <v>495.75903014793363</v>
      </c>
      <c r="L33" s="440">
        <v>332</v>
      </c>
      <c r="M33" s="440">
        <v>2072.1801943666433</v>
      </c>
      <c r="N33" s="440">
        <v>40</v>
      </c>
      <c r="O33" s="440">
        <v>252.44632261749825</v>
      </c>
      <c r="P33" s="416"/>
    </row>
    <row r="34" spans="1:16" ht="13.5" thickBot="1">
      <c r="A34" s="439">
        <v>2012</v>
      </c>
      <c r="B34" s="440">
        <v>221.78174229263311</v>
      </c>
      <c r="C34" s="440">
        <v>1531.5598469897227</v>
      </c>
      <c r="D34" s="440">
        <v>322.49723896023522</v>
      </c>
      <c r="E34" s="440">
        <v>2071.7839206255071</v>
      </c>
      <c r="F34" s="440">
        <v>450</v>
      </c>
      <c r="G34" s="440">
        <v>2861.1804524337522</v>
      </c>
      <c r="H34" s="440">
        <v>180</v>
      </c>
      <c r="I34" s="440">
        <v>1060.3635395135466</v>
      </c>
      <c r="J34" s="440">
        <v>135</v>
      </c>
      <c r="K34" s="440">
        <v>549.14185388300848</v>
      </c>
      <c r="L34" s="440">
        <v>467.24527675977373</v>
      </c>
      <c r="M34" s="440">
        <v>2095.641050677872</v>
      </c>
      <c r="N34" s="440">
        <v>78</v>
      </c>
      <c r="O34" s="440">
        <v>265.70493728166906</v>
      </c>
      <c r="P34" s="416"/>
    </row>
    <row r="35" spans="1:16" ht="13.5" thickBot="1">
      <c r="A35" s="439">
        <v>2013</v>
      </c>
      <c r="B35" s="440">
        <v>206.06697118355069</v>
      </c>
      <c r="C35" s="440">
        <v>1321.7461036284094</v>
      </c>
      <c r="D35" s="440">
        <v>329.77610659853366</v>
      </c>
      <c r="E35" s="440">
        <v>1866.2944161203634</v>
      </c>
      <c r="F35" s="440">
        <v>450.58011359978036</v>
      </c>
      <c r="G35" s="440">
        <v>2782.9041845018182</v>
      </c>
      <c r="H35" s="440">
        <v>194.07973536844497</v>
      </c>
      <c r="I35" s="440">
        <v>938.25064681287586</v>
      </c>
      <c r="J35" s="440">
        <v>112.11282108726331</v>
      </c>
      <c r="K35" s="440">
        <v>580.22550898018062</v>
      </c>
      <c r="L35" s="440">
        <v>285.48316837392071</v>
      </c>
      <c r="M35" s="440">
        <v>1873.0187715015995</v>
      </c>
      <c r="N35" s="440">
        <v>59.881878908776741</v>
      </c>
      <c r="O35" s="440">
        <v>265.77092699999997</v>
      </c>
      <c r="P35" s="416"/>
    </row>
    <row r="36" spans="1:16" ht="13.5" thickBot="1">
      <c r="A36" s="439">
        <v>2014</v>
      </c>
      <c r="B36" s="440">
        <v>171.78750371856245</v>
      </c>
      <c r="C36" s="440">
        <v>1278.5632701026268</v>
      </c>
      <c r="D36" s="440">
        <v>342.32832399452417</v>
      </c>
      <c r="E36" s="440">
        <v>1899.0279840600126</v>
      </c>
      <c r="F36" s="440">
        <v>425.23384717846125</v>
      </c>
      <c r="G36" s="440">
        <v>2766.1552431213345</v>
      </c>
      <c r="H36" s="440">
        <v>184.68028204516219</v>
      </c>
      <c r="I36" s="440">
        <v>992.38132006455805</v>
      </c>
      <c r="J36" s="440">
        <v>144.57390037606655</v>
      </c>
      <c r="K36" s="440">
        <v>529.87541569922109</v>
      </c>
      <c r="L36" s="440">
        <v>253.37448688976787</v>
      </c>
      <c r="M36" s="440">
        <v>1896.9179623340729</v>
      </c>
      <c r="N36" s="440">
        <v>73.656133985909094</v>
      </c>
      <c r="O36" s="440">
        <v>269.53356200000002</v>
      </c>
      <c r="P36" s="416"/>
    </row>
    <row r="37" spans="1:16" ht="13.5" thickBot="1">
      <c r="A37" s="439">
        <v>2015</v>
      </c>
      <c r="B37" s="440">
        <v>158.55613984345695</v>
      </c>
      <c r="C37" s="440">
        <v>939.59415598151145</v>
      </c>
      <c r="D37" s="440">
        <v>173.69854855419544</v>
      </c>
      <c r="E37" s="440">
        <v>1048.4760789743273</v>
      </c>
      <c r="F37" s="440">
        <v>345.40413472934233</v>
      </c>
      <c r="G37" s="440">
        <v>2117.2373968110001</v>
      </c>
      <c r="H37" s="440">
        <v>123.90816208446358</v>
      </c>
      <c r="I37" s="440">
        <v>612.48551810000004</v>
      </c>
      <c r="J37" s="440">
        <v>83.28344124721049</v>
      </c>
      <c r="K37" s="440">
        <v>352.49066792450003</v>
      </c>
      <c r="L37" s="440">
        <v>252.67033228621767</v>
      </c>
      <c r="M37" s="440">
        <v>1742.1704096244002</v>
      </c>
      <c r="N37" s="440">
        <v>31.099383581171196</v>
      </c>
      <c r="O37" s="440">
        <v>123.43318599999999</v>
      </c>
      <c r="P37" s="416"/>
    </row>
    <row r="38" spans="1:16" ht="13.5" thickBot="1">
      <c r="A38" s="439" t="s">
        <v>782</v>
      </c>
      <c r="B38" s="440">
        <v>373.58757911559042</v>
      </c>
      <c r="C38" s="440">
        <v>2203.5361060935761</v>
      </c>
      <c r="D38" s="440">
        <v>155.39790402711242</v>
      </c>
      <c r="E38" s="440">
        <v>1017.6690193029921</v>
      </c>
      <c r="F38" s="440">
        <v>148.14171663094021</v>
      </c>
      <c r="G38" s="440">
        <v>915.01049386800014</v>
      </c>
      <c r="H38" s="440">
        <v>117.26783884428642</v>
      </c>
      <c r="I38" s="440">
        <v>630.07393689999992</v>
      </c>
      <c r="J38" s="440">
        <v>68.285803093643153</v>
      </c>
      <c r="K38" s="440">
        <v>369.62360623860002</v>
      </c>
      <c r="L38" s="440">
        <v>257.87620519300071</v>
      </c>
      <c r="M38" s="440">
        <v>1635.4870958472995</v>
      </c>
      <c r="N38" s="440">
        <v>21.91247140313817</v>
      </c>
      <c r="O38" s="440">
        <v>148.079654</v>
      </c>
      <c r="P38" s="416"/>
    </row>
    <row r="39" spans="1:16" ht="15">
      <c r="A39" s="441"/>
      <c r="B39" s="441"/>
      <c r="C39" s="441"/>
      <c r="D39" s="441"/>
      <c r="E39" s="441"/>
      <c r="F39" s="441"/>
      <c r="G39" s="441"/>
      <c r="H39" s="441"/>
      <c r="I39" s="441"/>
      <c r="J39" s="441"/>
      <c r="K39" s="441"/>
      <c r="L39" s="441"/>
      <c r="M39" s="441"/>
      <c r="N39" s="441"/>
      <c r="O39" s="441"/>
      <c r="P39" s="416"/>
    </row>
    <row r="40" spans="1:16" ht="15.75" thickBot="1">
      <c r="A40" s="441"/>
      <c r="B40" s="441"/>
      <c r="C40" s="441"/>
      <c r="D40" s="441"/>
      <c r="E40" s="441"/>
      <c r="F40" s="441"/>
      <c r="G40" s="441"/>
      <c r="H40" s="441"/>
      <c r="I40" s="441"/>
      <c r="J40" s="441"/>
      <c r="K40" s="441"/>
      <c r="L40" s="441"/>
      <c r="M40" s="441"/>
      <c r="N40" s="441"/>
      <c r="O40" s="441"/>
      <c r="P40" s="416"/>
    </row>
    <row r="41" spans="1:16" ht="15.75" thickBot="1">
      <c r="A41" s="675" t="s">
        <v>527</v>
      </c>
      <c r="B41" s="670" t="s">
        <v>798</v>
      </c>
      <c r="C41" s="671"/>
      <c r="D41" s="670" t="s">
        <v>799</v>
      </c>
      <c r="E41" s="671"/>
      <c r="F41" s="670" t="s">
        <v>800</v>
      </c>
      <c r="G41" s="671"/>
      <c r="H41" s="677" t="s">
        <v>766</v>
      </c>
      <c r="I41" s="677"/>
      <c r="J41" s="670" t="s">
        <v>767</v>
      </c>
      <c r="K41" s="671"/>
      <c r="L41" s="441"/>
      <c r="M41" s="441"/>
      <c r="N41" s="441"/>
      <c r="O41" s="441"/>
      <c r="P41" s="416"/>
    </row>
    <row r="42" spans="1:16" ht="23.25" thickBot="1">
      <c r="A42" s="676"/>
      <c r="B42" s="422" t="s">
        <v>796</v>
      </c>
      <c r="C42" s="422" t="s">
        <v>797</v>
      </c>
      <c r="D42" s="422" t="s">
        <v>796</v>
      </c>
      <c r="E42" s="422" t="s">
        <v>797</v>
      </c>
      <c r="F42" s="422" t="s">
        <v>796</v>
      </c>
      <c r="G42" s="422" t="s">
        <v>797</v>
      </c>
      <c r="H42" s="422" t="s">
        <v>796</v>
      </c>
      <c r="I42" s="422" t="s">
        <v>797</v>
      </c>
      <c r="J42" s="422" t="s">
        <v>796</v>
      </c>
      <c r="K42" s="422" t="s">
        <v>797</v>
      </c>
      <c r="L42" s="441"/>
      <c r="M42" s="441"/>
      <c r="N42" s="441"/>
      <c r="O42" s="441"/>
      <c r="P42" s="416"/>
    </row>
    <row r="43" spans="1:16" ht="15.75" thickBot="1">
      <c r="A43" s="439">
        <v>2004</v>
      </c>
      <c r="B43" s="440">
        <v>47</v>
      </c>
      <c r="C43" s="440">
        <v>358</v>
      </c>
      <c r="D43" s="440">
        <v>11</v>
      </c>
      <c r="E43" s="440">
        <v>81</v>
      </c>
      <c r="F43" s="440">
        <v>1.49</v>
      </c>
      <c r="G43" s="440">
        <v>10.28</v>
      </c>
      <c r="H43" s="440">
        <v>1347</v>
      </c>
      <c r="I43" s="440">
        <v>8450</v>
      </c>
      <c r="J43" s="440">
        <v>1406.49</v>
      </c>
      <c r="K43" s="440">
        <v>8899.2800000000007</v>
      </c>
      <c r="L43" s="441"/>
      <c r="M43" s="441"/>
      <c r="N43" s="441"/>
      <c r="O43" s="441"/>
      <c r="P43" s="416"/>
    </row>
    <row r="44" spans="1:16" ht="15.75" thickBot="1">
      <c r="A44" s="439">
        <v>2005</v>
      </c>
      <c r="B44" s="440">
        <v>60</v>
      </c>
      <c r="C44" s="440">
        <v>433</v>
      </c>
      <c r="D44" s="440">
        <v>13</v>
      </c>
      <c r="E44" s="440">
        <v>88</v>
      </c>
      <c r="F44" s="440">
        <v>1.6</v>
      </c>
      <c r="G44" s="440">
        <v>10.76</v>
      </c>
      <c r="H44" s="440">
        <v>1580</v>
      </c>
      <c r="I44" s="440">
        <v>8798</v>
      </c>
      <c r="J44" s="440">
        <v>1654.6</v>
      </c>
      <c r="K44" s="440">
        <v>9329.76</v>
      </c>
      <c r="L44" s="441"/>
      <c r="M44" s="441"/>
      <c r="N44" s="441"/>
      <c r="O44" s="441"/>
      <c r="P44" s="416"/>
    </row>
    <row r="45" spans="1:16" ht="15.75" thickBot="1">
      <c r="A45" s="439">
        <v>2006</v>
      </c>
      <c r="B45" s="440">
        <v>56</v>
      </c>
      <c r="C45" s="440">
        <v>412</v>
      </c>
      <c r="D45" s="440">
        <v>14</v>
      </c>
      <c r="E45" s="440">
        <v>89</v>
      </c>
      <c r="F45" s="440">
        <v>1.55</v>
      </c>
      <c r="G45" s="440">
        <v>10.44</v>
      </c>
      <c r="H45" s="440">
        <v>1533</v>
      </c>
      <c r="I45" s="440">
        <v>8239</v>
      </c>
      <c r="J45" s="440">
        <v>1604.55</v>
      </c>
      <c r="K45" s="440">
        <v>8750.44</v>
      </c>
      <c r="L45" s="441"/>
      <c r="M45" s="441"/>
      <c r="N45" s="441"/>
      <c r="O45" s="441"/>
      <c r="P45" s="416"/>
    </row>
    <row r="46" spans="1:16" ht="15.75" thickBot="1">
      <c r="A46" s="439">
        <v>2007</v>
      </c>
      <c r="B46" s="440">
        <v>56</v>
      </c>
      <c r="C46" s="440">
        <v>423</v>
      </c>
      <c r="D46" s="440">
        <v>16</v>
      </c>
      <c r="E46" s="440">
        <v>96</v>
      </c>
      <c r="F46" s="440">
        <v>1.78</v>
      </c>
      <c r="G46" s="440">
        <v>11.96</v>
      </c>
      <c r="H46" s="440">
        <v>1516</v>
      </c>
      <c r="I46" s="440">
        <v>9095</v>
      </c>
      <c r="J46" s="440">
        <v>1589.78</v>
      </c>
      <c r="K46" s="440">
        <v>9625.9599999999991</v>
      </c>
      <c r="L46" s="441"/>
      <c r="M46" s="441"/>
      <c r="N46" s="441"/>
      <c r="O46" s="441"/>
      <c r="P46" s="416"/>
    </row>
    <row r="47" spans="1:16" ht="15.75" thickBot="1">
      <c r="A47" s="439">
        <v>2008</v>
      </c>
      <c r="B47" s="440">
        <v>76</v>
      </c>
      <c r="C47" s="440">
        <v>414.17</v>
      </c>
      <c r="D47" s="440">
        <v>17</v>
      </c>
      <c r="E47" s="440">
        <v>98.42</v>
      </c>
      <c r="F47" s="440">
        <v>2.91</v>
      </c>
      <c r="G47" s="440">
        <v>14.02</v>
      </c>
      <c r="H47" s="440">
        <v>1362</v>
      </c>
      <c r="I47" s="440">
        <v>8461.7200000000012</v>
      </c>
      <c r="J47" s="440">
        <v>1457.91</v>
      </c>
      <c r="K47" s="440">
        <v>8988.3300000000017</v>
      </c>
      <c r="L47" s="441"/>
      <c r="M47" s="441"/>
      <c r="N47" s="441"/>
      <c r="O47" s="441"/>
      <c r="P47" s="416"/>
    </row>
    <row r="48" spans="1:16" ht="15.75" thickBot="1">
      <c r="A48" s="439">
        <v>2009</v>
      </c>
      <c r="B48" s="440">
        <v>73.062364331570379</v>
      </c>
      <c r="C48" s="440">
        <v>414.67797474599996</v>
      </c>
      <c r="D48" s="440">
        <v>18.599773315564274</v>
      </c>
      <c r="E48" s="440">
        <v>102.75820538400001</v>
      </c>
      <c r="F48" s="440">
        <v>2.6606123331281952</v>
      </c>
      <c r="G48" s="440">
        <v>14.007844999999998</v>
      </c>
      <c r="H48" s="440">
        <v>1375.8408503785963</v>
      </c>
      <c r="I48" s="440">
        <v>8486.7696321885251</v>
      </c>
      <c r="J48" s="440">
        <v>1470.163600358859</v>
      </c>
      <c r="K48" s="440">
        <v>9018.2136573185253</v>
      </c>
      <c r="L48" s="441"/>
      <c r="M48" s="441"/>
      <c r="N48" s="441"/>
      <c r="O48" s="441"/>
      <c r="P48" s="416"/>
    </row>
    <row r="49" spans="1:16" ht="15.75" thickBot="1">
      <c r="A49" s="439">
        <v>2010</v>
      </c>
      <c r="B49" s="440">
        <v>81.855739439777068</v>
      </c>
      <c r="C49" s="440">
        <v>403.63047375952289</v>
      </c>
      <c r="D49" s="440">
        <v>18.692777790583474</v>
      </c>
      <c r="E49" s="440">
        <v>102.38116699999999</v>
      </c>
      <c r="F49" s="440">
        <v>2.8847773021894993</v>
      </c>
      <c r="G49" s="440">
        <v>13.853695000000002</v>
      </c>
      <c r="H49" s="440">
        <v>1457.5351651959418</v>
      </c>
      <c r="I49" s="440">
        <v>8974.6346642404787</v>
      </c>
      <c r="J49" s="440">
        <v>1560.968459728492</v>
      </c>
      <c r="K49" s="440">
        <v>9494.5000000000018</v>
      </c>
      <c r="L49" s="441"/>
      <c r="M49" s="441"/>
      <c r="N49" s="441"/>
      <c r="O49" s="441"/>
      <c r="P49" s="416"/>
    </row>
    <row r="50" spans="1:16" ht="15.75" thickBot="1">
      <c r="A50" s="439">
        <v>2011</v>
      </c>
      <c r="B50" s="440">
        <v>78</v>
      </c>
      <c r="C50" s="440">
        <v>396.78867868648058</v>
      </c>
      <c r="D50" s="440">
        <v>17</v>
      </c>
      <c r="E50" s="440">
        <v>95.177829962000004</v>
      </c>
      <c r="F50" s="440">
        <v>3.1018228755489798</v>
      </c>
      <c r="G50" s="440">
        <v>14.437661976999999</v>
      </c>
      <c r="H50" s="440">
        <v>1529</v>
      </c>
      <c r="I50" s="440">
        <v>9625.1625193745185</v>
      </c>
      <c r="J50" s="440">
        <v>1627.101822875549</v>
      </c>
      <c r="K50" s="440">
        <v>10131.566689999998</v>
      </c>
      <c r="L50" s="441"/>
      <c r="M50" s="441"/>
      <c r="N50" s="441"/>
      <c r="O50" s="441"/>
      <c r="P50" s="416"/>
    </row>
    <row r="51" spans="1:16" ht="15.75" thickBot="1">
      <c r="A51" s="439">
        <v>2012</v>
      </c>
      <c r="B51" s="440">
        <v>97</v>
      </c>
      <c r="C51" s="440">
        <v>424.8164299530228</v>
      </c>
      <c r="D51" s="440">
        <v>18</v>
      </c>
      <c r="E51" s="440">
        <v>112.55091087599999</v>
      </c>
      <c r="F51" s="440">
        <v>3.5813461962762836</v>
      </c>
      <c r="G51" s="440">
        <v>15.878343279000001</v>
      </c>
      <c r="H51" s="440">
        <v>1854.5242580126421</v>
      </c>
      <c r="I51" s="440">
        <v>10435.375601405078</v>
      </c>
      <c r="J51" s="440">
        <v>1973.1056042089183</v>
      </c>
      <c r="K51" s="440">
        <v>10988.621285513102</v>
      </c>
      <c r="L51" s="441"/>
      <c r="M51" s="441"/>
      <c r="N51" s="441"/>
      <c r="O51" s="441"/>
      <c r="P51" s="416"/>
    </row>
    <row r="52" spans="1:16" ht="15.75" thickBot="1">
      <c r="A52" s="442">
        <v>2013</v>
      </c>
      <c r="B52" s="443">
        <v>87.937046641793643</v>
      </c>
      <c r="C52" s="443">
        <v>400.64052924376801</v>
      </c>
      <c r="D52" s="443">
        <v>18.674073605507008</v>
      </c>
      <c r="E52" s="443">
        <v>103.07226298500001</v>
      </c>
      <c r="F52" s="443">
        <v>3.2437695405639988</v>
      </c>
      <c r="G52" s="443">
        <v>15.447783328999998</v>
      </c>
      <c r="H52" s="443">
        <v>1637.9807951202704</v>
      </c>
      <c r="I52" s="443">
        <v>9628.2105585452464</v>
      </c>
      <c r="J52" s="443">
        <v>1747.8356849081349</v>
      </c>
      <c r="K52" s="443">
        <v>10147.371134103016</v>
      </c>
      <c r="L52" s="441"/>
      <c r="M52" s="441"/>
      <c r="N52" s="441"/>
      <c r="O52" s="441"/>
      <c r="P52" s="416"/>
    </row>
    <row r="53" spans="1:16" ht="15.75" thickBot="1">
      <c r="A53" s="439">
        <v>2014</v>
      </c>
      <c r="B53" s="440">
        <v>93.823483534629702</v>
      </c>
      <c r="C53" s="440">
        <v>449.33209262377989</v>
      </c>
      <c r="D53" s="440">
        <v>19.015644611844454</v>
      </c>
      <c r="E53" s="440">
        <v>106.61525935647117</v>
      </c>
      <c r="F53" s="440">
        <v>3.794249699826385</v>
      </c>
      <c r="G53" s="440">
        <v>15.611015662892232</v>
      </c>
      <c r="H53" s="440">
        <v>1595.6344781884536</v>
      </c>
      <c r="I53" s="440">
        <v>9632.4547573818254</v>
      </c>
      <c r="J53" s="440">
        <v>1712.2678560347542</v>
      </c>
      <c r="K53" s="440">
        <v>10204.013125024969</v>
      </c>
      <c r="L53" s="441"/>
      <c r="M53" s="441"/>
      <c r="N53" s="441"/>
      <c r="O53" s="441"/>
      <c r="P53" s="416"/>
    </row>
    <row r="54" spans="1:16" ht="15.75" thickBot="1">
      <c r="A54" s="439">
        <v>2015</v>
      </c>
      <c r="B54" s="440">
        <v>80.997262192703602</v>
      </c>
      <c r="C54" s="440">
        <v>405.12781700000005</v>
      </c>
      <c r="D54" s="440">
        <v>19.782479470237089</v>
      </c>
      <c r="E54" s="440">
        <v>104.848462728</v>
      </c>
      <c r="F54" s="440">
        <v>2.5872418295733333</v>
      </c>
      <c r="G54" s="440">
        <v>13.860224087000002</v>
      </c>
      <c r="H54" s="440">
        <v>1168.6201423260577</v>
      </c>
      <c r="I54" s="440">
        <v>6935.8874134157386</v>
      </c>
      <c r="J54" s="440">
        <v>1271.9871258185717</v>
      </c>
      <c r="K54" s="440">
        <v>7459.7239172307382</v>
      </c>
      <c r="L54" s="441"/>
      <c r="M54" s="441"/>
      <c r="N54" s="441"/>
      <c r="O54" s="441"/>
      <c r="P54" s="416"/>
    </row>
    <row r="55" spans="1:16" ht="15.75" thickBot="1">
      <c r="A55" s="439" t="s">
        <v>782</v>
      </c>
      <c r="B55" s="440">
        <v>74.556172974231686</v>
      </c>
      <c r="C55" s="440">
        <v>375.0975123553618</v>
      </c>
      <c r="D55" s="440">
        <v>19.2</v>
      </c>
      <c r="E55" s="440">
        <v>106.98319941699999</v>
      </c>
      <c r="F55" s="440">
        <v>2.613114247869067</v>
      </c>
      <c r="G55" s="440">
        <v>13.6089504773333</v>
      </c>
      <c r="H55" s="440">
        <v>1055.6297537600258</v>
      </c>
      <c r="I55" s="440">
        <v>6919.4799122504674</v>
      </c>
      <c r="J55" s="440">
        <v>1151.9990409821266</v>
      </c>
      <c r="K55" s="440">
        <v>7415.1695745001625</v>
      </c>
      <c r="L55" s="441"/>
      <c r="M55" s="441"/>
      <c r="N55" s="441"/>
      <c r="O55" s="441"/>
      <c r="P55" s="416"/>
    </row>
    <row r="56" spans="1:16">
      <c r="A56" s="438" t="s">
        <v>801</v>
      </c>
      <c r="B56" s="416"/>
      <c r="C56" s="416"/>
      <c r="D56" s="416"/>
      <c r="E56" s="416"/>
      <c r="F56" s="416"/>
      <c r="G56" s="416"/>
      <c r="H56" s="416"/>
      <c r="I56" s="416"/>
      <c r="J56" s="416"/>
      <c r="K56" s="416"/>
      <c r="L56" s="416"/>
      <c r="M56" s="416"/>
      <c r="N56" s="416"/>
      <c r="O56" s="416"/>
      <c r="P56" s="416"/>
    </row>
    <row r="57" spans="1:16">
      <c r="A57" s="438" t="s">
        <v>786</v>
      </c>
      <c r="B57" s="416"/>
      <c r="C57" s="416"/>
      <c r="D57" s="416"/>
      <c r="E57" s="416"/>
      <c r="F57" s="416"/>
      <c r="G57" s="416"/>
      <c r="H57" s="416"/>
      <c r="I57" s="416"/>
      <c r="J57" s="416"/>
      <c r="K57" s="416"/>
      <c r="L57" s="416"/>
      <c r="M57" s="416"/>
      <c r="N57" s="416"/>
      <c r="O57" s="416"/>
      <c r="P57" s="416"/>
    </row>
    <row r="58" spans="1:16">
      <c r="A58" s="416"/>
      <c r="B58" s="416"/>
      <c r="C58" s="416"/>
      <c r="D58" s="416"/>
      <c r="E58" s="416"/>
      <c r="F58" s="416"/>
      <c r="G58" s="416"/>
      <c r="H58" s="416"/>
      <c r="I58" s="416"/>
      <c r="J58" s="416"/>
      <c r="K58" s="416"/>
      <c r="L58" s="416"/>
      <c r="M58" s="416"/>
      <c r="N58" s="416"/>
      <c r="O58" s="416"/>
      <c r="P58" s="416"/>
    </row>
    <row r="61" spans="1:16" ht="14.25">
      <c r="A61" s="415" t="s">
        <v>802</v>
      </c>
      <c r="B61" s="416"/>
      <c r="C61" s="416"/>
      <c r="D61" s="416"/>
      <c r="E61" s="416"/>
      <c r="F61" s="416"/>
      <c r="G61" s="416"/>
      <c r="H61" s="416"/>
      <c r="I61" s="416"/>
      <c r="J61" s="416"/>
      <c r="K61" s="416"/>
      <c r="L61" s="416"/>
      <c r="M61" s="416"/>
    </row>
    <row r="62" spans="1:16">
      <c r="A62" s="418" t="s">
        <v>755</v>
      </c>
      <c r="B62" s="416"/>
      <c r="C62" s="416"/>
      <c r="D62" s="416"/>
      <c r="E62" s="416"/>
      <c r="F62" s="419"/>
      <c r="G62" s="416"/>
      <c r="H62" s="416"/>
      <c r="I62" s="416"/>
      <c r="J62" s="416"/>
      <c r="K62" s="416"/>
      <c r="L62" s="416"/>
      <c r="M62" s="416"/>
    </row>
    <row r="63" spans="1:16" ht="45.75" thickBot="1">
      <c r="A63" s="444" t="s">
        <v>527</v>
      </c>
      <c r="B63" s="444" t="s">
        <v>756</v>
      </c>
      <c r="C63" s="444" t="s">
        <v>757</v>
      </c>
      <c r="D63" s="444" t="s">
        <v>758</v>
      </c>
      <c r="E63" s="444" t="s">
        <v>759</v>
      </c>
      <c r="F63" s="444" t="s">
        <v>760</v>
      </c>
      <c r="G63" s="444" t="s">
        <v>761</v>
      </c>
      <c r="H63" s="444" t="s">
        <v>762</v>
      </c>
      <c r="I63" s="444" t="s">
        <v>763</v>
      </c>
      <c r="J63" s="444" t="s">
        <v>803</v>
      </c>
      <c r="K63" s="444" t="s">
        <v>765</v>
      </c>
      <c r="L63" s="444" t="s">
        <v>766</v>
      </c>
      <c r="M63" s="444" t="s">
        <v>767</v>
      </c>
    </row>
    <row r="64" spans="1:16" ht="13.5" thickBot="1">
      <c r="A64" s="439">
        <v>2004</v>
      </c>
      <c r="B64" s="440">
        <v>32479</v>
      </c>
      <c r="C64" s="440">
        <v>26746</v>
      </c>
      <c r="D64" s="440">
        <v>37558</v>
      </c>
      <c r="E64" s="440">
        <v>12318</v>
      </c>
      <c r="F64" s="440">
        <v>14390</v>
      </c>
      <c r="G64" s="440">
        <v>31641</v>
      </c>
      <c r="H64" s="440">
        <v>5777</v>
      </c>
      <c r="I64" s="440">
        <v>8921</v>
      </c>
      <c r="J64" s="440">
        <v>1130.9999999999998</v>
      </c>
      <c r="K64" s="440">
        <v>82.140000000000015</v>
      </c>
      <c r="L64" s="440">
        <v>160909</v>
      </c>
      <c r="M64" s="440">
        <v>171043.14</v>
      </c>
    </row>
    <row r="65" spans="1:13" ht="13.5" thickBot="1">
      <c r="A65" s="439">
        <v>2005</v>
      </c>
      <c r="B65" s="440">
        <v>33275</v>
      </c>
      <c r="C65" s="440">
        <v>28159</v>
      </c>
      <c r="D65" s="440">
        <v>39396</v>
      </c>
      <c r="E65" s="440">
        <v>12975</v>
      </c>
      <c r="F65" s="440">
        <v>15434.369999999999</v>
      </c>
      <c r="G65" s="440">
        <v>32478</v>
      </c>
      <c r="H65" s="440">
        <v>5927</v>
      </c>
      <c r="I65" s="440">
        <v>8981</v>
      </c>
      <c r="J65" s="440">
        <v>1239</v>
      </c>
      <c r="K65" s="440">
        <v>81.699999999999989</v>
      </c>
      <c r="L65" s="440">
        <v>167644.37</v>
      </c>
      <c r="M65" s="440">
        <v>177946.07</v>
      </c>
    </row>
    <row r="66" spans="1:13" ht="13.5" thickBot="1">
      <c r="A66" s="439">
        <v>2006</v>
      </c>
      <c r="B66" s="440">
        <v>33517</v>
      </c>
      <c r="C66" s="440">
        <v>29236</v>
      </c>
      <c r="D66" s="440">
        <v>40577</v>
      </c>
      <c r="E66" s="440">
        <v>13365</v>
      </c>
      <c r="F66" s="440">
        <v>15860.326000000001</v>
      </c>
      <c r="G66" s="440">
        <v>34314</v>
      </c>
      <c r="H66" s="440">
        <v>6365.8339999999998</v>
      </c>
      <c r="I66" s="440">
        <v>9622</v>
      </c>
      <c r="J66" s="440">
        <v>1365</v>
      </c>
      <c r="K66" s="440">
        <v>85.723000000000013</v>
      </c>
      <c r="L66" s="440">
        <v>173235.16</v>
      </c>
      <c r="M66" s="440">
        <v>184307.883</v>
      </c>
    </row>
    <row r="67" spans="1:13" ht="13.5" thickBot="1">
      <c r="A67" s="439">
        <v>2007</v>
      </c>
      <c r="B67" s="440">
        <v>33879</v>
      </c>
      <c r="C67" s="440">
        <v>30257</v>
      </c>
      <c r="D67" s="440">
        <v>42836</v>
      </c>
      <c r="E67" s="440">
        <v>13920</v>
      </c>
      <c r="F67" s="440">
        <v>16321.423999999999</v>
      </c>
      <c r="G67" s="440">
        <v>34775</v>
      </c>
      <c r="H67" s="440">
        <v>6992.4400000000005</v>
      </c>
      <c r="I67" s="440">
        <v>9755</v>
      </c>
      <c r="J67" s="440">
        <v>1481</v>
      </c>
      <c r="K67" s="440">
        <v>98.298000000000002</v>
      </c>
      <c r="L67" s="440">
        <v>178980.864</v>
      </c>
      <c r="M67" s="440">
        <v>190315.16200000001</v>
      </c>
    </row>
    <row r="68" spans="1:13" ht="13.5" thickBot="1">
      <c r="A68" s="439">
        <v>2008</v>
      </c>
      <c r="B68" s="440">
        <v>34372.044854395019</v>
      </c>
      <c r="C68" s="440">
        <v>31005.356910621194</v>
      </c>
      <c r="D68" s="440">
        <v>43585.682592133278</v>
      </c>
      <c r="E68" s="440">
        <v>13971.886318999999</v>
      </c>
      <c r="F68" s="440">
        <v>16241.058989224131</v>
      </c>
      <c r="G68" s="440">
        <v>35369.518117021391</v>
      </c>
      <c r="H68" s="440">
        <v>7483.2432610000005</v>
      </c>
      <c r="I68" s="440">
        <v>9943.59</v>
      </c>
      <c r="J68" s="440">
        <v>1665.308</v>
      </c>
      <c r="K68" s="440">
        <v>106.723</v>
      </c>
      <c r="L68" s="440">
        <v>182028.791043395</v>
      </c>
      <c r="M68" s="440">
        <v>193744.41204339499</v>
      </c>
    </row>
    <row r="69" spans="1:13" ht="13.5" thickBot="1">
      <c r="A69" s="439">
        <v>2009</v>
      </c>
      <c r="B69" s="440">
        <v>34199.360156005358</v>
      </c>
      <c r="C69" s="440">
        <v>31049.968705346299</v>
      </c>
      <c r="D69" s="440">
        <v>42681.186847246252</v>
      </c>
      <c r="E69" s="440">
        <v>14199.544801427062</v>
      </c>
      <c r="F69" s="440">
        <v>16246.175981136235</v>
      </c>
      <c r="G69" s="440">
        <v>34658.706345036022</v>
      </c>
      <c r="H69" s="440">
        <v>7721.193230865696</v>
      </c>
      <c r="I69" s="440">
        <v>9720.0985259802801</v>
      </c>
      <c r="J69" s="440">
        <v>1718.6335252217186</v>
      </c>
      <c r="K69" s="440">
        <v>108.77106142931011</v>
      </c>
      <c r="L69" s="440">
        <v>180756.13606706291</v>
      </c>
      <c r="M69" s="440">
        <v>192303.63917969423</v>
      </c>
    </row>
    <row r="70" spans="1:13" ht="13.5" thickBot="1">
      <c r="A70" s="439">
        <v>2010</v>
      </c>
      <c r="B70" s="440">
        <v>34788.609677430868</v>
      </c>
      <c r="C70" s="440">
        <v>31734.442804364888</v>
      </c>
      <c r="D70" s="440">
        <v>45143.576219637427</v>
      </c>
      <c r="E70" s="440">
        <v>14567.052353619865</v>
      </c>
      <c r="F70" s="440">
        <v>17052.049497</v>
      </c>
      <c r="G70" s="440">
        <v>37261.117127665246</v>
      </c>
      <c r="H70" s="440">
        <v>7732.0229137125707</v>
      </c>
      <c r="I70" s="440">
        <v>9605.4156949999997</v>
      </c>
      <c r="J70" s="440">
        <v>1722.4250359999999</v>
      </c>
      <c r="K70" s="440">
        <v>107.207596</v>
      </c>
      <c r="L70" s="440">
        <v>188278.87059343085</v>
      </c>
      <c r="M70" s="440">
        <v>199713.91892043085</v>
      </c>
    </row>
    <row r="71" spans="1:13" ht="13.5" thickBot="1">
      <c r="A71" s="439">
        <v>2011</v>
      </c>
      <c r="B71" s="440">
        <v>36540.020805507338</v>
      </c>
      <c r="C71" s="440">
        <v>33567.12304138441</v>
      </c>
      <c r="D71" s="440">
        <v>48599.068325482018</v>
      </c>
      <c r="E71" s="440">
        <v>16264.2529254</v>
      </c>
      <c r="F71" s="440">
        <v>18339.691733631855</v>
      </c>
      <c r="G71" s="440">
        <v>40608.064869856047</v>
      </c>
      <c r="H71" s="440">
        <v>8141.56378700191</v>
      </c>
      <c r="I71" s="440">
        <v>10044.10094</v>
      </c>
      <c r="J71" s="440">
        <v>1882.0473739999995</v>
      </c>
      <c r="K71" s="440">
        <v>111.5517796</v>
      </c>
      <c r="L71" s="440">
        <v>202059.78548826359</v>
      </c>
      <c r="M71" s="440">
        <v>214097.48558186358</v>
      </c>
    </row>
    <row r="72" spans="1:13" ht="13.5" thickBot="1">
      <c r="A72" s="439">
        <v>2012</v>
      </c>
      <c r="B72" s="440">
        <v>37792.447925499997</v>
      </c>
      <c r="C72" s="440">
        <v>34835.623348729474</v>
      </c>
      <c r="D72" s="440">
        <v>49959.477330468035</v>
      </c>
      <c r="E72" s="440">
        <v>16894.99396</v>
      </c>
      <c r="F72" s="440">
        <v>18655.988375356574</v>
      </c>
      <c r="G72" s="440">
        <v>40941.162463872926</v>
      </c>
      <c r="H72" s="440">
        <v>8353.7601369999993</v>
      </c>
      <c r="I72" s="440">
        <v>10513.867529000001</v>
      </c>
      <c r="J72" s="440">
        <v>1932.3011510000001</v>
      </c>
      <c r="K72" s="440">
        <v>115.225324</v>
      </c>
      <c r="L72" s="440">
        <v>207433.453540927</v>
      </c>
      <c r="M72" s="440">
        <v>219994.847544927</v>
      </c>
    </row>
    <row r="73" spans="1:13" ht="13.5" thickBot="1">
      <c r="A73" s="442">
        <v>2013</v>
      </c>
      <c r="B73" s="443">
        <v>38818.218953065909</v>
      </c>
      <c r="C73" s="443">
        <v>35292.423739585473</v>
      </c>
      <c r="D73" s="443">
        <v>50427.83425609074</v>
      </c>
      <c r="E73" s="443">
        <v>17262.706020266833</v>
      </c>
      <c r="F73" s="443">
        <v>18742.502761576601</v>
      </c>
      <c r="G73" s="443">
        <v>40988.73048821892</v>
      </c>
      <c r="H73" s="443">
        <v>8659.8016004304118</v>
      </c>
      <c r="I73" s="443">
        <v>10554.009274</v>
      </c>
      <c r="J73" s="443">
        <v>1964.7983550000001</v>
      </c>
      <c r="K73" s="443">
        <v>118.366524</v>
      </c>
      <c r="L73" s="443">
        <v>210192.21781923488</v>
      </c>
      <c r="M73" s="443">
        <v>222829.39197223491</v>
      </c>
    </row>
    <row r="74" spans="1:13" ht="13.5" thickBot="1">
      <c r="A74" s="439">
        <v>2014</v>
      </c>
      <c r="B74" s="440">
        <v>39064.012713101896</v>
      </c>
      <c r="C74" s="440">
        <v>35986.148756227456</v>
      </c>
      <c r="D74" s="440">
        <v>51951.534099900833</v>
      </c>
      <c r="E74" s="440">
        <v>17796.485680469101</v>
      </c>
      <c r="F74" s="440">
        <v>19596.14862715645</v>
      </c>
      <c r="G74" s="440">
        <v>41946.820629000002</v>
      </c>
      <c r="H74" s="440">
        <v>9031.7352690000007</v>
      </c>
      <c r="I74" s="440">
        <v>11121.94414</v>
      </c>
      <c r="J74" s="440">
        <v>2015.955432</v>
      </c>
      <c r="K74" s="440">
        <v>123.77581699999999</v>
      </c>
      <c r="L74" s="440">
        <v>215372.88577485573</v>
      </c>
      <c r="M74" s="440">
        <v>228634.56116385572</v>
      </c>
    </row>
    <row r="75" spans="1:13" ht="13.5" thickBot="1">
      <c r="A75" s="439">
        <v>2015</v>
      </c>
      <c r="B75" s="440">
        <v>40363.937622400001</v>
      </c>
      <c r="C75" s="440">
        <v>37285.963306600002</v>
      </c>
      <c r="D75" s="440">
        <v>53883.824818852008</v>
      </c>
      <c r="E75" s="440">
        <v>18497.038582000001</v>
      </c>
      <c r="F75" s="440">
        <v>20367.627277</v>
      </c>
      <c r="G75" s="440">
        <v>43231.328815000001</v>
      </c>
      <c r="H75" s="440">
        <v>9730.4204590000008</v>
      </c>
      <c r="I75" s="440">
        <v>11617.889118999999</v>
      </c>
      <c r="J75" s="440">
        <v>2097.7083419999999</v>
      </c>
      <c r="K75" s="440">
        <v>123.672203</v>
      </c>
      <c r="L75" s="440">
        <v>223360.14088085201</v>
      </c>
      <c r="M75" s="440">
        <v>237199.41054485203</v>
      </c>
    </row>
    <row r="76" spans="1:13" ht="13.5" thickBot="1">
      <c r="A76" s="439" t="s">
        <v>804</v>
      </c>
      <c r="B76" s="440">
        <v>44977.561721200007</v>
      </c>
      <c r="C76" s="440">
        <v>38419.398450799999</v>
      </c>
      <c r="D76" s="440">
        <v>54339.879417999997</v>
      </c>
      <c r="E76" s="440">
        <v>20016.630803</v>
      </c>
      <c r="F76" s="440">
        <v>21231.292374000001</v>
      </c>
      <c r="G76" s="440">
        <v>44498.183797999998</v>
      </c>
      <c r="H76" s="440">
        <v>10342.088315999999</v>
      </c>
      <c r="I76" s="440">
        <v>12004.642964000002</v>
      </c>
      <c r="J76" s="440">
        <v>2239.0993659999999</v>
      </c>
      <c r="K76" s="440">
        <v>123.17010099999999</v>
      </c>
      <c r="L76" s="440">
        <v>233825.034881</v>
      </c>
      <c r="M76" s="440">
        <v>248191.947312</v>
      </c>
    </row>
    <row r="77" spans="1:13">
      <c r="A77" s="438" t="s">
        <v>805</v>
      </c>
      <c r="B77" s="416"/>
      <c r="C77" s="416"/>
      <c r="D77" s="416"/>
      <c r="E77" s="416"/>
      <c r="F77" s="416"/>
      <c r="G77" s="416"/>
      <c r="H77" s="416"/>
      <c r="I77" s="416"/>
      <c r="J77" s="416"/>
      <c r="K77" s="416"/>
      <c r="L77" s="416"/>
      <c r="M77" s="416"/>
    </row>
    <row r="78" spans="1:13">
      <c r="A78" s="438" t="s">
        <v>786</v>
      </c>
      <c r="B78" s="416"/>
      <c r="C78" s="416"/>
      <c r="D78" s="416"/>
      <c r="E78" s="416"/>
      <c r="F78" s="416"/>
      <c r="G78" s="416"/>
      <c r="H78" s="416"/>
      <c r="I78" s="416"/>
      <c r="J78" s="416"/>
      <c r="K78" s="416"/>
      <c r="L78" s="416"/>
      <c r="M78" s="416"/>
    </row>
    <row r="79" spans="1:13">
      <c r="A79" s="416"/>
      <c r="B79" s="416"/>
      <c r="C79" s="416"/>
      <c r="D79" s="416"/>
      <c r="E79" s="416"/>
      <c r="F79" s="416"/>
      <c r="G79" s="416"/>
      <c r="H79" s="416"/>
      <c r="I79" s="416"/>
      <c r="J79" s="416"/>
      <c r="K79" s="416"/>
      <c r="L79" s="416"/>
      <c r="M79" s="416"/>
    </row>
    <row r="80" spans="1:13">
      <c r="A80" s="416"/>
      <c r="B80" s="416"/>
      <c r="C80" s="416"/>
      <c r="D80" s="416"/>
      <c r="E80" s="416"/>
      <c r="F80" s="416"/>
      <c r="G80" s="416"/>
      <c r="H80" s="416"/>
      <c r="I80" s="416"/>
      <c r="J80" s="416"/>
      <c r="K80" s="416"/>
      <c r="L80" s="416"/>
      <c r="M80" s="416"/>
    </row>
    <row r="83" spans="1:13" ht="13.5">
      <c r="A83" s="415" t="s">
        <v>806</v>
      </c>
      <c r="B83" s="416"/>
      <c r="C83" s="416"/>
      <c r="D83" s="416"/>
      <c r="E83" s="416"/>
      <c r="F83" s="416"/>
      <c r="G83" s="416"/>
      <c r="H83" s="416"/>
      <c r="I83" s="416"/>
      <c r="J83" s="416"/>
      <c r="K83" s="416"/>
      <c r="L83" s="416"/>
      <c r="M83" s="416"/>
    </row>
    <row r="84" spans="1:13">
      <c r="A84" s="418" t="s">
        <v>755</v>
      </c>
      <c r="B84" s="416"/>
      <c r="C84" s="416"/>
      <c r="D84" s="416"/>
      <c r="E84" s="416"/>
      <c r="F84" s="419"/>
      <c r="G84" s="416"/>
      <c r="H84" s="416"/>
      <c r="I84" s="416"/>
      <c r="J84" s="416"/>
      <c r="K84" s="416"/>
      <c r="L84" s="416"/>
      <c r="M84" s="416"/>
    </row>
    <row r="85" spans="1:13" ht="45.75" thickBot="1">
      <c r="A85" s="444" t="s">
        <v>527</v>
      </c>
      <c r="B85" s="444" t="s">
        <v>756</v>
      </c>
      <c r="C85" s="444" t="s">
        <v>757</v>
      </c>
      <c r="D85" s="444" t="s">
        <v>758</v>
      </c>
      <c r="E85" s="444" t="s">
        <v>759</v>
      </c>
      <c r="F85" s="444" t="s">
        <v>760</v>
      </c>
      <c r="G85" s="444" t="s">
        <v>761</v>
      </c>
      <c r="H85" s="444" t="s">
        <v>762</v>
      </c>
      <c r="I85" s="444" t="s">
        <v>763</v>
      </c>
      <c r="J85" s="444" t="s">
        <v>764</v>
      </c>
      <c r="K85" s="444" t="s">
        <v>765</v>
      </c>
      <c r="L85" s="444" t="s">
        <v>766</v>
      </c>
      <c r="M85" s="444" t="s">
        <v>767</v>
      </c>
    </row>
    <row r="86" spans="1:13" ht="13.5" thickBot="1">
      <c r="A86" s="439">
        <v>2004</v>
      </c>
      <c r="B86" s="440">
        <v>1319</v>
      </c>
      <c r="C86" s="440">
        <v>770</v>
      </c>
      <c r="D86" s="440">
        <v>1353</v>
      </c>
      <c r="E86" s="440">
        <v>6</v>
      </c>
      <c r="F86" s="440">
        <v>977</v>
      </c>
      <c r="G86" s="440">
        <v>3666</v>
      </c>
      <c r="H86" s="440">
        <v>36</v>
      </c>
      <c r="I86" s="440">
        <v>53</v>
      </c>
      <c r="J86" s="440">
        <v>0</v>
      </c>
      <c r="K86" s="440">
        <v>0</v>
      </c>
      <c r="L86" s="440">
        <v>8127</v>
      </c>
      <c r="M86" s="440">
        <v>8180</v>
      </c>
    </row>
    <row r="87" spans="1:13" ht="13.5" thickBot="1">
      <c r="A87" s="439">
        <v>2005</v>
      </c>
      <c r="B87" s="440">
        <v>1479</v>
      </c>
      <c r="C87" s="440">
        <v>855</v>
      </c>
      <c r="D87" s="440">
        <v>1811</v>
      </c>
      <c r="E87" s="440">
        <v>1</v>
      </c>
      <c r="F87" s="440">
        <v>1314</v>
      </c>
      <c r="G87" s="440">
        <v>3393</v>
      </c>
      <c r="H87" s="440">
        <v>34</v>
      </c>
      <c r="I87" s="440">
        <v>0</v>
      </c>
      <c r="J87" s="440">
        <v>0</v>
      </c>
      <c r="K87" s="440">
        <v>0</v>
      </c>
      <c r="L87" s="440">
        <v>8887</v>
      </c>
      <c r="M87" s="440">
        <v>8887</v>
      </c>
    </row>
    <row r="88" spans="1:13" ht="13.5" thickBot="1">
      <c r="A88" s="439">
        <v>2006</v>
      </c>
      <c r="B88" s="440">
        <v>1633</v>
      </c>
      <c r="C88" s="440">
        <v>1073</v>
      </c>
      <c r="D88" s="440">
        <v>1693</v>
      </c>
      <c r="E88" s="440">
        <v>9</v>
      </c>
      <c r="F88" s="440">
        <v>1425</v>
      </c>
      <c r="G88" s="440">
        <v>3850</v>
      </c>
      <c r="H88" s="440">
        <v>22</v>
      </c>
      <c r="I88" s="440">
        <v>0</v>
      </c>
      <c r="J88" s="440">
        <v>0</v>
      </c>
      <c r="K88" s="440">
        <v>0</v>
      </c>
      <c r="L88" s="440">
        <v>9705</v>
      </c>
      <c r="M88" s="440">
        <v>9705</v>
      </c>
    </row>
    <row r="89" spans="1:13" ht="13.5" thickBot="1">
      <c r="A89" s="439">
        <v>2007</v>
      </c>
      <c r="B89" s="440">
        <v>1681</v>
      </c>
      <c r="C89" s="440">
        <v>1096</v>
      </c>
      <c r="D89" s="440">
        <v>2298</v>
      </c>
      <c r="E89" s="440">
        <v>13</v>
      </c>
      <c r="F89" s="440">
        <v>1480</v>
      </c>
      <c r="G89" s="440">
        <v>4022</v>
      </c>
      <c r="H89" s="440">
        <v>37</v>
      </c>
      <c r="I89" s="440">
        <v>0</v>
      </c>
      <c r="J89" s="440">
        <v>0</v>
      </c>
      <c r="K89" s="440">
        <v>0</v>
      </c>
      <c r="L89" s="440">
        <v>10627</v>
      </c>
      <c r="M89" s="440">
        <v>10627</v>
      </c>
    </row>
    <row r="90" spans="1:13" ht="13.5" thickBot="1">
      <c r="A90" s="439">
        <v>2008</v>
      </c>
      <c r="B90" s="440">
        <v>1947.1330387900321</v>
      </c>
      <c r="C90" s="440">
        <v>1141.7439106211934</v>
      </c>
      <c r="D90" s="440">
        <v>2267.9695921332809</v>
      </c>
      <c r="E90" s="440">
        <v>12.943319000000001</v>
      </c>
      <c r="F90" s="440">
        <v>1450.5609892241323</v>
      </c>
      <c r="G90" s="440">
        <v>3934.394117021393</v>
      </c>
      <c r="H90" s="440">
        <v>17.021261000000003</v>
      </c>
      <c r="I90" s="440">
        <v>0</v>
      </c>
      <c r="J90" s="440">
        <v>0</v>
      </c>
      <c r="K90" s="440">
        <v>0</v>
      </c>
      <c r="L90" s="440">
        <v>10771.766227790031</v>
      </c>
      <c r="M90" s="440">
        <v>10771.766227790031</v>
      </c>
    </row>
    <row r="91" spans="1:13" ht="13.5" thickBot="1">
      <c r="A91" s="439">
        <v>2009</v>
      </c>
      <c r="B91" s="440">
        <v>1923.2173010000001</v>
      </c>
      <c r="C91" s="440">
        <v>1321.6150863561118</v>
      </c>
      <c r="D91" s="440">
        <v>2542.7906507899143</v>
      </c>
      <c r="E91" s="440">
        <v>68.881422999999998</v>
      </c>
      <c r="F91" s="440">
        <v>979.43211760379791</v>
      </c>
      <c r="G91" s="440">
        <v>3826.3651769444232</v>
      </c>
      <c r="H91" s="440">
        <v>41.222065999999998</v>
      </c>
      <c r="I91" s="440">
        <v>0</v>
      </c>
      <c r="J91" s="440">
        <v>0</v>
      </c>
      <c r="K91" s="440">
        <v>0</v>
      </c>
      <c r="L91" s="440">
        <v>10703.523821694247</v>
      </c>
      <c r="M91" s="440">
        <v>10703.523821694247</v>
      </c>
    </row>
    <row r="92" spans="1:13" ht="13.5" thickBot="1">
      <c r="A92" s="439">
        <v>2010</v>
      </c>
      <c r="B92" s="440">
        <v>1473.0332244308654</v>
      </c>
      <c r="C92" s="440">
        <v>1422.7550703648924</v>
      </c>
      <c r="D92" s="440">
        <v>2693.4062236374239</v>
      </c>
      <c r="E92" s="440">
        <v>289.99663761986596</v>
      </c>
      <c r="F92" s="440">
        <v>1640.9872829999999</v>
      </c>
      <c r="G92" s="440">
        <v>4252.423156665247</v>
      </c>
      <c r="H92" s="440">
        <v>109.67253071256999</v>
      </c>
      <c r="I92" s="440">
        <v>17.147421999999999</v>
      </c>
      <c r="J92" s="440">
        <v>0</v>
      </c>
      <c r="K92" s="440">
        <v>0</v>
      </c>
      <c r="L92" s="440">
        <v>11882.274126430866</v>
      </c>
      <c r="M92" s="440">
        <v>11899.421548430866</v>
      </c>
    </row>
    <row r="93" spans="1:13" ht="13.5" thickBot="1">
      <c r="A93" s="439">
        <v>2011</v>
      </c>
      <c r="B93" s="440">
        <v>1544.3353545073383</v>
      </c>
      <c r="C93" s="440">
        <v>1368.5376903844092</v>
      </c>
      <c r="D93" s="440">
        <v>2595.6565714820263</v>
      </c>
      <c r="E93" s="440">
        <v>326.14427400000068</v>
      </c>
      <c r="F93" s="440">
        <v>1643.7808066318562</v>
      </c>
      <c r="G93" s="440">
        <v>4243.5976178560486</v>
      </c>
      <c r="H93" s="440">
        <v>100.61008900190956</v>
      </c>
      <c r="I93" s="440">
        <v>48.781393000000065</v>
      </c>
      <c r="J93" s="440">
        <v>0</v>
      </c>
      <c r="K93" s="440">
        <v>0</v>
      </c>
      <c r="L93" s="440">
        <v>11822.662403863589</v>
      </c>
      <c r="M93" s="440">
        <v>11871.443796863588</v>
      </c>
    </row>
    <row r="94" spans="1:13" ht="13.5" thickBot="1">
      <c r="A94" s="439">
        <v>2012</v>
      </c>
      <c r="B94" s="440">
        <v>1597.667312</v>
      </c>
      <c r="C94" s="440">
        <v>1670.1690248804759</v>
      </c>
      <c r="D94" s="440">
        <v>2651.342082817037</v>
      </c>
      <c r="E94" s="440">
        <v>393.84777300000013</v>
      </c>
      <c r="F94" s="440">
        <v>1886.8752293565735</v>
      </c>
      <c r="G94" s="440">
        <v>3847.2275738729295</v>
      </c>
      <c r="H94" s="440">
        <v>109.55676700000001</v>
      </c>
      <c r="I94" s="440">
        <v>126.79125000000001</v>
      </c>
      <c r="J94" s="440">
        <v>0</v>
      </c>
      <c r="K94" s="440">
        <v>0</v>
      </c>
      <c r="L94" s="440">
        <v>12156.685762927016</v>
      </c>
      <c r="M94" s="440">
        <v>12283.477012927016</v>
      </c>
    </row>
    <row r="95" spans="1:13" ht="13.5" thickBot="1">
      <c r="A95" s="442">
        <v>2013</v>
      </c>
      <c r="B95" s="443">
        <v>1867.7060174659</v>
      </c>
      <c r="C95" s="443">
        <v>2397.5578811854666</v>
      </c>
      <c r="D95" s="443">
        <v>3136.733943660588</v>
      </c>
      <c r="E95" s="443">
        <v>665.82456026683326</v>
      </c>
      <c r="F95" s="443">
        <v>1859.9492945766001</v>
      </c>
      <c r="G95" s="443">
        <v>4945.5647592189125</v>
      </c>
      <c r="H95" s="443">
        <v>131.98529986056667</v>
      </c>
      <c r="I95" s="443">
        <v>443.82871499999999</v>
      </c>
      <c r="J95" s="443">
        <v>0</v>
      </c>
      <c r="K95" s="443">
        <v>0</v>
      </c>
      <c r="L95" s="443">
        <v>15005.321756234867</v>
      </c>
      <c r="M95" s="443">
        <v>15449.150471234867</v>
      </c>
    </row>
    <row r="96" spans="1:13" ht="13.5" thickBot="1">
      <c r="A96" s="439">
        <v>2014</v>
      </c>
      <c r="B96" s="440">
        <v>2373.3705909019</v>
      </c>
      <c r="C96" s="440">
        <v>2763.7550554274585</v>
      </c>
      <c r="D96" s="440">
        <v>4096.0562709008327</v>
      </c>
      <c r="E96" s="440">
        <v>2026.3523014691</v>
      </c>
      <c r="F96" s="440">
        <v>2078.3676241564472</v>
      </c>
      <c r="G96" s="440">
        <v>5282.1589590000021</v>
      </c>
      <c r="H96" s="440">
        <v>212.94791899999996</v>
      </c>
      <c r="I96" s="440">
        <v>590.49677099999997</v>
      </c>
      <c r="J96" s="440">
        <v>0</v>
      </c>
      <c r="K96" s="440">
        <v>0</v>
      </c>
      <c r="L96" s="440">
        <v>18833.008720855738</v>
      </c>
      <c r="M96" s="440">
        <v>19423.505491855736</v>
      </c>
    </row>
    <row r="97" spans="1:13" ht="13.5" thickBot="1">
      <c r="A97" s="439">
        <v>2015</v>
      </c>
      <c r="B97" s="440">
        <v>2989.6689109999998</v>
      </c>
      <c r="C97" s="440">
        <v>3161.5718930000003</v>
      </c>
      <c r="D97" s="440">
        <v>5240.6505729999999</v>
      </c>
      <c r="E97" s="440">
        <v>2477.0962949999998</v>
      </c>
      <c r="F97" s="440">
        <v>2165.0718230000002</v>
      </c>
      <c r="G97" s="440">
        <v>6603.2270360000002</v>
      </c>
      <c r="H97" s="440">
        <v>336.33835399999998</v>
      </c>
      <c r="I97" s="440">
        <v>876.35805000000005</v>
      </c>
      <c r="J97" s="440">
        <v>0</v>
      </c>
      <c r="K97" s="440">
        <v>0</v>
      </c>
      <c r="L97" s="440">
        <v>22973.624884999997</v>
      </c>
      <c r="M97" s="440">
        <v>23849.982934999996</v>
      </c>
    </row>
    <row r="98" spans="1:13" ht="13.5" thickBot="1">
      <c r="A98" s="439" t="s">
        <v>782</v>
      </c>
      <c r="B98" s="440">
        <v>4392.6589969999995</v>
      </c>
      <c r="C98" s="440">
        <v>3828.3712380000006</v>
      </c>
      <c r="D98" s="440">
        <v>6323.5150130000011</v>
      </c>
      <c r="E98" s="440">
        <v>3470.2955069999998</v>
      </c>
      <c r="F98" s="440">
        <v>2441.4212870000001</v>
      </c>
      <c r="G98" s="440">
        <v>7298.1823329999979</v>
      </c>
      <c r="H98" s="440">
        <v>443.92688800000002</v>
      </c>
      <c r="I98" s="440">
        <v>788.03948100000002</v>
      </c>
      <c r="J98" s="440">
        <v>0</v>
      </c>
      <c r="K98" s="440">
        <v>0</v>
      </c>
      <c r="L98" s="440">
        <v>28198.371263000001</v>
      </c>
      <c r="M98" s="440">
        <v>28986.410744000001</v>
      </c>
    </row>
    <row r="99" spans="1:13">
      <c r="A99" s="438" t="s">
        <v>784</v>
      </c>
      <c r="B99" s="416"/>
      <c r="C99" s="416"/>
      <c r="D99" s="416"/>
      <c r="E99" s="416"/>
      <c r="F99" s="416"/>
      <c r="G99" s="416"/>
      <c r="H99" s="416"/>
      <c r="I99" s="416"/>
      <c r="J99" s="416"/>
      <c r="K99" s="416"/>
      <c r="L99" s="416"/>
      <c r="M99" s="416"/>
    </row>
    <row r="100" spans="1:13">
      <c r="A100" s="438" t="s">
        <v>786</v>
      </c>
      <c r="B100" s="416"/>
      <c r="C100" s="416"/>
      <c r="D100" s="416"/>
      <c r="E100" s="416"/>
      <c r="F100" s="416"/>
      <c r="G100" s="416"/>
      <c r="H100" s="416"/>
      <c r="I100" s="416"/>
      <c r="J100" s="416"/>
      <c r="K100" s="416"/>
      <c r="L100" s="416"/>
      <c r="M100" s="416"/>
    </row>
    <row r="103" spans="1:13" ht="13.5">
      <c r="A103" s="415" t="s">
        <v>807</v>
      </c>
      <c r="B103" s="416"/>
      <c r="C103" s="416"/>
      <c r="D103" s="416"/>
      <c r="E103" s="416"/>
      <c r="F103" s="416"/>
      <c r="G103" s="416"/>
      <c r="H103" s="416"/>
      <c r="I103" s="416"/>
      <c r="J103" s="416"/>
      <c r="K103" s="416"/>
      <c r="L103" s="416"/>
      <c r="M103" s="416"/>
    </row>
    <row r="104" spans="1:13" ht="13.5" thickBot="1">
      <c r="A104" s="418" t="s">
        <v>755</v>
      </c>
      <c r="B104" s="416"/>
      <c r="C104" s="416"/>
      <c r="D104" s="416"/>
      <c r="E104" s="416"/>
      <c r="F104" s="419"/>
      <c r="G104" s="416"/>
      <c r="H104" s="416"/>
      <c r="I104" s="416"/>
      <c r="J104" s="416"/>
      <c r="K104" s="416"/>
      <c r="L104" s="416"/>
      <c r="M104" s="416"/>
    </row>
    <row r="105" spans="1:13" ht="45.75" thickBot="1">
      <c r="A105" s="444" t="s">
        <v>527</v>
      </c>
      <c r="B105" s="444" t="s">
        <v>756</v>
      </c>
      <c r="C105" s="444" t="s">
        <v>757</v>
      </c>
      <c r="D105" s="444" t="s">
        <v>758</v>
      </c>
      <c r="E105" s="444" t="s">
        <v>759</v>
      </c>
      <c r="F105" s="444" t="s">
        <v>760</v>
      </c>
      <c r="G105" s="444" t="s">
        <v>761</v>
      </c>
      <c r="H105" s="444" t="s">
        <v>762</v>
      </c>
      <c r="I105" s="444" t="s">
        <v>763</v>
      </c>
      <c r="J105" s="444" t="s">
        <v>764</v>
      </c>
      <c r="K105" s="444" t="s">
        <v>765</v>
      </c>
      <c r="L105" s="422" t="s">
        <v>766</v>
      </c>
      <c r="M105" s="422" t="s">
        <v>767</v>
      </c>
    </row>
    <row r="106" spans="1:13" ht="13.5" thickBot="1">
      <c r="A106" s="439">
        <v>2004</v>
      </c>
      <c r="B106" s="440">
        <v>13321</v>
      </c>
      <c r="C106" s="440">
        <v>6118</v>
      </c>
      <c r="D106" s="440">
        <v>5806</v>
      </c>
      <c r="E106" s="440">
        <v>1573</v>
      </c>
      <c r="F106" s="440">
        <v>2198</v>
      </c>
      <c r="G106" s="440">
        <v>3780</v>
      </c>
      <c r="H106" s="440">
        <v>1007</v>
      </c>
      <c r="I106" s="440">
        <v>973</v>
      </c>
      <c r="J106" s="440">
        <v>121</v>
      </c>
      <c r="K106" s="440">
        <v>3.28</v>
      </c>
      <c r="L106" s="426">
        <v>33803</v>
      </c>
      <c r="M106" s="426">
        <v>34900.28</v>
      </c>
    </row>
    <row r="107" spans="1:13" ht="13.5" thickBot="1">
      <c r="A107" s="439">
        <v>2005</v>
      </c>
      <c r="B107" s="440">
        <v>14602</v>
      </c>
      <c r="C107" s="440">
        <v>6294</v>
      </c>
      <c r="D107" s="440">
        <v>5962</v>
      </c>
      <c r="E107" s="440">
        <v>1799</v>
      </c>
      <c r="F107" s="440">
        <v>2271</v>
      </c>
      <c r="G107" s="440">
        <v>4261</v>
      </c>
      <c r="H107" s="440">
        <v>1044</v>
      </c>
      <c r="I107" s="440">
        <v>1052</v>
      </c>
      <c r="J107" s="440">
        <v>126</v>
      </c>
      <c r="K107" s="440">
        <v>6.28</v>
      </c>
      <c r="L107" s="426">
        <v>36233</v>
      </c>
      <c r="M107" s="426">
        <v>37417.279999999999</v>
      </c>
    </row>
    <row r="108" spans="1:13" ht="13.5" thickBot="1">
      <c r="A108" s="439">
        <v>2006</v>
      </c>
      <c r="B108" s="440">
        <v>15856.3</v>
      </c>
      <c r="C108" s="440">
        <v>6547</v>
      </c>
      <c r="D108" s="440">
        <v>6327</v>
      </c>
      <c r="E108" s="440">
        <v>1884</v>
      </c>
      <c r="F108" s="440">
        <v>2382</v>
      </c>
      <c r="G108" s="440">
        <v>4253</v>
      </c>
      <c r="H108" s="440">
        <v>1134</v>
      </c>
      <c r="I108" s="440">
        <v>1054</v>
      </c>
      <c r="J108" s="440">
        <v>151</v>
      </c>
      <c r="K108" s="440">
        <v>10.57</v>
      </c>
      <c r="L108" s="426">
        <v>38383.300000000003</v>
      </c>
      <c r="M108" s="426">
        <v>39598.870000000003</v>
      </c>
    </row>
    <row r="109" spans="1:13" ht="13.5" thickBot="1">
      <c r="A109" s="439">
        <v>2007</v>
      </c>
      <c r="B109" s="440">
        <v>16886</v>
      </c>
      <c r="C109" s="440">
        <v>6043</v>
      </c>
      <c r="D109" s="440">
        <v>6087</v>
      </c>
      <c r="E109" s="440">
        <v>1993</v>
      </c>
      <c r="F109" s="440">
        <v>2568</v>
      </c>
      <c r="G109" s="440">
        <v>4494</v>
      </c>
      <c r="H109" s="440">
        <v>1184</v>
      </c>
      <c r="I109" s="440">
        <v>1094</v>
      </c>
      <c r="J109" s="440">
        <v>145</v>
      </c>
      <c r="K109" s="440">
        <v>8.8000000000000007</v>
      </c>
      <c r="L109" s="426">
        <v>39255</v>
      </c>
      <c r="M109" s="426">
        <v>40502.800000000003</v>
      </c>
    </row>
    <row r="110" spans="1:13" ht="13.5" thickBot="1">
      <c r="A110" s="439">
        <v>2008</v>
      </c>
      <c r="B110" s="440">
        <v>16848.329000000002</v>
      </c>
      <c r="C110" s="440">
        <v>6331.98</v>
      </c>
      <c r="D110" s="440">
        <v>6604.38</v>
      </c>
      <c r="E110" s="440">
        <v>2020.1410000000001</v>
      </c>
      <c r="F110" s="440">
        <v>2585.598</v>
      </c>
      <c r="G110" s="440">
        <v>4583.6260000000002</v>
      </c>
      <c r="H110" s="440">
        <v>1188.6213</v>
      </c>
      <c r="I110" s="440">
        <v>1060.396</v>
      </c>
      <c r="J110" s="440">
        <v>169.23699999999999</v>
      </c>
      <c r="K110" s="440">
        <v>14.03</v>
      </c>
      <c r="L110" s="426">
        <v>40162.675300000003</v>
      </c>
      <c r="M110" s="426">
        <v>41406.338300000003</v>
      </c>
    </row>
    <row r="111" spans="1:13" ht="13.5" thickBot="1">
      <c r="A111" s="439">
        <v>2009</v>
      </c>
      <c r="B111" s="440">
        <v>16708.778999999999</v>
      </c>
      <c r="C111" s="440">
        <v>6361.2359999999999</v>
      </c>
      <c r="D111" s="440">
        <v>7224.0630000000001</v>
      </c>
      <c r="E111" s="440">
        <v>2060.69</v>
      </c>
      <c r="F111" s="440">
        <v>2671.9250000000002</v>
      </c>
      <c r="G111" s="440">
        <v>4989.1970000000001</v>
      </c>
      <c r="H111" s="440">
        <v>1291.8520000000001</v>
      </c>
      <c r="I111" s="440">
        <v>964.80200000000002</v>
      </c>
      <c r="J111" s="440">
        <v>167.501</v>
      </c>
      <c r="K111" s="440">
        <v>9.3866165709999994</v>
      </c>
      <c r="L111" s="426">
        <v>41307.741999999998</v>
      </c>
      <c r="M111" s="426">
        <v>42449.431616570997</v>
      </c>
    </row>
    <row r="112" spans="1:13" ht="13.5" thickBot="1">
      <c r="A112" s="439">
        <v>2010</v>
      </c>
      <c r="B112" s="440">
        <v>18087.669000000002</v>
      </c>
      <c r="C112" s="440">
        <v>6612.2389999999996</v>
      </c>
      <c r="D112" s="440">
        <v>7943.31</v>
      </c>
      <c r="E112" s="440">
        <v>1956.47</v>
      </c>
      <c r="F112" s="440">
        <v>2866.28</v>
      </c>
      <c r="G112" s="440">
        <v>4326.5249999999996</v>
      </c>
      <c r="H112" s="440">
        <v>1269.296</v>
      </c>
      <c r="I112" s="440">
        <v>982.14800000000002</v>
      </c>
      <c r="J112" s="440">
        <v>190.74600000000001</v>
      </c>
      <c r="K112" s="440">
        <v>15.329000000000001</v>
      </c>
      <c r="L112" s="426">
        <v>43061.789000000004</v>
      </c>
      <c r="M112" s="426">
        <v>44250.012000000002</v>
      </c>
    </row>
    <row r="113" spans="1:13" ht="13.5" thickBot="1">
      <c r="A113" s="439">
        <v>2011</v>
      </c>
      <c r="B113" s="440">
        <v>17116.233541493166</v>
      </c>
      <c r="C113" s="440">
        <v>6998.9491990419847</v>
      </c>
      <c r="D113" s="440">
        <v>8919.8374343564428</v>
      </c>
      <c r="E113" s="440">
        <v>2062.145206514313</v>
      </c>
      <c r="F113" s="440">
        <v>3280.4100132202111</v>
      </c>
      <c r="G113" s="440">
        <v>4699.1149087773301</v>
      </c>
      <c r="H113" s="440">
        <v>1339.2638923805916</v>
      </c>
      <c r="I113" s="440">
        <v>985.56784388352025</v>
      </c>
      <c r="J113" s="440">
        <v>187.30433203800044</v>
      </c>
      <c r="K113" s="440">
        <v>11.899207522999973</v>
      </c>
      <c r="L113" s="426">
        <v>44415.954195784048</v>
      </c>
      <c r="M113" s="426">
        <v>45600.725579228572</v>
      </c>
    </row>
    <row r="114" spans="1:13" ht="13.5" thickBot="1">
      <c r="A114" s="439">
        <v>2012</v>
      </c>
      <c r="B114" s="440">
        <v>15542.326724617007</v>
      </c>
      <c r="C114" s="440">
        <v>6927.8395274915238</v>
      </c>
      <c r="D114" s="440">
        <v>8843.9789323715158</v>
      </c>
      <c r="E114" s="440">
        <v>2141.6588144864509</v>
      </c>
      <c r="F114" s="440">
        <v>3278.1260127168171</v>
      </c>
      <c r="G114" s="440">
        <v>4739.6703992091934</v>
      </c>
      <c r="H114" s="440">
        <v>1316.950872592628</v>
      </c>
      <c r="I114" s="440">
        <v>1081.7465090645746</v>
      </c>
      <c r="J114" s="440">
        <v>164.53519002633993</v>
      </c>
      <c r="K114" s="440">
        <v>12.020556153923991</v>
      </c>
      <c r="L114" s="426">
        <v>42790.55128348514</v>
      </c>
      <c r="M114" s="426">
        <v>44048.853538729978</v>
      </c>
    </row>
    <row r="115" spans="1:13" ht="13.5" thickBot="1">
      <c r="A115" s="442">
        <v>2013</v>
      </c>
      <c r="B115" s="443">
        <v>13751.121655879688</v>
      </c>
      <c r="C115" s="443">
        <v>7065.5555607101705</v>
      </c>
      <c r="D115" s="443">
        <v>8763.3911878271392</v>
      </c>
      <c r="E115" s="443">
        <v>2264.6499638981586</v>
      </c>
      <c r="F115" s="443">
        <v>3355.4910916102308</v>
      </c>
      <c r="G115" s="443">
        <v>4719.3437265247194</v>
      </c>
      <c r="H115" s="443">
        <v>1373.1292095696426</v>
      </c>
      <c r="I115" s="443">
        <v>1041.5591370281581</v>
      </c>
      <c r="J115" s="443">
        <v>171.5365072551142</v>
      </c>
      <c r="K115" s="443">
        <v>12.735723470999972</v>
      </c>
      <c r="L115" s="434">
        <v>41292.682396019751</v>
      </c>
      <c r="M115" s="434">
        <v>42518.513763774026</v>
      </c>
    </row>
    <row r="116" spans="1:13" ht="13.5" thickBot="1">
      <c r="A116" s="439">
        <v>2014</v>
      </c>
      <c r="B116" s="440">
        <v>12885.298681127901</v>
      </c>
      <c r="C116" s="440">
        <v>7015.8728076991101</v>
      </c>
      <c r="D116" s="440">
        <v>8822.131312132442</v>
      </c>
      <c r="E116" s="440">
        <v>2299.7039500497485</v>
      </c>
      <c r="F116" s="440">
        <v>3023.5335106406601</v>
      </c>
      <c r="G116" s="440">
        <v>4715.2169109554015</v>
      </c>
      <c r="H116" s="440">
        <v>1333.2120847000001</v>
      </c>
      <c r="I116" s="440">
        <v>1027.1526975692213</v>
      </c>
      <c r="J116" s="440">
        <v>187.13126495752499</v>
      </c>
      <c r="K116" s="440">
        <v>11.302499913127377</v>
      </c>
      <c r="L116" s="426">
        <v>40094.96925730526</v>
      </c>
      <c r="M116" s="426">
        <v>41320.555719745142</v>
      </c>
    </row>
    <row r="117" spans="1:13" ht="13.5" thickBot="1">
      <c r="A117" s="439">
        <v>2015</v>
      </c>
      <c r="B117" s="440">
        <v>12022.355804372415</v>
      </c>
      <c r="C117" s="440">
        <v>7313.2715522269846</v>
      </c>
      <c r="D117" s="440">
        <v>8570.9412643226369</v>
      </c>
      <c r="E117" s="440">
        <v>2215.2659145337816</v>
      </c>
      <c r="F117" s="440">
        <v>2845.3587407031091</v>
      </c>
      <c r="G117" s="440">
        <v>4908.6167796183445</v>
      </c>
      <c r="H117" s="440">
        <v>1514.3221931213334</v>
      </c>
      <c r="I117" s="440">
        <v>1047.4963279492197</v>
      </c>
      <c r="J117" s="440">
        <v>194.02898424799969</v>
      </c>
      <c r="K117" s="440">
        <v>8.2709156870000022</v>
      </c>
      <c r="L117" s="426">
        <v>39390.132248898604</v>
      </c>
      <c r="M117" s="426">
        <v>40639.928476782821</v>
      </c>
    </row>
    <row r="118" spans="1:13" ht="13.5" thickBot="1">
      <c r="A118" s="445" t="s">
        <v>808</v>
      </c>
      <c r="B118" s="437">
        <v>11605.698918076316</v>
      </c>
      <c r="C118" s="437">
        <v>7367.1267309812665</v>
      </c>
      <c r="D118" s="437">
        <v>7700.7643222631714</v>
      </c>
      <c r="E118" s="437">
        <v>2374.3304049334452</v>
      </c>
      <c r="F118" s="437">
        <v>2884.2129653193742</v>
      </c>
      <c r="G118" s="437">
        <v>5465.3535708302279</v>
      </c>
      <c r="H118" s="437">
        <v>1395.6156430000012</v>
      </c>
      <c r="I118" s="437">
        <v>1007.9532751049355</v>
      </c>
      <c r="J118" s="437">
        <v>191.19285058300002</v>
      </c>
      <c r="K118" s="440">
        <v>9.2981635093667308</v>
      </c>
      <c r="L118" s="426">
        <v>38793.102555403799</v>
      </c>
      <c r="M118" s="426">
        <v>40001.5468446011</v>
      </c>
    </row>
    <row r="119" spans="1:13">
      <c r="A119" s="438" t="s">
        <v>784</v>
      </c>
      <c r="B119" s="416"/>
      <c r="C119" s="416"/>
      <c r="D119" s="416"/>
      <c r="E119" s="416"/>
      <c r="F119" s="416"/>
      <c r="G119" s="416"/>
      <c r="H119" s="416"/>
      <c r="I119" s="416"/>
      <c r="J119" s="416"/>
      <c r="K119" s="416"/>
      <c r="L119" s="416"/>
      <c r="M119" s="416"/>
    </row>
    <row r="120" spans="1:13">
      <c r="A120" s="438" t="s">
        <v>786</v>
      </c>
      <c r="B120" s="416"/>
      <c r="C120" s="416"/>
      <c r="D120" s="416"/>
      <c r="E120" s="416"/>
      <c r="F120" s="416"/>
      <c r="G120" s="416"/>
      <c r="H120" s="416"/>
      <c r="I120" s="416"/>
      <c r="J120" s="416"/>
      <c r="K120" s="416"/>
      <c r="L120" s="416"/>
      <c r="M120" s="416"/>
    </row>
    <row r="121" spans="1:13">
      <c r="A121" s="416"/>
      <c r="B121" s="416"/>
      <c r="C121" s="416"/>
      <c r="D121" s="416"/>
      <c r="E121" s="416"/>
      <c r="F121" s="416"/>
      <c r="G121" s="416"/>
      <c r="H121" s="416"/>
      <c r="I121" s="416"/>
      <c r="J121" s="416"/>
      <c r="K121" s="416"/>
      <c r="L121" s="416"/>
      <c r="M121" s="416"/>
    </row>
    <row r="125" spans="1:13">
      <c r="A125" s="672" t="s">
        <v>809</v>
      </c>
      <c r="B125" s="672"/>
      <c r="C125" s="672"/>
      <c r="D125" s="672"/>
      <c r="G125" s="673" t="s">
        <v>810</v>
      </c>
      <c r="H125" s="673"/>
      <c r="I125" s="673"/>
      <c r="J125" s="673"/>
    </row>
    <row r="126" spans="1:13" ht="13.5" thickBot="1">
      <c r="A126" s="418" t="s">
        <v>811</v>
      </c>
      <c r="B126" s="416"/>
      <c r="C126" s="416"/>
      <c r="D126" s="416"/>
      <c r="G126" s="446" t="s">
        <v>755</v>
      </c>
      <c r="H126" s="447"/>
      <c r="I126" s="447"/>
      <c r="J126" s="447"/>
    </row>
    <row r="127" spans="1:13" ht="23.25" thickBot="1">
      <c r="A127" s="448" t="s">
        <v>403</v>
      </c>
      <c r="B127" s="448" t="s">
        <v>812</v>
      </c>
      <c r="C127" s="448" t="s">
        <v>813</v>
      </c>
      <c r="D127" s="448" t="s">
        <v>814</v>
      </c>
      <c r="G127" s="448" t="s">
        <v>403</v>
      </c>
      <c r="H127" s="448" t="s">
        <v>815</v>
      </c>
      <c r="I127" s="448" t="s">
        <v>816</v>
      </c>
      <c r="J127" s="448" t="s">
        <v>817</v>
      </c>
    </row>
    <row r="128" spans="1:13" ht="13.5" thickBot="1">
      <c r="A128" s="449" t="s">
        <v>818</v>
      </c>
      <c r="B128" s="450">
        <v>48801.040999999997</v>
      </c>
      <c r="C128" s="450">
        <v>52331.124000000003</v>
      </c>
      <c r="D128" s="451">
        <v>7.2336223319498627</v>
      </c>
      <c r="G128" s="449" t="s">
        <v>818</v>
      </c>
      <c r="H128" s="450">
        <v>246600.6499550993</v>
      </c>
      <c r="I128" s="450">
        <v>254495.55305299145</v>
      </c>
      <c r="J128" s="451">
        <v>3.201493223691676</v>
      </c>
    </row>
    <row r="129" spans="1:10" ht="23.25" thickBot="1">
      <c r="A129" s="452" t="s">
        <v>819</v>
      </c>
      <c r="B129" s="453">
        <v>24042.659</v>
      </c>
      <c r="C129" s="453">
        <v>27274.187999999998</v>
      </c>
      <c r="D129" s="454">
        <v>13.440813680383679</v>
      </c>
      <c r="G129" s="452" t="s">
        <v>819</v>
      </c>
      <c r="H129" s="453">
        <v>155185.43981572925</v>
      </c>
      <c r="I129" s="453">
        <v>160378.26428787116</v>
      </c>
      <c r="J129" s="454">
        <v>3.3462059831824487</v>
      </c>
    </row>
    <row r="130" spans="1:10" ht="34.5" thickBot="1">
      <c r="A130" s="452" t="s">
        <v>820</v>
      </c>
      <c r="B130" s="453">
        <v>12710.670000000002</v>
      </c>
      <c r="C130" s="453">
        <v>12593.670000000002</v>
      </c>
      <c r="D130" s="454">
        <v>-0.92048648891049911</v>
      </c>
      <c r="G130" s="452" t="s">
        <v>820</v>
      </c>
      <c r="H130" s="453">
        <v>39231.52034095001</v>
      </c>
      <c r="I130" s="453">
        <v>40343.418779000014</v>
      </c>
      <c r="J130" s="454">
        <v>2.8341966571440835</v>
      </c>
    </row>
    <row r="131" spans="1:10" ht="23.25" thickBot="1">
      <c r="A131" s="452" t="s">
        <v>325</v>
      </c>
      <c r="B131" s="453">
        <v>5378.3600000000006</v>
      </c>
      <c r="C131" s="453">
        <v>5378.3600000000006</v>
      </c>
      <c r="D131" s="454">
        <v>0</v>
      </c>
      <c r="G131" s="452" t="s">
        <v>325</v>
      </c>
      <c r="H131" s="453">
        <v>33599.187227000002</v>
      </c>
      <c r="I131" s="453">
        <v>34208.204572000002</v>
      </c>
      <c r="J131" s="454">
        <v>1.8125954681147638</v>
      </c>
    </row>
    <row r="132" spans="1:10" ht="13.5" thickBot="1">
      <c r="A132" s="452" t="s">
        <v>821</v>
      </c>
      <c r="B132" s="453">
        <v>4903.6459999999997</v>
      </c>
      <c r="C132" s="453">
        <v>5052.3060000000005</v>
      </c>
      <c r="D132" s="454">
        <v>3.031621776939053</v>
      </c>
      <c r="G132" s="452" t="s">
        <v>821</v>
      </c>
      <c r="H132" s="453">
        <v>11647.594958219986</v>
      </c>
      <c r="I132" s="453">
        <v>12599.596544929251</v>
      </c>
      <c r="J132" s="454">
        <v>8.1733747621212984</v>
      </c>
    </row>
    <row r="133" spans="1:10" ht="23.25" thickBot="1">
      <c r="A133" s="452" t="s">
        <v>322</v>
      </c>
      <c r="B133" s="453">
        <v>1185.7059999999999</v>
      </c>
      <c r="C133" s="453">
        <v>1452.6000000000001</v>
      </c>
      <c r="D133" s="454">
        <v>22.509289823953015</v>
      </c>
      <c r="G133" s="452" t="s">
        <v>322</v>
      </c>
      <c r="H133" s="453">
        <v>2650.6476132000003</v>
      </c>
      <c r="I133" s="453">
        <v>3140.3258691910009</v>
      </c>
      <c r="J133" s="454">
        <v>18.473910057015665</v>
      </c>
    </row>
    <row r="134" spans="1:10" ht="23.25" thickBot="1">
      <c r="A134" s="452" t="s">
        <v>822</v>
      </c>
      <c r="B134" s="453">
        <v>580</v>
      </c>
      <c r="C134" s="453">
        <v>580</v>
      </c>
      <c r="D134" s="454">
        <v>0</v>
      </c>
      <c r="G134" s="452" t="s">
        <v>822</v>
      </c>
      <c r="H134" s="453">
        <v>4286.2599999999993</v>
      </c>
      <c r="I134" s="453">
        <v>3825.7430000000004</v>
      </c>
      <c r="J134" s="454">
        <v>-10.744028593692379</v>
      </c>
    </row>
    <row r="135" spans="1:10" ht="13.5" thickBot="1">
      <c r="A135" s="449" t="s">
        <v>823</v>
      </c>
      <c r="B135" s="450">
        <v>19223.6580025</v>
      </c>
      <c r="C135" s="450">
        <v>21179.324558812958</v>
      </c>
      <c r="D135" s="451">
        <v>10.173227988443333</v>
      </c>
      <c r="G135" s="449" t="s">
        <v>823</v>
      </c>
      <c r="H135" s="450">
        <v>62952.189273909986</v>
      </c>
      <c r="I135" s="450">
        <v>64867.980391562909</v>
      </c>
      <c r="J135" s="451">
        <v>3.0432478040075095</v>
      </c>
    </row>
    <row r="136" spans="1:10" ht="13.5" thickBot="1">
      <c r="A136" s="455" t="s">
        <v>824</v>
      </c>
      <c r="B136" s="453">
        <v>17124.000002500001</v>
      </c>
      <c r="C136" s="453">
        <v>18528.707558812959</v>
      </c>
      <c r="D136" s="454">
        <v>8.2031508765935577</v>
      </c>
      <c r="G136" s="455" t="s">
        <v>824</v>
      </c>
      <c r="H136" s="453">
        <v>47576.234201930005</v>
      </c>
      <c r="I136" s="453">
        <v>49244.20555128291</v>
      </c>
      <c r="J136" s="454">
        <v>3.5058919171144565</v>
      </c>
    </row>
    <row r="137" spans="1:10" ht="23.25" thickBot="1">
      <c r="A137" s="456" t="s">
        <v>313</v>
      </c>
      <c r="B137" s="453">
        <v>12488.5</v>
      </c>
      <c r="C137" s="453">
        <v>12588.984999999999</v>
      </c>
      <c r="D137" s="454">
        <v>0.80462025063057219</v>
      </c>
      <c r="G137" s="456" t="s">
        <v>313</v>
      </c>
      <c r="H137" s="453">
        <v>30891.540583600014</v>
      </c>
      <c r="I137" s="453">
        <v>30909.336791265989</v>
      </c>
      <c r="J137" s="454">
        <v>5.7608676452414187E-2</v>
      </c>
    </row>
    <row r="138" spans="1:10" ht="13.5" thickBot="1">
      <c r="A138" s="456" t="s">
        <v>318</v>
      </c>
      <c r="B138" s="453">
        <v>2805.1</v>
      </c>
      <c r="C138" s="453">
        <v>3735.4</v>
      </c>
      <c r="D138" s="454">
        <v>33.16459306263593</v>
      </c>
      <c r="G138" s="456" t="s">
        <v>318</v>
      </c>
      <c r="H138" s="453">
        <v>8745.0946809999969</v>
      </c>
      <c r="I138" s="453">
        <v>10462.578423489997</v>
      </c>
      <c r="J138" s="454">
        <v>19.639395628517153</v>
      </c>
    </row>
    <row r="139" spans="1:10" ht="23.25" thickBot="1">
      <c r="A139" s="456" t="s">
        <v>315</v>
      </c>
      <c r="B139" s="453">
        <v>883.6</v>
      </c>
      <c r="C139" s="453">
        <v>908.6</v>
      </c>
      <c r="D139" s="454">
        <v>2.8293345405160597</v>
      </c>
      <c r="G139" s="456" t="s">
        <v>315</v>
      </c>
      <c r="H139" s="453">
        <v>6330.9769909999995</v>
      </c>
      <c r="I139" s="453">
        <v>6148.2894109999997</v>
      </c>
      <c r="J139" s="454">
        <v>-2.8856143413521385</v>
      </c>
    </row>
    <row r="140" spans="1:10" ht="13.5" thickBot="1">
      <c r="A140" s="456" t="s">
        <v>11</v>
      </c>
      <c r="B140" s="453">
        <v>56.33408</v>
      </c>
      <c r="C140" s="453">
        <v>145.02607999999998</v>
      </c>
      <c r="D140" s="454">
        <v>157.439333348481</v>
      </c>
      <c r="G140" s="456" t="s">
        <v>11</v>
      </c>
      <c r="H140" s="453">
        <v>78.212767149999991</v>
      </c>
      <c r="I140" s="453">
        <v>159.98954280462533</v>
      </c>
      <c r="J140" s="454">
        <v>104.5568116747361</v>
      </c>
    </row>
    <row r="141" spans="1:10" ht="23.25" thickBot="1">
      <c r="A141" s="456" t="s">
        <v>825</v>
      </c>
      <c r="B141" s="453">
        <v>759.76</v>
      </c>
      <c r="C141" s="457">
        <v>888.77700000000004</v>
      </c>
      <c r="D141" s="454">
        <v>16.981283563230498</v>
      </c>
      <c r="G141" s="456" t="s">
        <v>825</v>
      </c>
      <c r="H141" s="453">
        <v>1369.216651</v>
      </c>
      <c r="I141" s="453">
        <v>1471.4329933406498</v>
      </c>
      <c r="J141" s="454">
        <v>7.4653154609240824</v>
      </c>
    </row>
    <row r="142" spans="1:10" ht="45.75" thickBot="1">
      <c r="A142" s="456" t="s">
        <v>826</v>
      </c>
      <c r="B142" s="453">
        <v>117.55992249999986</v>
      </c>
      <c r="C142" s="453">
        <v>247.60447881296082</v>
      </c>
      <c r="D142" s="454">
        <v>110.6198043920632</v>
      </c>
      <c r="G142" s="456" t="s">
        <v>826</v>
      </c>
      <c r="H142" s="453">
        <v>127.85000000000001</v>
      </c>
      <c r="I142" s="453">
        <v>56.46027250165416</v>
      </c>
      <c r="J142" s="454">
        <v>-55.838660538401129</v>
      </c>
    </row>
    <row r="143" spans="1:10" ht="23.25" thickBot="1">
      <c r="A143" s="458" t="s">
        <v>827</v>
      </c>
      <c r="B143" s="459">
        <v>2.1999999999999999E-2</v>
      </c>
      <c r="C143" s="459">
        <v>2.3E-2</v>
      </c>
      <c r="D143" s="460">
        <v>4.5454545454545414</v>
      </c>
      <c r="G143" s="458" t="s">
        <v>827</v>
      </c>
      <c r="H143" s="461">
        <v>0.05</v>
      </c>
      <c r="I143" s="462">
        <v>3.898E-3</v>
      </c>
      <c r="J143" s="460">
        <v>-92.203999999999994</v>
      </c>
    </row>
    <row r="144" spans="1:10" ht="23.25" thickBot="1">
      <c r="A144" s="458" t="s">
        <v>828</v>
      </c>
      <c r="B144" s="459">
        <v>113.90291249999984</v>
      </c>
      <c r="C144" s="459">
        <v>243.60622881296084</v>
      </c>
      <c r="D144" s="460">
        <v>113.8718172048157</v>
      </c>
      <c r="G144" s="458" t="s">
        <v>828</v>
      </c>
      <c r="H144" s="461">
        <v>112.05000000000001</v>
      </c>
      <c r="I144" s="462">
        <v>54.805516731654158</v>
      </c>
      <c r="J144" s="460">
        <v>-51.088338481343911</v>
      </c>
    </row>
    <row r="145" spans="1:10" ht="34.5" thickBot="1">
      <c r="A145" s="458" t="s">
        <v>829</v>
      </c>
      <c r="B145" s="459">
        <v>3.5697600000000005</v>
      </c>
      <c r="C145" s="459">
        <v>3.91</v>
      </c>
      <c r="D145" s="460">
        <v>9.5311729640087819</v>
      </c>
      <c r="G145" s="458" t="s">
        <v>829</v>
      </c>
      <c r="H145" s="461">
        <v>15.64</v>
      </c>
      <c r="I145" s="462">
        <v>1.64689277</v>
      </c>
      <c r="J145" s="460">
        <v>-89.469995076726335</v>
      </c>
    </row>
    <row r="146" spans="1:10" ht="34.5" thickBot="1">
      <c r="A146" s="458" t="s">
        <v>830</v>
      </c>
      <c r="B146" s="459">
        <v>6.5250000000000002E-2</v>
      </c>
      <c r="C146" s="459">
        <v>6.5250000000000002E-2</v>
      </c>
      <c r="D146" s="460">
        <v>0</v>
      </c>
      <c r="G146" s="458" t="s">
        <v>830</v>
      </c>
      <c r="H146" s="461">
        <v>0.11</v>
      </c>
      <c r="I146" s="462">
        <v>3.9649999999999998E-3</v>
      </c>
      <c r="J146" s="460">
        <v>-96.395454545454555</v>
      </c>
    </row>
    <row r="147" spans="1:10" ht="13.5" thickBot="1">
      <c r="A147" s="456" t="s">
        <v>831</v>
      </c>
      <c r="B147" s="459">
        <v>13.146000000000001</v>
      </c>
      <c r="C147" s="459">
        <v>14.315000000000001</v>
      </c>
      <c r="D147" s="460">
        <v>8.8924387646432521</v>
      </c>
      <c r="G147" s="456" t="s">
        <v>831</v>
      </c>
      <c r="H147" s="461">
        <v>33.342528180000002</v>
      </c>
      <c r="I147" s="463">
        <v>36.118116880000002</v>
      </c>
      <c r="J147" s="460">
        <v>8.3244698332890508</v>
      </c>
    </row>
    <row r="148" spans="1:10" ht="13.5" thickBot="1">
      <c r="A148" s="455" t="s">
        <v>832</v>
      </c>
      <c r="B148" s="453">
        <v>2099.6580000000004</v>
      </c>
      <c r="C148" s="453">
        <v>2650.6170000000002</v>
      </c>
      <c r="D148" s="454">
        <v>26.240416296368263</v>
      </c>
      <c r="G148" s="455" t="s">
        <v>832</v>
      </c>
      <c r="H148" s="453">
        <v>15375.955071979981</v>
      </c>
      <c r="I148" s="453">
        <v>15623.774840279999</v>
      </c>
      <c r="J148" s="454">
        <v>1.611735772769185</v>
      </c>
    </row>
    <row r="149" spans="1:10" ht="23.25" thickBot="1">
      <c r="A149" s="456" t="s">
        <v>311</v>
      </c>
      <c r="B149" s="453">
        <v>1510</v>
      </c>
      <c r="C149" s="457">
        <v>1608</v>
      </c>
      <c r="D149" s="454">
        <v>6.4900662251655694</v>
      </c>
      <c r="G149" s="456" t="s">
        <v>311</v>
      </c>
      <c r="H149" s="453">
        <v>11577.13786469998</v>
      </c>
      <c r="I149" s="454">
        <v>10567.174252999999</v>
      </c>
      <c r="J149" s="454">
        <v>-8.7237763210842978</v>
      </c>
    </row>
    <row r="150" spans="1:10" ht="45.75" thickBot="1">
      <c r="A150" s="456" t="s">
        <v>833</v>
      </c>
      <c r="B150" s="453">
        <v>583.05000000000007</v>
      </c>
      <c r="C150" s="457">
        <v>1036.0090000000002</v>
      </c>
      <c r="D150" s="454">
        <v>77.68784838350058</v>
      </c>
      <c r="G150" s="456" t="s">
        <v>833</v>
      </c>
      <c r="H150" s="453">
        <v>3795.2172072799999</v>
      </c>
      <c r="I150" s="453">
        <v>5053.0005872799993</v>
      </c>
      <c r="J150" s="454">
        <v>33.14127522365029</v>
      </c>
    </row>
    <row r="151" spans="1:10" ht="34.5" thickBot="1">
      <c r="A151" s="456" t="s">
        <v>834</v>
      </c>
      <c r="B151" s="453">
        <v>6.6080000000000005</v>
      </c>
      <c r="C151" s="464">
        <v>6.6080000000000005</v>
      </c>
      <c r="D151" s="454">
        <v>0</v>
      </c>
      <c r="G151" s="456" t="s">
        <v>834</v>
      </c>
      <c r="H151" s="453">
        <v>3.5999999999999996</v>
      </c>
      <c r="I151" s="453">
        <v>3.5999999999999996</v>
      </c>
      <c r="J151" s="454">
        <v>0</v>
      </c>
    </row>
    <row r="152" spans="1:10" ht="13.5" thickBot="1">
      <c r="A152" s="449" t="s">
        <v>835</v>
      </c>
      <c r="B152" s="450">
        <v>68024.699002499998</v>
      </c>
      <c r="C152" s="450">
        <v>73510.448558812961</v>
      </c>
      <c r="D152" s="451">
        <v>8.0643496211741486</v>
      </c>
      <c r="G152" s="449" t="s">
        <v>835</v>
      </c>
      <c r="H152" s="450">
        <v>309552.83922900929</v>
      </c>
      <c r="I152" s="450">
        <v>319363.53344455437</v>
      </c>
      <c r="J152" s="451">
        <v>3.1693116561231305</v>
      </c>
    </row>
    <row r="153" spans="1:10" ht="69" customHeight="1">
      <c r="A153" s="674" t="s">
        <v>836</v>
      </c>
      <c r="B153" s="674"/>
      <c r="C153" s="674"/>
      <c r="D153" s="674"/>
      <c r="G153" s="674" t="s">
        <v>836</v>
      </c>
      <c r="H153" s="674"/>
      <c r="I153" s="674"/>
      <c r="J153" s="674"/>
    </row>
    <row r="154" spans="1:10" ht="38.1" customHeight="1">
      <c r="A154" s="664" t="s">
        <v>837</v>
      </c>
      <c r="B154" s="664"/>
      <c r="C154" s="664"/>
      <c r="D154" s="664"/>
      <c r="G154" s="664" t="s">
        <v>837</v>
      </c>
      <c r="H154" s="664"/>
      <c r="I154" s="664"/>
      <c r="J154" s="664"/>
    </row>
    <row r="155" spans="1:10">
      <c r="A155" s="416"/>
      <c r="B155" s="416"/>
      <c r="C155" s="416"/>
      <c r="D155" s="416"/>
      <c r="G155" s="416"/>
      <c r="H155" s="416"/>
      <c r="I155" s="416"/>
      <c r="J155" s="416"/>
    </row>
    <row r="159" spans="1:10" ht="13.5" thickBot="1">
      <c r="A159" s="465" t="s">
        <v>838</v>
      </c>
      <c r="B159" s="465"/>
      <c r="C159" s="465"/>
      <c r="G159" s="466" t="s">
        <v>839</v>
      </c>
      <c r="H159" s="466"/>
      <c r="I159" s="466"/>
    </row>
    <row r="160" spans="1:10" ht="15.75" thickBot="1">
      <c r="A160" s="418" t="s">
        <v>811</v>
      </c>
      <c r="B160" s="467"/>
      <c r="C160" s="467"/>
      <c r="G160" s="468" t="s">
        <v>755</v>
      </c>
      <c r="H160" s="469"/>
      <c r="I160" s="469"/>
    </row>
    <row r="161" spans="1:9" ht="34.5" thickBot="1">
      <c r="A161" s="448" t="s">
        <v>840</v>
      </c>
      <c r="B161" s="448" t="s">
        <v>841</v>
      </c>
      <c r="C161" s="448" t="s">
        <v>842</v>
      </c>
      <c r="G161" s="470" t="s">
        <v>840</v>
      </c>
      <c r="H161" s="470" t="s">
        <v>843</v>
      </c>
      <c r="I161" s="470" t="s">
        <v>844</v>
      </c>
    </row>
    <row r="162" spans="1:9" ht="13.5" thickBot="1">
      <c r="A162" s="667" t="s">
        <v>845</v>
      </c>
      <c r="B162" s="668"/>
      <c r="C162" s="669"/>
      <c r="G162" s="667" t="s">
        <v>845</v>
      </c>
      <c r="H162" s="668"/>
      <c r="I162" s="669"/>
    </row>
    <row r="163" spans="1:9" ht="13.5" thickBot="1">
      <c r="A163" s="452" t="s">
        <v>846</v>
      </c>
      <c r="B163" s="453">
        <v>367.48</v>
      </c>
      <c r="C163" s="454">
        <v>0.49990172445484804</v>
      </c>
      <c r="G163" s="452" t="s">
        <v>846</v>
      </c>
      <c r="H163" s="453">
        <v>489.95719647840002</v>
      </c>
      <c r="I163" s="454">
        <v>0.15341676339620758</v>
      </c>
    </row>
    <row r="164" spans="1:9" ht="34.5" thickBot="1">
      <c r="A164" s="452" t="s">
        <v>847</v>
      </c>
      <c r="B164" s="453">
        <v>13255.41</v>
      </c>
      <c r="C164" s="454">
        <v>18.032008047665276</v>
      </c>
      <c r="G164" s="452" t="s">
        <v>847</v>
      </c>
      <c r="H164" s="453">
        <v>88674.967192261131</v>
      </c>
      <c r="I164" s="454">
        <v>27.766152959243946</v>
      </c>
    </row>
    <row r="165" spans="1:9" ht="23.25" thickBot="1">
      <c r="A165" s="452" t="s">
        <v>848</v>
      </c>
      <c r="B165" s="453">
        <v>9576.7996800000074</v>
      </c>
      <c r="C165" s="454">
        <v>13.027807431127245</v>
      </c>
      <c r="G165" s="452" t="s">
        <v>848</v>
      </c>
      <c r="H165" s="453">
        <v>29650.397553198884</v>
      </c>
      <c r="I165" s="454">
        <v>9.2842151492373137</v>
      </c>
    </row>
    <row r="166" spans="1:9" ht="23.25" thickBot="1">
      <c r="A166" s="452" t="s">
        <v>849</v>
      </c>
      <c r="B166" s="453">
        <v>106.27500000000001</v>
      </c>
      <c r="C166" s="454">
        <v>0.1445712848765619</v>
      </c>
      <c r="G166" s="452" t="s">
        <v>849</v>
      </c>
      <c r="H166" s="453">
        <v>115.486</v>
      </c>
      <c r="I166" s="454">
        <v>3.6161298303035563E-2</v>
      </c>
    </row>
    <row r="167" spans="1:9" ht="13.5" thickBot="1">
      <c r="A167" s="452" t="s">
        <v>850</v>
      </c>
      <c r="B167" s="453">
        <v>4394.7979999999989</v>
      </c>
      <c r="C167" s="454">
        <v>5.9784671242808214</v>
      </c>
      <c r="G167" s="452" t="s">
        <v>850</v>
      </c>
      <c r="H167" s="453">
        <v>17489.494320215654</v>
      </c>
      <c r="I167" s="454">
        <v>5.4763592234778624</v>
      </c>
    </row>
    <row r="168" spans="1:9" ht="13.5" thickBot="1">
      <c r="A168" s="452" t="s">
        <v>851</v>
      </c>
      <c r="B168" s="453">
        <v>1549.02</v>
      </c>
      <c r="C168" s="454">
        <v>2.1072106487837394</v>
      </c>
      <c r="G168" s="452" t="s">
        <v>851</v>
      </c>
      <c r="H168" s="453">
        <v>6311.9383999999991</v>
      </c>
      <c r="I168" s="454">
        <v>1.9764117499331948</v>
      </c>
    </row>
    <row r="169" spans="1:9" ht="23.25" thickBot="1">
      <c r="A169" s="452" t="s">
        <v>852</v>
      </c>
      <c r="B169" s="453">
        <v>497.41300000000001</v>
      </c>
      <c r="C169" s="454">
        <v>0.67665618936067073</v>
      </c>
      <c r="G169" s="452" t="s">
        <v>852</v>
      </c>
      <c r="H169" s="453">
        <v>1048.690016</v>
      </c>
      <c r="I169" s="454">
        <v>0.32836874163094343</v>
      </c>
    </row>
    <row r="170" spans="1:9" ht="13.5" thickBot="1">
      <c r="A170" s="667" t="s">
        <v>853</v>
      </c>
      <c r="B170" s="668"/>
      <c r="C170" s="669"/>
      <c r="G170" s="667" t="s">
        <v>853</v>
      </c>
      <c r="H170" s="668"/>
      <c r="I170" s="669"/>
    </row>
    <row r="171" spans="1:9" ht="23.25" thickBot="1">
      <c r="A171" s="471" t="s">
        <v>854</v>
      </c>
      <c r="B171" s="453">
        <v>42901.606</v>
      </c>
      <c r="C171" s="454">
        <v>58.361235499299148</v>
      </c>
      <c r="G171" s="471" t="s">
        <v>854</v>
      </c>
      <c r="H171" s="453">
        <v>174228.11192955257</v>
      </c>
      <c r="I171" s="454">
        <v>54.554792167528696</v>
      </c>
    </row>
    <row r="172" spans="1:9" ht="13.5" thickBot="1">
      <c r="A172" s="471" t="s">
        <v>855</v>
      </c>
      <c r="B172" s="472">
        <v>599.72739999999999</v>
      </c>
      <c r="C172" s="454">
        <v>0.8158396687243451</v>
      </c>
      <c r="G172" s="471" t="s">
        <v>855</v>
      </c>
      <c r="H172" s="453">
        <v>1261.912447466</v>
      </c>
      <c r="I172" s="454">
        <v>0.39513354385061145</v>
      </c>
    </row>
    <row r="173" spans="1:9" ht="13.5" thickBot="1">
      <c r="A173" s="667" t="s">
        <v>279</v>
      </c>
      <c r="B173" s="668"/>
      <c r="C173" s="669"/>
      <c r="G173" s="667" t="s">
        <v>279</v>
      </c>
      <c r="H173" s="668"/>
      <c r="I173" s="669"/>
    </row>
    <row r="174" spans="1:9" ht="13.5" thickBot="1">
      <c r="A174" s="471" t="s">
        <v>856</v>
      </c>
      <c r="B174" s="453">
        <v>261.91947881296085</v>
      </c>
      <c r="C174" s="454">
        <v>0.35630238142732706</v>
      </c>
      <c r="G174" s="471" t="s">
        <v>856</v>
      </c>
      <c r="H174" s="453">
        <v>92.578389381654162</v>
      </c>
      <c r="I174" s="454">
        <v>2.8988403398200441E-2</v>
      </c>
    </row>
    <row r="175" spans="1:9" ht="13.5" thickBot="1">
      <c r="A175" s="449" t="s">
        <v>857</v>
      </c>
      <c r="B175" s="473">
        <v>73510.448558812976</v>
      </c>
      <c r="C175" s="474">
        <v>100</v>
      </c>
      <c r="G175" s="449" t="s">
        <v>858</v>
      </c>
      <c r="H175" s="473">
        <v>319363.53344455425</v>
      </c>
      <c r="I175" s="474">
        <v>100</v>
      </c>
    </row>
    <row r="176" spans="1:9" ht="33.950000000000003" customHeight="1">
      <c r="A176" s="665" t="s">
        <v>859</v>
      </c>
      <c r="B176" s="665"/>
      <c r="C176" s="665"/>
      <c r="G176" s="665" t="s">
        <v>860</v>
      </c>
      <c r="H176" s="665"/>
      <c r="I176" s="665"/>
    </row>
    <row r="177" spans="1:9" ht="39" customHeight="1">
      <c r="A177" s="666" t="s">
        <v>837</v>
      </c>
      <c r="B177" s="666"/>
      <c r="C177" s="666"/>
      <c r="G177" s="666" t="s">
        <v>837</v>
      </c>
      <c r="H177" s="666"/>
      <c r="I177" s="666"/>
    </row>
  </sheetData>
  <mergeCells count="33">
    <mergeCell ref="S2:V2"/>
    <mergeCell ref="S17:V17"/>
    <mergeCell ref="S18:V18"/>
    <mergeCell ref="A24:A25"/>
    <mergeCell ref="B24:C24"/>
    <mergeCell ref="D24:E24"/>
    <mergeCell ref="F24:G24"/>
    <mergeCell ref="H24:I24"/>
    <mergeCell ref="J24:K24"/>
    <mergeCell ref="L24:M24"/>
    <mergeCell ref="N24:O24"/>
    <mergeCell ref="J41:K41"/>
    <mergeCell ref="A125:D125"/>
    <mergeCell ref="G125:J125"/>
    <mergeCell ref="A153:D153"/>
    <mergeCell ref="G153:J153"/>
    <mergeCell ref="A41:A42"/>
    <mergeCell ref="B41:C41"/>
    <mergeCell ref="D41:E41"/>
    <mergeCell ref="F41:G41"/>
    <mergeCell ref="H41:I41"/>
    <mergeCell ref="A154:D154"/>
    <mergeCell ref="G154:J154"/>
    <mergeCell ref="A176:C176"/>
    <mergeCell ref="G176:I176"/>
    <mergeCell ref="A177:C177"/>
    <mergeCell ref="G177:I177"/>
    <mergeCell ref="A162:C162"/>
    <mergeCell ref="G162:I162"/>
    <mergeCell ref="A170:C170"/>
    <mergeCell ref="G170:I170"/>
    <mergeCell ref="A173:C173"/>
    <mergeCell ref="G173:I173"/>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72"/>
  <sheetViews>
    <sheetView topLeftCell="A6" workbookViewId="0">
      <selection activeCell="A28" sqref="A28"/>
    </sheetView>
  </sheetViews>
  <sheetFormatPr baseColWidth="10" defaultRowHeight="15.75"/>
  <cols>
    <col min="1" max="1" width="26.5" customWidth="1"/>
    <col min="2" max="2" width="19.875" customWidth="1"/>
    <col min="8" max="8" width="37.875" customWidth="1"/>
    <col min="12" max="12" width="9.125" customWidth="1"/>
  </cols>
  <sheetData>
    <row r="1" spans="1:13">
      <c r="A1" t="s">
        <v>595</v>
      </c>
    </row>
    <row r="2" spans="1:13">
      <c r="A2" t="s">
        <v>596</v>
      </c>
    </row>
    <row r="3" spans="1:13">
      <c r="A3" t="s">
        <v>597</v>
      </c>
    </row>
    <row r="4" spans="1:13">
      <c r="A4" t="s">
        <v>598</v>
      </c>
    </row>
    <row r="5" spans="1:13">
      <c r="A5" t="s">
        <v>599</v>
      </c>
    </row>
    <row r="7" spans="1:13">
      <c r="C7" t="s">
        <v>600</v>
      </c>
    </row>
    <row r="8" spans="1:13">
      <c r="A8" t="s">
        <v>601</v>
      </c>
      <c r="B8" t="s">
        <v>390</v>
      </c>
      <c r="C8">
        <v>2013</v>
      </c>
      <c r="D8">
        <v>2014</v>
      </c>
      <c r="E8">
        <v>2015</v>
      </c>
      <c r="F8">
        <v>2016</v>
      </c>
    </row>
    <row r="9" spans="1:13">
      <c r="A9" s="3" t="s">
        <v>621</v>
      </c>
      <c r="B9" s="3"/>
      <c r="C9" s="3">
        <f>C10-C19</f>
        <v>2504.0419999999999</v>
      </c>
      <c r="D9" s="3">
        <f t="shared" ref="D9:F9" si="0">D10-D19</f>
        <v>2423.5410000000002</v>
      </c>
      <c r="E9" s="3">
        <f t="shared" si="0"/>
        <v>2367.5339999999997</v>
      </c>
      <c r="F9" s="3">
        <f t="shared" si="0"/>
        <v>2846.9079999999999</v>
      </c>
      <c r="H9" s="341"/>
      <c r="I9" s="342" t="s">
        <v>419</v>
      </c>
      <c r="J9" s="342" t="s">
        <v>384</v>
      </c>
      <c r="K9" s="342" t="s">
        <v>379</v>
      </c>
      <c r="L9" s="342" t="s">
        <v>386</v>
      </c>
      <c r="M9" s="343" t="s">
        <v>7</v>
      </c>
    </row>
    <row r="10" spans="1:13">
      <c r="A10" t="s">
        <v>7</v>
      </c>
      <c r="C10">
        <v>2562.6120000000001</v>
      </c>
      <c r="D10">
        <v>2491.69</v>
      </c>
      <c r="E10">
        <v>2435.9389999999999</v>
      </c>
      <c r="F10">
        <v>2917.317</v>
      </c>
      <c r="H10" s="205" t="s">
        <v>622</v>
      </c>
      <c r="I10" s="344">
        <f>SUM(C11,C16:C17,C20:C22)</f>
        <v>828.16600000000005</v>
      </c>
      <c r="J10" s="344">
        <f>C18</f>
        <v>1303.69</v>
      </c>
      <c r="K10" s="344">
        <f>SUM(C12:C15)</f>
        <v>372.18700000000001</v>
      </c>
      <c r="L10" s="344">
        <f>C19</f>
        <v>58.57</v>
      </c>
      <c r="M10" s="349">
        <f>SUM(I10:L10)</f>
        <v>2562.6130000000003</v>
      </c>
    </row>
    <row r="11" spans="1:13">
      <c r="A11" t="s">
        <v>287</v>
      </c>
      <c r="C11">
        <v>339.90100000000001</v>
      </c>
      <c r="D11">
        <v>357.93799999999999</v>
      </c>
      <c r="E11">
        <v>362.94400000000002</v>
      </c>
      <c r="F11">
        <v>372.851</v>
      </c>
      <c r="H11" s="205" t="s">
        <v>623</v>
      </c>
      <c r="I11" s="344">
        <f>'RESUMEN_SEC ELEC_PJ'!D34</f>
        <v>8266.3185281942533</v>
      </c>
      <c r="J11" s="344">
        <f>'RESUMEN_SEC ELEC_PJ'!E34</f>
        <v>1360.9236506602961</v>
      </c>
      <c r="K11" s="344">
        <f>'RESUMEN_SEC ELEC_PJ'!F34</f>
        <v>27.737020971806533</v>
      </c>
      <c r="L11" s="344">
        <f>'RESUMEN_SEC ELEC_PJ'!G34</f>
        <v>126.45347756049459</v>
      </c>
      <c r="M11" s="349">
        <f>SUM(I11:L11)</f>
        <v>9781.4326773868506</v>
      </c>
    </row>
    <row r="12" spans="1:13">
      <c r="A12" s="5" t="s">
        <v>237</v>
      </c>
      <c r="B12" s="5"/>
      <c r="C12" s="5">
        <v>122.598</v>
      </c>
      <c r="D12">
        <v>100.596</v>
      </c>
      <c r="E12">
        <v>120.407</v>
      </c>
      <c r="F12">
        <v>109.95399999999999</v>
      </c>
      <c r="H12" s="327" t="s">
        <v>624</v>
      </c>
      <c r="I12" s="345">
        <f>'RESUMEN_SEC ELEC_PJ'!D17</f>
        <v>455.61392134351217</v>
      </c>
      <c r="J12" s="345">
        <f>'RESUMEN_SEC ELEC_PJ'!E17</f>
        <v>1228.461661992482</v>
      </c>
      <c r="K12" s="345">
        <f>'RESUMEN_SEC ELEC_PJ'!F17</f>
        <v>24.684593251971059</v>
      </c>
      <c r="L12" s="345">
        <f>'RESUMEN_SEC ELEC_PJ'!G17</f>
        <v>126.45347756049459</v>
      </c>
      <c r="M12" s="352">
        <f>SUM(I12:L12)</f>
        <v>1835.2136541484599</v>
      </c>
    </row>
    <row r="13" spans="1:13">
      <c r="A13" s="5" t="s">
        <v>236</v>
      </c>
      <c r="B13" s="5"/>
      <c r="C13" s="5">
        <v>100.877</v>
      </c>
      <c r="D13">
        <v>140.01400000000001</v>
      </c>
      <c r="E13">
        <v>111.21</v>
      </c>
      <c r="F13">
        <v>110.51</v>
      </c>
    </row>
    <row r="14" spans="1:13">
      <c r="A14" s="5" t="s">
        <v>235</v>
      </c>
      <c r="B14" s="5"/>
      <c r="C14" s="5">
        <v>131.316</v>
      </c>
      <c r="D14">
        <v>129.87799999999999</v>
      </c>
      <c r="E14">
        <v>134.53</v>
      </c>
      <c r="F14">
        <v>132.595</v>
      </c>
    </row>
    <row r="15" spans="1:13">
      <c r="A15" s="5" t="s">
        <v>602</v>
      </c>
      <c r="B15" s="5"/>
      <c r="C15" s="5">
        <v>17.396000000000001</v>
      </c>
      <c r="D15">
        <v>25.731000000000002</v>
      </c>
      <c r="E15">
        <v>34.078000000000003</v>
      </c>
      <c r="F15">
        <v>40.182000000000002</v>
      </c>
      <c r="H15" s="341" t="s">
        <v>738</v>
      </c>
      <c r="I15" s="342" t="s">
        <v>383</v>
      </c>
      <c r="J15" s="342" t="s">
        <v>384</v>
      </c>
      <c r="K15" s="342" t="s">
        <v>655</v>
      </c>
      <c r="L15" s="342" t="s">
        <v>386</v>
      </c>
      <c r="M15" s="343" t="s">
        <v>28</v>
      </c>
    </row>
    <row r="16" spans="1:13">
      <c r="A16" t="s">
        <v>3</v>
      </c>
      <c r="C16">
        <v>27.908999999999999</v>
      </c>
      <c r="D16">
        <v>17.806000000000001</v>
      </c>
      <c r="E16">
        <v>20.702000000000002</v>
      </c>
      <c r="F16">
        <v>28.701000000000001</v>
      </c>
      <c r="H16" s="205"/>
      <c r="I16" s="7"/>
      <c r="J16" s="7"/>
      <c r="K16" s="7"/>
      <c r="L16" s="7"/>
      <c r="M16" s="206"/>
    </row>
    <row r="17" spans="1:15">
      <c r="A17" t="s">
        <v>229</v>
      </c>
      <c r="C17">
        <v>413.71800000000002</v>
      </c>
      <c r="D17">
        <v>258.52100000000002</v>
      </c>
      <c r="E17">
        <v>248.40299999999999</v>
      </c>
      <c r="F17">
        <v>273.29599999999999</v>
      </c>
      <c r="H17" s="205" t="s">
        <v>651</v>
      </c>
      <c r="I17" s="344">
        <f>SUM(C25,C31:C32)</f>
        <v>769.16200000000003</v>
      </c>
      <c r="J17" s="344">
        <f>C33</f>
        <v>495.17899999999997</v>
      </c>
      <c r="K17" s="344">
        <f>SUM(C26:C30)</f>
        <v>353.44299999999998</v>
      </c>
      <c r="L17" s="344">
        <v>0</v>
      </c>
      <c r="M17" s="349">
        <f>SUM(I17:L17)</f>
        <v>1617.7839999999999</v>
      </c>
    </row>
    <row r="18" spans="1:15">
      <c r="A18" t="s">
        <v>282</v>
      </c>
      <c r="C18">
        <v>1303.69</v>
      </c>
      <c r="D18">
        <v>1342.0840000000001</v>
      </c>
      <c r="E18">
        <v>1284.9970000000001</v>
      </c>
      <c r="F18">
        <v>1734.6220000000001</v>
      </c>
      <c r="H18" s="205" t="s">
        <v>652</v>
      </c>
      <c r="I18" s="344">
        <f>C36</f>
        <v>1.9039999999999999</v>
      </c>
      <c r="J18" s="344">
        <f>C37</f>
        <v>642.36400000000003</v>
      </c>
      <c r="K18" s="344">
        <f>C38</f>
        <v>5.8470000000000004</v>
      </c>
      <c r="L18" s="344">
        <v>0</v>
      </c>
      <c r="M18" s="349">
        <f>SUM(I18:L18)</f>
        <v>650.11500000000001</v>
      </c>
    </row>
    <row r="19" spans="1:15">
      <c r="A19" t="s">
        <v>271</v>
      </c>
      <c r="C19">
        <v>58.57</v>
      </c>
      <c r="D19">
        <v>68.149000000000001</v>
      </c>
      <c r="E19">
        <v>68.405000000000001</v>
      </c>
      <c r="F19">
        <v>70.409000000000006</v>
      </c>
      <c r="H19" s="205" t="s">
        <v>653</v>
      </c>
      <c r="I19" s="344">
        <f>SUM(C41,C48:C51)+C53</f>
        <v>57.101000000000006</v>
      </c>
      <c r="J19" s="344">
        <f>C52</f>
        <v>166.14699999999999</v>
      </c>
      <c r="K19" s="344">
        <f>SUM(C42:C43,C45:C47)</f>
        <v>12.897</v>
      </c>
      <c r="L19" s="344">
        <f>C44</f>
        <v>58.57</v>
      </c>
      <c r="M19" s="349">
        <f>SUM(I19:L19)</f>
        <v>294.71499999999997</v>
      </c>
    </row>
    <row r="20" spans="1:15">
      <c r="A20" t="s">
        <v>231</v>
      </c>
      <c r="C20">
        <v>36.118000000000002</v>
      </c>
      <c r="D20">
        <v>38.997999999999998</v>
      </c>
      <c r="E20">
        <v>39.341000000000001</v>
      </c>
      <c r="F20">
        <v>34.911999999999999</v>
      </c>
      <c r="H20" s="346" t="s">
        <v>560</v>
      </c>
      <c r="I20" s="350">
        <f>SUM(I17:I19)</f>
        <v>828.16700000000003</v>
      </c>
      <c r="J20" s="350">
        <f t="shared" ref="J20:L20" si="1">SUM(J17:J19)</f>
        <v>1303.69</v>
      </c>
      <c r="K20" s="350">
        <f t="shared" si="1"/>
        <v>372.18699999999995</v>
      </c>
      <c r="L20" s="350">
        <f t="shared" si="1"/>
        <v>58.57</v>
      </c>
      <c r="M20" s="351">
        <f>SUM(I20:L20)</f>
        <v>2562.614</v>
      </c>
    </row>
    <row r="21" spans="1:15">
      <c r="A21" t="s">
        <v>294</v>
      </c>
      <c r="C21">
        <v>5.5449999999999999</v>
      </c>
      <c r="D21">
        <v>5.1390000000000002</v>
      </c>
      <c r="E21">
        <v>5.093</v>
      </c>
      <c r="F21">
        <v>3.6</v>
      </c>
    </row>
    <row r="22" spans="1:15">
      <c r="A22" t="s">
        <v>279</v>
      </c>
      <c r="C22">
        <v>4.9749999999999996</v>
      </c>
      <c r="D22">
        <v>6.835</v>
      </c>
      <c r="E22">
        <v>5.8289999999999997</v>
      </c>
      <c r="F22">
        <v>5.6859999999999999</v>
      </c>
      <c r="H22" s="341" t="s">
        <v>739</v>
      </c>
      <c r="I22" s="30"/>
      <c r="J22" s="30"/>
      <c r="K22" s="30"/>
      <c r="L22" s="30"/>
      <c r="M22" s="30"/>
      <c r="N22" s="30"/>
      <c r="O22" s="340"/>
    </row>
    <row r="23" spans="1:15">
      <c r="H23" s="205"/>
      <c r="I23" s="61" t="s">
        <v>237</v>
      </c>
      <c r="J23" s="61" t="s">
        <v>236</v>
      </c>
      <c r="K23" s="61" t="s">
        <v>235</v>
      </c>
      <c r="L23" s="48" t="s">
        <v>233</v>
      </c>
      <c r="M23" s="48" t="s">
        <v>11</v>
      </c>
      <c r="N23" s="48" t="s">
        <v>656</v>
      </c>
      <c r="O23" s="354" t="s">
        <v>7</v>
      </c>
    </row>
    <row r="24" spans="1:15">
      <c r="A24" t="s">
        <v>603</v>
      </c>
      <c r="C24">
        <v>1617.7819999999999</v>
      </c>
      <c r="D24">
        <v>1493.0830000000001</v>
      </c>
      <c r="E24">
        <v>1480.5329999999999</v>
      </c>
      <c r="F24">
        <v>1623.079</v>
      </c>
      <c r="H24" s="205" t="s">
        <v>651</v>
      </c>
      <c r="I24" s="7">
        <f t="array" ref="I24:M24">TRANSPOSE(C26:C30)</f>
        <v>122.598</v>
      </c>
      <c r="J24" s="7">
        <v>98.799000000000007</v>
      </c>
      <c r="K24" s="7">
        <v>131.316</v>
      </c>
      <c r="L24" s="7">
        <v>0.68300000000000005</v>
      </c>
      <c r="M24" s="7">
        <v>4.7E-2</v>
      </c>
      <c r="N24" s="7"/>
      <c r="O24" s="206">
        <f t="shared" ref="O24:O25" si="2">SUM(I24:N24)</f>
        <v>353.44299999999998</v>
      </c>
    </row>
    <row r="25" spans="1:15">
      <c r="A25" t="s">
        <v>287</v>
      </c>
      <c r="C25">
        <v>338.40899999999999</v>
      </c>
      <c r="D25">
        <v>356.84199999999998</v>
      </c>
      <c r="E25">
        <v>362.45499999999998</v>
      </c>
      <c r="F25">
        <v>372.851</v>
      </c>
      <c r="H25" s="205" t="s">
        <v>652</v>
      </c>
      <c r="I25" s="7"/>
      <c r="J25" s="7"/>
      <c r="K25" s="7"/>
      <c r="L25" s="7">
        <f>C38</f>
        <v>5.8470000000000004</v>
      </c>
      <c r="M25" s="7"/>
      <c r="N25" s="7"/>
      <c r="O25" s="206">
        <f t="shared" si="2"/>
        <v>5.8470000000000004</v>
      </c>
    </row>
    <row r="26" spans="1:15">
      <c r="A26" t="s">
        <v>604</v>
      </c>
      <c r="C26">
        <v>122.598</v>
      </c>
      <c r="D26">
        <v>100.596</v>
      </c>
      <c r="E26">
        <v>120.407</v>
      </c>
      <c r="F26">
        <v>109.95399999999999</v>
      </c>
      <c r="H26" s="205" t="s">
        <v>653</v>
      </c>
      <c r="I26" s="7"/>
      <c r="J26" s="7">
        <f>C42</f>
        <v>2.0779999999999998</v>
      </c>
      <c r="K26" s="7">
        <f>C47</f>
        <v>0</v>
      </c>
      <c r="L26" s="7">
        <f>C43</f>
        <v>8.5340000000000007</v>
      </c>
      <c r="M26" s="7">
        <f>C45</f>
        <v>0.313</v>
      </c>
      <c r="N26" s="7">
        <f>C46</f>
        <v>1.972</v>
      </c>
      <c r="O26" s="206">
        <f>SUM(I26:N26)</f>
        <v>12.897</v>
      </c>
    </row>
    <row r="27" spans="1:15">
      <c r="A27" t="s">
        <v>605</v>
      </c>
      <c r="C27">
        <v>98.799000000000007</v>
      </c>
      <c r="D27">
        <v>137.321</v>
      </c>
      <c r="E27">
        <v>108.459</v>
      </c>
      <c r="F27">
        <v>104.898</v>
      </c>
      <c r="H27" s="355" t="s">
        <v>7</v>
      </c>
      <c r="I27" s="347">
        <f>SUM(I24:I26)</f>
        <v>122.598</v>
      </c>
      <c r="J27" s="347">
        <f t="shared" ref="J27:O27" si="3">SUM(J24:J26)</f>
        <v>100.87700000000001</v>
      </c>
      <c r="K27" s="347">
        <f t="shared" si="3"/>
        <v>131.316</v>
      </c>
      <c r="L27" s="347">
        <f t="shared" si="3"/>
        <v>15.064</v>
      </c>
      <c r="M27" s="347">
        <f t="shared" si="3"/>
        <v>0.36</v>
      </c>
      <c r="N27" s="347">
        <f t="shared" si="3"/>
        <v>1.972</v>
      </c>
      <c r="O27" s="348">
        <f t="shared" si="3"/>
        <v>372.18699999999995</v>
      </c>
    </row>
    <row r="28" spans="1:15">
      <c r="A28" t="s">
        <v>606</v>
      </c>
      <c r="C28">
        <v>131.316</v>
      </c>
      <c r="D28">
        <v>129.87799999999999</v>
      </c>
      <c r="E28">
        <v>133.684</v>
      </c>
      <c r="F28">
        <v>130.10400000000001</v>
      </c>
    </row>
    <row r="29" spans="1:15">
      <c r="A29" t="s">
        <v>233</v>
      </c>
      <c r="C29">
        <v>0.68300000000000005</v>
      </c>
      <c r="D29">
        <v>0.76600000000000001</v>
      </c>
      <c r="E29">
        <v>0.73099999999999998</v>
      </c>
      <c r="F29">
        <v>0.67300000000000004</v>
      </c>
      <c r="I29">
        <v>2013</v>
      </c>
    </row>
    <row r="30" spans="1:15">
      <c r="A30" t="s">
        <v>11</v>
      </c>
      <c r="C30">
        <v>4.7E-2</v>
      </c>
      <c r="D30">
        <v>4.5999999999999999E-2</v>
      </c>
      <c r="E30">
        <v>4.5999999999999999E-2</v>
      </c>
      <c r="F30">
        <v>4.3999999999999997E-2</v>
      </c>
      <c r="H30" t="s">
        <v>751</v>
      </c>
      <c r="I30">
        <f>C11</f>
        <v>339.90100000000001</v>
      </c>
    </row>
    <row r="31" spans="1:15">
      <c r="A31" t="s">
        <v>3</v>
      </c>
      <c r="C31">
        <v>22.146000000000001</v>
      </c>
      <c r="D31">
        <v>11.878</v>
      </c>
      <c r="E31">
        <v>13.599</v>
      </c>
      <c r="F31">
        <v>17.960999999999999</v>
      </c>
      <c r="H31" t="s">
        <v>3</v>
      </c>
      <c r="I31">
        <f>C16</f>
        <v>27.908999999999999</v>
      </c>
    </row>
    <row r="32" spans="1:15">
      <c r="A32" t="s">
        <v>229</v>
      </c>
      <c r="C32">
        <v>408.60700000000003</v>
      </c>
      <c r="D32">
        <v>254.76400000000001</v>
      </c>
      <c r="E32">
        <v>246.292</v>
      </c>
      <c r="F32">
        <v>269.44299999999998</v>
      </c>
      <c r="H32" t="s">
        <v>9</v>
      </c>
      <c r="I32">
        <f>C17</f>
        <v>413.71800000000002</v>
      </c>
    </row>
    <row r="33" spans="1:9">
      <c r="A33" t="s">
        <v>282</v>
      </c>
      <c r="C33">
        <v>495.17899999999997</v>
      </c>
      <c r="D33">
        <v>500.99099999999999</v>
      </c>
      <c r="E33">
        <v>494.86099999999999</v>
      </c>
      <c r="F33">
        <v>617.15099999999995</v>
      </c>
      <c r="H33" t="s">
        <v>294</v>
      </c>
      <c r="I33">
        <f>C21</f>
        <v>5.5449999999999999</v>
      </c>
    </row>
    <row r="34" spans="1:9">
      <c r="H34" t="s">
        <v>282</v>
      </c>
      <c r="I34">
        <f>C18</f>
        <v>1303.69</v>
      </c>
    </row>
    <row r="35" spans="1:9">
      <c r="A35" t="s">
        <v>607</v>
      </c>
      <c r="C35">
        <v>650.11500000000001</v>
      </c>
      <c r="D35">
        <v>659.62800000000004</v>
      </c>
      <c r="E35">
        <v>597.41200000000003</v>
      </c>
      <c r="F35">
        <v>690.35500000000002</v>
      </c>
      <c r="H35" t="s">
        <v>15</v>
      </c>
      <c r="I35">
        <f>C20</f>
        <v>36.118000000000002</v>
      </c>
    </row>
    <row r="36" spans="1:9">
      <c r="A36" t="s">
        <v>3</v>
      </c>
      <c r="C36">
        <v>1.9039999999999999</v>
      </c>
      <c r="D36">
        <v>1.1359999999999999</v>
      </c>
      <c r="E36">
        <v>2.2389999999999999</v>
      </c>
      <c r="F36">
        <v>3.7610000000000001</v>
      </c>
      <c r="I36">
        <f>SUM(I30:I35)</f>
        <v>2126.8809999999999</v>
      </c>
    </row>
    <row r="37" spans="1:9">
      <c r="A37" t="s">
        <v>282</v>
      </c>
      <c r="C37">
        <v>642.36400000000003</v>
      </c>
      <c r="D37">
        <v>651.78</v>
      </c>
      <c r="E37">
        <v>587.31100000000004</v>
      </c>
      <c r="F37">
        <v>678.404</v>
      </c>
    </row>
    <row r="38" spans="1:9">
      <c r="A38" t="s">
        <v>233</v>
      </c>
      <c r="C38">
        <v>5.8470000000000004</v>
      </c>
      <c r="D38">
        <v>6.7119999999999997</v>
      </c>
      <c r="E38">
        <v>7.8620000000000001</v>
      </c>
      <c r="F38">
        <v>8.19</v>
      </c>
    </row>
    <row r="40" spans="1:9">
      <c r="A40" t="s">
        <v>608</v>
      </c>
      <c r="C40">
        <v>294.71600000000001</v>
      </c>
      <c r="D40">
        <v>338.98</v>
      </c>
      <c r="E40">
        <v>357.99400000000003</v>
      </c>
      <c r="F40">
        <v>597.72299999999996</v>
      </c>
    </row>
    <row r="41" spans="1:9">
      <c r="A41" t="s">
        <v>238</v>
      </c>
      <c r="C41">
        <v>1.492</v>
      </c>
      <c r="D41">
        <v>1.0960000000000001</v>
      </c>
      <c r="E41">
        <v>0.48899999999999999</v>
      </c>
      <c r="F41">
        <v>0</v>
      </c>
    </row>
    <row r="42" spans="1:9">
      <c r="A42" t="s">
        <v>236</v>
      </c>
      <c r="C42">
        <v>2.0779999999999998</v>
      </c>
      <c r="D42">
        <v>2.6930000000000001</v>
      </c>
      <c r="E42">
        <v>2.7509999999999999</v>
      </c>
      <c r="F42">
        <v>3.214</v>
      </c>
    </row>
    <row r="43" spans="1:9">
      <c r="A43" t="s">
        <v>233</v>
      </c>
      <c r="C43">
        <v>8.5340000000000007</v>
      </c>
      <c r="D43">
        <v>15.657</v>
      </c>
      <c r="E43">
        <v>22.888999999999999</v>
      </c>
      <c r="F43">
        <v>28.498000000000001</v>
      </c>
    </row>
    <row r="44" spans="1:9">
      <c r="A44" t="s">
        <v>271</v>
      </c>
      <c r="C44">
        <v>58.57</v>
      </c>
      <c r="D44">
        <v>68.149000000000001</v>
      </c>
      <c r="E44">
        <v>68.405000000000001</v>
      </c>
      <c r="F44">
        <v>70.263999999999996</v>
      </c>
    </row>
    <row r="45" spans="1:9">
      <c r="A45" t="s">
        <v>11</v>
      </c>
      <c r="C45">
        <v>0.313</v>
      </c>
      <c r="D45">
        <v>0.625</v>
      </c>
      <c r="E45">
        <v>0.68200000000000005</v>
      </c>
      <c r="F45">
        <v>0.86399999999999999</v>
      </c>
    </row>
    <row r="46" spans="1:9">
      <c r="A46" t="s">
        <v>609</v>
      </c>
      <c r="C46">
        <v>1.972</v>
      </c>
      <c r="D46">
        <v>1.9259999999999999</v>
      </c>
      <c r="E46">
        <v>1.8680000000000001</v>
      </c>
      <c r="F46">
        <v>1.9119999999999999</v>
      </c>
    </row>
    <row r="47" spans="1:9">
      <c r="A47" t="s">
        <v>235</v>
      </c>
      <c r="C47">
        <v>0</v>
      </c>
      <c r="D47">
        <v>0</v>
      </c>
      <c r="E47">
        <v>0.84599999999999997</v>
      </c>
      <c r="F47">
        <v>2.4910000000000001</v>
      </c>
    </row>
    <row r="48" spans="1:9">
      <c r="A48" t="s">
        <v>231</v>
      </c>
      <c r="C48">
        <v>36.118000000000002</v>
      </c>
      <c r="D48">
        <v>38.997999999999998</v>
      </c>
      <c r="E48">
        <v>39.341000000000001</v>
      </c>
      <c r="F48">
        <v>34.911999999999999</v>
      </c>
    </row>
    <row r="49" spans="1:6">
      <c r="A49" t="s">
        <v>294</v>
      </c>
      <c r="C49">
        <v>5.5449999999999999</v>
      </c>
      <c r="D49">
        <v>5.1390000000000002</v>
      </c>
      <c r="E49">
        <v>5.093</v>
      </c>
      <c r="F49">
        <v>3.6</v>
      </c>
    </row>
    <row r="50" spans="1:6">
      <c r="A50" t="s">
        <v>3</v>
      </c>
      <c r="C50">
        <v>3.859</v>
      </c>
      <c r="D50">
        <v>4.7919999999999998</v>
      </c>
      <c r="E50">
        <v>4.8639999999999999</v>
      </c>
      <c r="F50">
        <v>6.681</v>
      </c>
    </row>
    <row r="51" spans="1:6">
      <c r="A51" t="s">
        <v>229</v>
      </c>
      <c r="C51">
        <v>5.1120000000000001</v>
      </c>
      <c r="D51">
        <v>3.7570000000000001</v>
      </c>
      <c r="E51">
        <v>2.1120000000000001</v>
      </c>
      <c r="F51">
        <v>3.8530000000000002</v>
      </c>
    </row>
    <row r="52" spans="1:6">
      <c r="A52" t="s">
        <v>282</v>
      </c>
      <c r="C52">
        <v>166.14699999999999</v>
      </c>
      <c r="D52">
        <v>189.31299999999999</v>
      </c>
      <c r="E52">
        <v>202.82499999999999</v>
      </c>
      <c r="F52">
        <v>435.74900000000002</v>
      </c>
    </row>
    <row r="53" spans="1:6">
      <c r="A53" t="s">
        <v>610</v>
      </c>
      <c r="C53">
        <v>4.9749999999999996</v>
      </c>
      <c r="D53">
        <v>6.835</v>
      </c>
      <c r="E53">
        <v>5.8289999999999997</v>
      </c>
      <c r="F53">
        <v>5.6859999999999999</v>
      </c>
    </row>
    <row r="55" spans="1:6">
      <c r="A55" t="s">
        <v>611</v>
      </c>
      <c r="C55">
        <v>0</v>
      </c>
      <c r="D55">
        <v>0</v>
      </c>
      <c r="E55">
        <v>0</v>
      </c>
      <c r="F55">
        <v>6.16</v>
      </c>
    </row>
    <row r="56" spans="1:6">
      <c r="A56" t="s">
        <v>236</v>
      </c>
      <c r="C56">
        <v>0</v>
      </c>
      <c r="D56">
        <v>0</v>
      </c>
      <c r="E56">
        <v>0</v>
      </c>
      <c r="F56">
        <v>2.3980000000000001</v>
      </c>
    </row>
    <row r="57" spans="1:6">
      <c r="A57" t="s">
        <v>271</v>
      </c>
      <c r="C57">
        <v>0</v>
      </c>
      <c r="D57">
        <v>0</v>
      </c>
      <c r="E57">
        <v>0</v>
      </c>
      <c r="F57">
        <v>0.14499999999999999</v>
      </c>
    </row>
    <row r="58" spans="1:6">
      <c r="A58" t="s">
        <v>3</v>
      </c>
      <c r="C58">
        <v>0</v>
      </c>
      <c r="D58">
        <v>0</v>
      </c>
      <c r="E58">
        <v>0</v>
      </c>
      <c r="F58">
        <v>0.29899999999999999</v>
      </c>
    </row>
    <row r="59" spans="1:6">
      <c r="A59" t="s">
        <v>10</v>
      </c>
      <c r="C59">
        <v>0</v>
      </c>
      <c r="D59">
        <v>0</v>
      </c>
      <c r="E59">
        <v>0</v>
      </c>
      <c r="F59">
        <v>3.3180000000000001</v>
      </c>
    </row>
    <row r="61" spans="1:6">
      <c r="A61" t="s">
        <v>612</v>
      </c>
      <c r="C61">
        <v>1069.625</v>
      </c>
      <c r="D61">
        <v>1091.9369999999999</v>
      </c>
      <c r="E61">
        <v>1117.259</v>
      </c>
      <c r="F61">
        <v>1153.241</v>
      </c>
    </row>
    <row r="62" spans="1:6">
      <c r="A62" t="s">
        <v>613</v>
      </c>
      <c r="C62">
        <v>621.96199999999999</v>
      </c>
      <c r="D62">
        <v>621.149</v>
      </c>
      <c r="E62">
        <v>619.14300000000003</v>
      </c>
      <c r="F62">
        <v>628.98500000000001</v>
      </c>
    </row>
    <row r="63" spans="1:6">
      <c r="A63" t="s">
        <v>614</v>
      </c>
      <c r="C63">
        <v>309.04399999999998</v>
      </c>
      <c r="D63">
        <v>315.34699999999998</v>
      </c>
      <c r="E63">
        <v>325.76799999999997</v>
      </c>
      <c r="F63">
        <v>325.18599999999998</v>
      </c>
    </row>
    <row r="64" spans="1:6">
      <c r="A64" t="s">
        <v>615</v>
      </c>
      <c r="C64">
        <v>138.619</v>
      </c>
      <c r="D64">
        <v>155.441</v>
      </c>
      <c r="E64">
        <v>172.34800000000001</v>
      </c>
      <c r="F64">
        <v>195.816</v>
      </c>
    </row>
    <row r="65" spans="1:6">
      <c r="A65" t="s">
        <v>616</v>
      </c>
      <c r="C65" t="s">
        <v>228</v>
      </c>
      <c r="D65" t="s">
        <v>228</v>
      </c>
      <c r="E65" t="s">
        <v>228</v>
      </c>
      <c r="F65">
        <v>3.254</v>
      </c>
    </row>
    <row r="67" spans="1:6">
      <c r="A67" t="s">
        <v>272</v>
      </c>
    </row>
    <row r="68" spans="1:6">
      <c r="A68" t="s">
        <v>617</v>
      </c>
    </row>
    <row r="69" spans="1:6">
      <c r="A69" t="s">
        <v>618</v>
      </c>
    </row>
    <row r="70" spans="1:6">
      <c r="A70" t="s">
        <v>619</v>
      </c>
    </row>
    <row r="72" spans="1:6">
      <c r="A72" t="s">
        <v>620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3:Y216"/>
  <sheetViews>
    <sheetView topLeftCell="J169" workbookViewId="0">
      <selection activeCell="K188" sqref="K188"/>
    </sheetView>
  </sheetViews>
  <sheetFormatPr baseColWidth="10" defaultRowHeight="15.75"/>
  <cols>
    <col min="1" max="1" width="9.875" customWidth="1"/>
    <col min="2" max="2" width="46.5" bestFit="1" customWidth="1"/>
    <col min="3" max="3" width="27.5" bestFit="1" customWidth="1"/>
    <col min="4" max="4" width="82" bestFit="1" customWidth="1"/>
    <col min="5" max="5" width="16" bestFit="1" customWidth="1"/>
    <col min="6" max="6" width="10.625" bestFit="1" customWidth="1"/>
    <col min="7" max="7" width="22" bestFit="1" customWidth="1"/>
    <col min="8" max="8" width="20.625" bestFit="1" customWidth="1"/>
    <col min="9" max="9" width="23" bestFit="1" customWidth="1"/>
    <col min="11" max="11" width="88.125" customWidth="1"/>
    <col min="12" max="12" width="18.625" bestFit="1" customWidth="1"/>
    <col min="13" max="13" width="30.125" bestFit="1" customWidth="1"/>
    <col min="14" max="14" width="29" bestFit="1" customWidth="1"/>
    <col min="15" max="15" width="31.375" bestFit="1" customWidth="1"/>
    <col min="16" max="16" width="31.375" customWidth="1"/>
    <col min="17" max="17" width="28.625" bestFit="1" customWidth="1"/>
    <col min="18" max="18" width="10.625" bestFit="1" customWidth="1"/>
    <col min="19" max="19" width="22" bestFit="1" customWidth="1"/>
    <col min="20" max="20" width="20.625" bestFit="1" customWidth="1"/>
    <col min="21" max="21" width="21.625" bestFit="1" customWidth="1"/>
    <col min="22" max="22" width="39.875" bestFit="1" customWidth="1"/>
    <col min="23" max="23" width="11.125" bestFit="1" customWidth="1"/>
    <col min="24" max="25" width="12.125" bestFit="1" customWidth="1"/>
    <col min="26" max="26" width="16.5" bestFit="1" customWidth="1"/>
    <col min="27" max="27" width="12.375" bestFit="1" customWidth="1"/>
    <col min="28" max="28" width="12" bestFit="1" customWidth="1"/>
    <col min="29" max="29" width="11.125" bestFit="1" customWidth="1"/>
    <col min="30" max="30" width="13.125" bestFit="1" customWidth="1"/>
    <col min="31" max="31" width="11.125" bestFit="1" customWidth="1"/>
    <col min="32" max="32" width="18.875" bestFit="1" customWidth="1"/>
    <col min="33" max="34" width="14" bestFit="1" customWidth="1"/>
    <col min="35" max="35" width="12.125" bestFit="1" customWidth="1"/>
    <col min="36" max="36" width="15.5" bestFit="1" customWidth="1"/>
    <col min="37" max="37" width="16.625" bestFit="1" customWidth="1"/>
    <col min="38" max="38" width="12.125" bestFit="1" customWidth="1"/>
    <col min="39" max="39" width="12.625" bestFit="1" customWidth="1"/>
    <col min="40" max="40" width="11.875" bestFit="1" customWidth="1"/>
    <col min="41" max="43" width="12.125" bestFit="1" customWidth="1"/>
    <col min="44" max="44" width="16.5" bestFit="1" customWidth="1"/>
    <col min="45" max="45" width="10.625" bestFit="1" customWidth="1"/>
    <col min="46" max="46" width="12" bestFit="1" customWidth="1"/>
    <col min="47" max="47" width="10.125" bestFit="1" customWidth="1"/>
    <col min="48" max="48" width="13.125" bestFit="1" customWidth="1"/>
    <col min="49" max="49" width="12.125" bestFit="1" customWidth="1"/>
    <col min="50" max="50" width="18.875" bestFit="1" customWidth="1"/>
    <col min="51" max="52" width="14" bestFit="1" customWidth="1"/>
    <col min="53" max="53" width="12.125" bestFit="1" customWidth="1"/>
    <col min="54" max="54" width="15.5" bestFit="1" customWidth="1"/>
    <col min="55" max="55" width="16.625" bestFit="1" customWidth="1"/>
    <col min="56" max="56" width="12.125" bestFit="1" customWidth="1"/>
    <col min="57" max="57" width="12.625" bestFit="1" customWidth="1"/>
    <col min="58" max="58" width="11.875" bestFit="1" customWidth="1"/>
    <col min="59" max="61" width="12.125" bestFit="1" customWidth="1"/>
    <col min="62" max="62" width="16.5" bestFit="1" customWidth="1"/>
    <col min="63" max="63" width="10.625" bestFit="1" customWidth="1"/>
    <col min="64" max="64" width="12" bestFit="1" customWidth="1"/>
    <col min="65" max="65" width="12.125" bestFit="1" customWidth="1"/>
    <col min="66" max="66" width="13.125" bestFit="1" customWidth="1"/>
    <col min="67" max="67" width="10.875" bestFit="1" customWidth="1"/>
    <col min="68" max="68" width="15.125" bestFit="1" customWidth="1"/>
    <col min="69" max="70" width="23.625" bestFit="1" customWidth="1"/>
    <col min="71" max="111" width="12.125" bestFit="1" customWidth="1"/>
    <col min="112" max="112" width="14.375" bestFit="1" customWidth="1"/>
    <col min="113" max="113" width="19.5" bestFit="1" customWidth="1"/>
    <col min="114" max="114" width="14.375" bestFit="1" customWidth="1"/>
    <col min="115" max="115" width="20.5" bestFit="1" customWidth="1"/>
    <col min="116" max="116" width="14.375" bestFit="1" customWidth="1"/>
    <col min="117" max="117" width="20.5" bestFit="1" customWidth="1"/>
    <col min="118" max="118" width="13.375" bestFit="1" customWidth="1"/>
    <col min="119" max="119" width="20.5" bestFit="1" customWidth="1"/>
    <col min="120" max="120" width="14.375" bestFit="1" customWidth="1"/>
    <col min="121" max="121" width="19.5" bestFit="1" customWidth="1"/>
    <col min="122" max="122" width="14.375" bestFit="1" customWidth="1"/>
    <col min="123" max="123" width="19.5" bestFit="1" customWidth="1"/>
    <col min="124" max="124" width="14.375" bestFit="1" customWidth="1"/>
    <col min="125" max="125" width="21.625" bestFit="1" customWidth="1"/>
    <col min="126" max="126" width="14.375" bestFit="1" customWidth="1"/>
    <col min="127" max="127" width="20.5" bestFit="1" customWidth="1"/>
    <col min="128" max="128" width="14.375" bestFit="1" customWidth="1"/>
    <col min="129" max="129" width="19.5" bestFit="1" customWidth="1"/>
    <col min="130" max="130" width="14.375" bestFit="1" customWidth="1"/>
    <col min="131" max="131" width="19.5" bestFit="1" customWidth="1"/>
    <col min="132" max="132" width="13.375" bestFit="1" customWidth="1"/>
    <col min="133" max="133" width="19.5" bestFit="1" customWidth="1"/>
    <col min="134" max="134" width="14.375" bestFit="1" customWidth="1"/>
    <col min="135" max="135" width="19.5" bestFit="1" customWidth="1"/>
    <col min="136" max="136" width="14.375" bestFit="1" customWidth="1"/>
    <col min="137" max="137" width="20.5" bestFit="1" customWidth="1"/>
    <col min="138" max="138" width="14.375" bestFit="1" customWidth="1"/>
    <col min="139" max="139" width="19.5" bestFit="1" customWidth="1"/>
    <col min="140" max="140" width="14.375" bestFit="1" customWidth="1"/>
    <col min="141" max="141" width="21.625" bestFit="1" customWidth="1"/>
    <col min="142" max="142" width="14.375" bestFit="1" customWidth="1"/>
    <col min="143" max="143" width="21.625" bestFit="1" customWidth="1"/>
    <col min="144" max="144" width="14.375" bestFit="1" customWidth="1"/>
    <col min="145" max="145" width="20.5" bestFit="1" customWidth="1"/>
    <col min="146" max="146" width="14.375" bestFit="1" customWidth="1"/>
    <col min="147" max="147" width="21.625" bestFit="1" customWidth="1"/>
    <col min="148" max="148" width="14.375" bestFit="1" customWidth="1"/>
    <col min="149" max="149" width="20.5" bestFit="1" customWidth="1"/>
    <col min="150" max="150" width="14.375" bestFit="1" customWidth="1"/>
    <col min="151" max="151" width="20.5" bestFit="1" customWidth="1"/>
    <col min="152" max="152" width="14.375" bestFit="1" customWidth="1"/>
    <col min="153" max="153" width="21.625" bestFit="1" customWidth="1"/>
    <col min="154" max="154" width="13.375" bestFit="1" customWidth="1"/>
    <col min="155" max="155" width="21.625" bestFit="1" customWidth="1"/>
    <col min="156" max="156" width="14.375" bestFit="1" customWidth="1"/>
    <col min="157" max="157" width="20.5" bestFit="1" customWidth="1"/>
    <col min="158" max="158" width="14.375" bestFit="1" customWidth="1"/>
    <col min="159" max="159" width="20.5" bestFit="1" customWidth="1"/>
    <col min="160" max="160" width="14.375" bestFit="1" customWidth="1"/>
    <col min="161" max="161" width="21.625" bestFit="1" customWidth="1"/>
    <col min="162" max="162" width="14.375" bestFit="1" customWidth="1"/>
    <col min="163" max="163" width="20.5" bestFit="1" customWidth="1"/>
    <col min="164" max="164" width="14.375" bestFit="1" customWidth="1"/>
    <col min="165" max="165" width="21.625" bestFit="1" customWidth="1"/>
    <col min="166" max="166" width="14.375" bestFit="1" customWidth="1"/>
    <col min="167" max="167" width="20.5" bestFit="1" customWidth="1"/>
    <col min="168" max="168" width="14.375" bestFit="1" customWidth="1"/>
    <col min="169" max="169" width="21.625" bestFit="1" customWidth="1"/>
    <col min="170" max="170" width="14.375" bestFit="1" customWidth="1"/>
    <col min="171" max="171" width="21.625" bestFit="1" customWidth="1"/>
    <col min="172" max="172" width="14.375" bestFit="1" customWidth="1"/>
    <col min="173" max="173" width="21.625" bestFit="1" customWidth="1"/>
    <col min="174" max="174" width="14.375" bestFit="1" customWidth="1"/>
    <col min="175" max="175" width="20.5" bestFit="1" customWidth="1"/>
    <col min="176" max="176" width="14.375" bestFit="1" customWidth="1"/>
    <col min="177" max="177" width="20.5" bestFit="1" customWidth="1"/>
    <col min="178" max="178" width="14.375" bestFit="1" customWidth="1"/>
    <col min="179" max="179" width="21.625" bestFit="1" customWidth="1"/>
    <col min="180" max="180" width="14.375" bestFit="1" customWidth="1"/>
    <col min="181" max="181" width="21.625" bestFit="1" customWidth="1"/>
    <col min="182" max="182" width="14.375" bestFit="1" customWidth="1"/>
    <col min="183" max="183" width="21.625" bestFit="1" customWidth="1"/>
    <col min="184" max="184" width="14.375" bestFit="1" customWidth="1"/>
    <col min="185" max="185" width="21.625" bestFit="1" customWidth="1"/>
    <col min="186" max="186" width="14.375" bestFit="1" customWidth="1"/>
    <col min="187" max="187" width="21.625" bestFit="1" customWidth="1"/>
    <col min="188" max="188" width="13.375" bestFit="1" customWidth="1"/>
    <col min="189" max="189" width="21.625" bestFit="1" customWidth="1"/>
    <col min="190" max="190" width="14.375" bestFit="1" customWidth="1"/>
    <col min="191" max="191" width="21.625" bestFit="1" customWidth="1"/>
    <col min="192" max="192" width="14.375" bestFit="1" customWidth="1"/>
    <col min="193" max="193" width="21.625" bestFit="1" customWidth="1"/>
    <col min="194" max="194" width="14.375" bestFit="1" customWidth="1"/>
    <col min="195" max="195" width="21.625" bestFit="1" customWidth="1"/>
    <col min="196" max="196" width="14.375" bestFit="1" customWidth="1"/>
    <col min="197" max="197" width="21.625" bestFit="1" customWidth="1"/>
    <col min="198" max="198" width="14.375" bestFit="1" customWidth="1"/>
    <col min="199" max="199" width="21.625" bestFit="1" customWidth="1"/>
    <col min="200" max="200" width="12.375" bestFit="1" customWidth="1"/>
    <col min="201" max="201" width="20.5" bestFit="1" customWidth="1"/>
    <col min="202" max="202" width="14.375" bestFit="1" customWidth="1"/>
    <col min="203" max="203" width="21.625" bestFit="1" customWidth="1"/>
    <col min="204" max="204" width="14.375" bestFit="1" customWidth="1"/>
    <col min="205" max="205" width="21.625" bestFit="1" customWidth="1"/>
    <col min="206" max="206" width="14.375" bestFit="1" customWidth="1"/>
    <col min="207" max="207" width="21.625" bestFit="1" customWidth="1"/>
    <col min="208" max="208" width="14.375" bestFit="1" customWidth="1"/>
    <col min="209" max="209" width="20.5" bestFit="1" customWidth="1"/>
    <col min="210" max="210" width="14.375" bestFit="1" customWidth="1"/>
    <col min="211" max="211" width="21.625" bestFit="1" customWidth="1"/>
    <col min="212" max="212" width="14.375" bestFit="1" customWidth="1"/>
    <col min="213" max="213" width="20.5" bestFit="1" customWidth="1"/>
    <col min="214" max="214" width="12" bestFit="1" customWidth="1"/>
  </cols>
  <sheetData>
    <row r="3" spans="2:25" ht="19.5" thickBot="1">
      <c r="B3" s="31" t="s">
        <v>364</v>
      </c>
      <c r="C3" s="31" t="s">
        <v>0</v>
      </c>
      <c r="D3" s="31" t="s">
        <v>363</v>
      </c>
      <c r="E3" s="31" t="s">
        <v>362</v>
      </c>
      <c r="F3" s="31" t="s">
        <v>355</v>
      </c>
      <c r="G3" s="32" t="s">
        <v>354</v>
      </c>
      <c r="H3" s="32" t="s">
        <v>353</v>
      </c>
      <c r="I3" s="32" t="s">
        <v>361</v>
      </c>
    </row>
    <row r="4" spans="2:25" ht="19.5" thickBot="1">
      <c r="B4" s="7" t="s">
        <v>330</v>
      </c>
      <c r="C4" s="7" t="s">
        <v>299</v>
      </c>
      <c r="D4" s="7" t="s">
        <v>281</v>
      </c>
      <c r="E4" s="27" t="s">
        <v>234</v>
      </c>
      <c r="F4" s="20">
        <v>4.0359999999999996</v>
      </c>
      <c r="G4" s="20">
        <v>0</v>
      </c>
      <c r="H4" s="34">
        <v>0</v>
      </c>
      <c r="I4" s="19">
        <v>0</v>
      </c>
      <c r="K4" s="9" t="s">
        <v>45</v>
      </c>
      <c r="L4" t="s">
        <v>360</v>
      </c>
      <c r="M4" t="s">
        <v>359</v>
      </c>
      <c r="N4" t="s">
        <v>358</v>
      </c>
      <c r="O4" t="s">
        <v>357</v>
      </c>
      <c r="Q4" s="33" t="s">
        <v>356</v>
      </c>
      <c r="R4" s="31" t="s">
        <v>355</v>
      </c>
      <c r="S4" s="32" t="s">
        <v>354</v>
      </c>
      <c r="T4" s="32" t="s">
        <v>353</v>
      </c>
      <c r="U4" s="32" t="s">
        <v>352</v>
      </c>
      <c r="V4" s="31" t="s">
        <v>351</v>
      </c>
    </row>
    <row r="5" spans="2:25">
      <c r="B5" s="7" t="s">
        <v>330</v>
      </c>
      <c r="C5" s="7" t="s">
        <v>299</v>
      </c>
      <c r="D5" s="7" t="s">
        <v>281</v>
      </c>
      <c r="E5" s="27" t="s">
        <v>17</v>
      </c>
      <c r="F5" s="20">
        <v>255.42239699999999</v>
      </c>
      <c r="G5" s="20">
        <v>0</v>
      </c>
      <c r="H5" s="20">
        <v>0</v>
      </c>
      <c r="I5" s="19">
        <v>0</v>
      </c>
      <c r="K5" s="193" t="s">
        <v>304</v>
      </c>
      <c r="L5" s="13">
        <v>2267.8966499999997</v>
      </c>
      <c r="M5" s="13">
        <v>143200.69374341716</v>
      </c>
      <c r="N5" s="13">
        <v>132752.0438284</v>
      </c>
      <c r="O5" s="13">
        <v>121984.29252781192</v>
      </c>
      <c r="P5" s="13"/>
      <c r="Q5" s="30" t="s">
        <v>238</v>
      </c>
      <c r="R5" s="29">
        <f>+F127</f>
        <v>3.526732</v>
      </c>
      <c r="S5" s="29">
        <f>+G127</f>
        <v>386.52280900331999</v>
      </c>
      <c r="T5" s="29">
        <f>+H127</f>
        <v>333.6288472</v>
      </c>
      <c r="U5" s="26" t="s">
        <v>348</v>
      </c>
      <c r="V5" s="28" t="s">
        <v>228</v>
      </c>
    </row>
    <row r="6" spans="2:25">
      <c r="B6" s="7" t="s">
        <v>330</v>
      </c>
      <c r="C6" s="7" t="s">
        <v>299</v>
      </c>
      <c r="D6" s="7" t="s">
        <v>281</v>
      </c>
      <c r="E6" s="27" t="s">
        <v>294</v>
      </c>
      <c r="F6" s="20">
        <v>256.95786800000002</v>
      </c>
      <c r="G6" s="20">
        <v>16723.5632272572</v>
      </c>
      <c r="H6" s="20">
        <v>16214.041470800001</v>
      </c>
      <c r="I6" s="19">
        <v>0</v>
      </c>
      <c r="K6" s="16" t="s">
        <v>303</v>
      </c>
      <c r="L6" s="13">
        <v>2267.8966499999997</v>
      </c>
      <c r="M6" s="13">
        <v>143200.69374341716</v>
      </c>
      <c r="N6" s="13">
        <v>132752.0438284</v>
      </c>
      <c r="O6" s="13">
        <v>121984.29252781192</v>
      </c>
      <c r="P6" s="13"/>
      <c r="Q6" s="7" t="s">
        <v>285</v>
      </c>
      <c r="R6" s="26">
        <f>+F128+F129</f>
        <v>383.4492381735671</v>
      </c>
      <c r="S6" s="26">
        <f>+G128+G129</f>
        <v>22201.602994002191</v>
      </c>
      <c r="T6" s="26">
        <f>+H128+H129</f>
        <v>21710.790852797116</v>
      </c>
      <c r="U6" s="26" t="s">
        <v>348</v>
      </c>
      <c r="V6" s="25">
        <v>21145.71</v>
      </c>
    </row>
    <row r="7" spans="2:25">
      <c r="B7" s="7" t="s">
        <v>330</v>
      </c>
      <c r="C7" s="7" t="s">
        <v>299</v>
      </c>
      <c r="D7" s="7" t="s">
        <v>281</v>
      </c>
      <c r="E7" s="27" t="s">
        <v>230</v>
      </c>
      <c r="F7" s="20">
        <v>1.351008</v>
      </c>
      <c r="G7" s="20">
        <v>98.102121932160003</v>
      </c>
      <c r="H7" s="20">
        <v>0</v>
      </c>
      <c r="I7" s="19">
        <v>0</v>
      </c>
      <c r="K7" s="15" t="s">
        <v>325</v>
      </c>
      <c r="L7" s="13">
        <v>298.21721077909376</v>
      </c>
      <c r="M7" s="13">
        <v>38144.202976866392</v>
      </c>
      <c r="N7" s="13">
        <v>30119.93828868847</v>
      </c>
      <c r="O7" s="13">
        <v>25018.789872247271</v>
      </c>
      <c r="P7" s="13"/>
      <c r="Q7" s="7" t="s">
        <v>286</v>
      </c>
      <c r="R7" s="26">
        <f t="shared" ref="R7:T8" si="0">+F130</f>
        <v>112.85074853466141</v>
      </c>
      <c r="S7" s="26">
        <f t="shared" si="0"/>
        <v>6517.7965472930509</v>
      </c>
      <c r="T7" s="26">
        <f t="shared" si="0"/>
        <v>6330.9269927945052</v>
      </c>
      <c r="U7" s="26" t="s">
        <v>348</v>
      </c>
      <c r="V7" s="25">
        <v>6284.83</v>
      </c>
      <c r="Y7" s="19"/>
    </row>
    <row r="8" spans="2:25">
      <c r="B8" s="7" t="s">
        <v>330</v>
      </c>
      <c r="C8" s="7" t="s">
        <v>299</v>
      </c>
      <c r="D8" s="7" t="s">
        <v>281</v>
      </c>
      <c r="E8" s="27" t="s">
        <v>10</v>
      </c>
      <c r="F8" s="20">
        <v>33.802999999999997</v>
      </c>
      <c r="G8" s="20">
        <v>1952.3226877</v>
      </c>
      <c r="H8" s="20">
        <v>1896.3482999999999</v>
      </c>
      <c r="I8" s="19">
        <v>0</v>
      </c>
      <c r="K8" s="14" t="s">
        <v>287</v>
      </c>
      <c r="L8" s="13">
        <v>298.21721077909376</v>
      </c>
      <c r="M8" s="13">
        <v>38144.202976866392</v>
      </c>
      <c r="N8" s="13">
        <v>30119.93828868847</v>
      </c>
      <c r="O8" s="13">
        <v>25018.789872247271</v>
      </c>
      <c r="P8" s="13"/>
      <c r="Q8" s="7" t="s">
        <v>284</v>
      </c>
      <c r="R8" s="26">
        <f t="shared" si="0"/>
        <v>96.149994922306163</v>
      </c>
      <c r="S8" s="26">
        <f t="shared" si="0"/>
        <v>5553.2294917332219</v>
      </c>
      <c r="T8" s="26">
        <f t="shared" si="0"/>
        <v>5394.0147151413757</v>
      </c>
      <c r="U8" s="26" t="s">
        <v>348</v>
      </c>
      <c r="V8" s="25">
        <v>5476.43</v>
      </c>
    </row>
    <row r="9" spans="2:25">
      <c r="B9" s="7" t="s">
        <v>330</v>
      </c>
      <c r="C9" s="7" t="s">
        <v>299</v>
      </c>
      <c r="D9" s="7" t="s">
        <v>281</v>
      </c>
      <c r="E9" s="27" t="s">
        <v>4</v>
      </c>
      <c r="F9" s="20">
        <v>191.13900000000001</v>
      </c>
      <c r="G9" s="20">
        <v>0</v>
      </c>
      <c r="H9" s="20">
        <v>0</v>
      </c>
      <c r="I9" s="19">
        <v>0</v>
      </c>
      <c r="K9" s="15" t="s">
        <v>324</v>
      </c>
      <c r="L9" s="13">
        <v>1051.4445238765484</v>
      </c>
      <c r="M9" s="13">
        <v>60727.124776561541</v>
      </c>
      <c r="N9" s="13">
        <v>58986.037789474358</v>
      </c>
      <c r="O9" s="13">
        <v>50268.849253219865</v>
      </c>
      <c r="P9" s="13"/>
      <c r="Q9" s="7" t="s">
        <v>350</v>
      </c>
      <c r="R9" s="26">
        <f>+F132+F133</f>
        <v>265.98138475710471</v>
      </c>
      <c r="S9" s="26">
        <f>+G132+G133</f>
        <v>15432.18152767728</v>
      </c>
      <c r="T9" s="26">
        <f>+H132+H133</f>
        <v>15175.195710113574</v>
      </c>
      <c r="U9" s="26" t="s">
        <v>348</v>
      </c>
      <c r="V9" s="25">
        <v>15414.22</v>
      </c>
    </row>
    <row r="10" spans="2:25">
      <c r="B10" s="7" t="s">
        <v>330</v>
      </c>
      <c r="C10" s="7" t="s">
        <v>299</v>
      </c>
      <c r="D10" s="7" t="s">
        <v>298</v>
      </c>
      <c r="E10" s="27" t="s">
        <v>234</v>
      </c>
      <c r="F10" s="20">
        <v>2.819</v>
      </c>
      <c r="G10" s="20">
        <v>0</v>
      </c>
      <c r="H10" s="20">
        <v>0</v>
      </c>
      <c r="I10" s="19">
        <v>0</v>
      </c>
      <c r="K10" s="14" t="s">
        <v>10</v>
      </c>
      <c r="L10" s="13">
        <v>1051.4445238765484</v>
      </c>
      <c r="M10" s="13">
        <v>60727.124776561541</v>
      </c>
      <c r="N10" s="13">
        <v>58986.037789474358</v>
      </c>
      <c r="O10" s="13">
        <v>50268.849253219865</v>
      </c>
      <c r="P10" s="13"/>
      <c r="Q10" s="7" t="s">
        <v>349</v>
      </c>
      <c r="R10" s="26">
        <f>+SUM(F134:F153)</f>
        <v>2267.8966499999997</v>
      </c>
      <c r="S10" s="26">
        <f>+SUM(G134:G153)</f>
        <v>143200.69374341716</v>
      </c>
      <c r="T10" s="26">
        <f>+SUM(H134:H153)</f>
        <v>132752.0438284</v>
      </c>
      <c r="U10" s="26">
        <f>+SUM(I134:I153)</f>
        <v>121984.29252781192</v>
      </c>
      <c r="V10" s="25">
        <v>126670.18</v>
      </c>
    </row>
    <row r="11" spans="2:25">
      <c r="B11" s="7" t="s">
        <v>330</v>
      </c>
      <c r="C11" s="7" t="s">
        <v>299</v>
      </c>
      <c r="D11" s="7" t="s">
        <v>298</v>
      </c>
      <c r="E11" s="27" t="s">
        <v>294</v>
      </c>
      <c r="F11" s="20">
        <v>65.030894000000004</v>
      </c>
      <c r="G11" s="20">
        <v>4232.3991711126009</v>
      </c>
      <c r="H11" s="20">
        <v>4103.4494113999999</v>
      </c>
      <c r="I11" s="19">
        <v>0</v>
      </c>
      <c r="K11" s="15" t="s">
        <v>323</v>
      </c>
      <c r="L11" s="13">
        <v>16.284303395455634</v>
      </c>
      <c r="M11" s="13">
        <v>940.51459847759611</v>
      </c>
      <c r="N11" s="13">
        <v>913.54942048506098</v>
      </c>
      <c r="O11" s="13">
        <v>778.54149599999994</v>
      </c>
      <c r="P11" s="13"/>
      <c r="Q11" s="7" t="s">
        <v>273</v>
      </c>
      <c r="R11" s="26">
        <f>+SUM(F4:F14)</f>
        <v>876.13341000000003</v>
      </c>
      <c r="S11" s="26">
        <f>+SUM(G4:G14)</f>
        <v>23967.57411795907</v>
      </c>
      <c r="T11" s="26">
        <f>+SUM(H4:H14)</f>
        <v>23162.142488500001</v>
      </c>
      <c r="U11" s="26" t="s">
        <v>348</v>
      </c>
      <c r="V11" s="25">
        <v>25125.17</v>
      </c>
    </row>
    <row r="12" spans="2:25">
      <c r="B12" s="7" t="s">
        <v>330</v>
      </c>
      <c r="C12" s="7" t="s">
        <v>299</v>
      </c>
      <c r="D12" s="7" t="s">
        <v>298</v>
      </c>
      <c r="E12" s="21" t="s">
        <v>3</v>
      </c>
      <c r="F12" s="20">
        <v>4.3962430000000001</v>
      </c>
      <c r="G12" s="20">
        <v>320.26968765711007</v>
      </c>
      <c r="H12" s="20">
        <v>325.76160629999998</v>
      </c>
      <c r="I12" s="19">
        <v>0</v>
      </c>
      <c r="K12" s="14" t="s">
        <v>10</v>
      </c>
      <c r="L12" s="13">
        <v>16.284303395455634</v>
      </c>
      <c r="M12" s="13">
        <v>940.51459847759611</v>
      </c>
      <c r="N12" s="13">
        <v>913.54942048506098</v>
      </c>
      <c r="O12" s="13">
        <v>778.54149599999994</v>
      </c>
      <c r="P12" s="13"/>
      <c r="Q12" s="7" t="s">
        <v>227</v>
      </c>
      <c r="R12" s="26">
        <f>+F32+F31+F33</f>
        <v>43.064980999999996</v>
      </c>
      <c r="S12" s="26">
        <f>+G32+G31+G33</f>
        <v>392.96541354378002</v>
      </c>
      <c r="T12" s="26">
        <f>+H32+H31+H33</f>
        <v>380.42087670000001</v>
      </c>
      <c r="U12" s="26" t="s">
        <v>348</v>
      </c>
      <c r="V12" s="25">
        <v>379.39</v>
      </c>
    </row>
    <row r="13" spans="2:25">
      <c r="B13" s="7" t="s">
        <v>330</v>
      </c>
      <c r="C13" s="7" t="s">
        <v>299</v>
      </c>
      <c r="D13" s="7" t="s">
        <v>298</v>
      </c>
      <c r="E13" s="21" t="s">
        <v>10</v>
      </c>
      <c r="F13" s="20">
        <v>11.097</v>
      </c>
      <c r="G13" s="20">
        <v>640.91722230000005</v>
      </c>
      <c r="H13" s="20">
        <v>622.54169999999999</v>
      </c>
      <c r="I13" s="19">
        <v>0</v>
      </c>
      <c r="K13" s="15" t="s">
        <v>322</v>
      </c>
      <c r="L13" s="13">
        <v>408.48248020040592</v>
      </c>
      <c r="M13" s="13">
        <v>32454.014748418289</v>
      </c>
      <c r="N13" s="13">
        <v>32964.536152172761</v>
      </c>
      <c r="O13" s="13">
        <v>1688.8980994351048</v>
      </c>
      <c r="P13" s="13"/>
      <c r="Q13" s="18" t="s">
        <v>48</v>
      </c>
      <c r="R13" s="24">
        <f>+SUM(F16:F30)</f>
        <v>2387.7638480000001</v>
      </c>
      <c r="S13" s="24">
        <f>+SUM(G16:G30)</f>
        <v>171444.61183457234</v>
      </c>
      <c r="T13" s="24">
        <f>+SUM(H16:H30)</f>
        <v>159583.49180770002</v>
      </c>
      <c r="U13" s="24" t="s">
        <v>348</v>
      </c>
      <c r="V13" s="23">
        <v>173564.84</v>
      </c>
    </row>
    <row r="14" spans="2:25">
      <c r="B14" s="7" t="s">
        <v>330</v>
      </c>
      <c r="C14" s="7" t="s">
        <v>299</v>
      </c>
      <c r="D14" s="7" t="s">
        <v>298</v>
      </c>
      <c r="E14" s="21" t="s">
        <v>4</v>
      </c>
      <c r="F14" s="20">
        <v>50.081000000000003</v>
      </c>
      <c r="G14" s="20">
        <v>0</v>
      </c>
      <c r="H14" s="20">
        <v>0</v>
      </c>
      <c r="I14" s="19">
        <v>0</v>
      </c>
      <c r="K14" s="14" t="s">
        <v>229</v>
      </c>
      <c r="L14" s="13">
        <v>408.48248020040592</v>
      </c>
      <c r="M14" s="13">
        <v>32454.014748418289</v>
      </c>
      <c r="N14" s="13">
        <v>32964.536152172761</v>
      </c>
      <c r="O14" s="13">
        <v>1688.8980994351048</v>
      </c>
      <c r="P14" s="13"/>
    </row>
    <row r="15" spans="2:25">
      <c r="B15" s="7" t="s">
        <v>330</v>
      </c>
      <c r="C15" s="7" t="s">
        <v>299</v>
      </c>
      <c r="D15" s="7" t="s">
        <v>297</v>
      </c>
      <c r="E15" s="21" t="s">
        <v>4</v>
      </c>
      <c r="F15" s="20">
        <v>33.427</v>
      </c>
      <c r="G15" s="20">
        <v>0</v>
      </c>
      <c r="H15" s="20">
        <v>0</v>
      </c>
      <c r="I15" s="19">
        <v>0</v>
      </c>
      <c r="K15" s="15" t="s">
        <v>320</v>
      </c>
      <c r="L15" s="13">
        <v>0</v>
      </c>
      <c r="M15" s="13">
        <v>0</v>
      </c>
      <c r="N15" s="13">
        <v>0</v>
      </c>
      <c r="O15" s="13">
        <v>0</v>
      </c>
      <c r="P15" s="13"/>
      <c r="Q15" s="3" t="s">
        <v>347</v>
      </c>
    </row>
    <row r="16" spans="2:25">
      <c r="B16" s="7" t="s">
        <v>330</v>
      </c>
      <c r="C16" s="7" t="s">
        <v>48</v>
      </c>
      <c r="D16" s="7" t="s">
        <v>280</v>
      </c>
      <c r="E16" s="21" t="s">
        <v>294</v>
      </c>
      <c r="F16" s="20">
        <v>54.098236</v>
      </c>
      <c r="G16" s="20">
        <v>3520.8700837644001</v>
      </c>
      <c r="H16" s="20">
        <v>3413.5986916000002</v>
      </c>
      <c r="I16" s="19">
        <v>0</v>
      </c>
      <c r="K16" s="14" t="s">
        <v>301</v>
      </c>
      <c r="L16" s="13">
        <v>0</v>
      </c>
      <c r="M16" s="13">
        <v>0</v>
      </c>
      <c r="N16" s="13">
        <v>0</v>
      </c>
      <c r="O16" s="13">
        <v>0</v>
      </c>
      <c r="P16" s="13"/>
      <c r="Q16" s="684" t="s">
        <v>346</v>
      </c>
      <c r="R16" s="684"/>
      <c r="S16" s="684"/>
      <c r="T16" s="684"/>
      <c r="U16" s="684"/>
      <c r="V16" s="684"/>
    </row>
    <row r="17" spans="2:22">
      <c r="B17" s="7" t="s">
        <v>330</v>
      </c>
      <c r="C17" s="7" t="s">
        <v>48</v>
      </c>
      <c r="D17" s="7" t="s">
        <v>280</v>
      </c>
      <c r="E17" s="21" t="s">
        <v>293</v>
      </c>
      <c r="F17" s="20">
        <v>1471.103975</v>
      </c>
      <c r="G17" s="20">
        <v>105436.87141664958</v>
      </c>
      <c r="H17" s="20">
        <v>101947.5054675</v>
      </c>
      <c r="I17" s="19">
        <v>0</v>
      </c>
      <c r="K17" s="15" t="s">
        <v>319</v>
      </c>
      <c r="L17" s="13">
        <v>0.12404279959408351</v>
      </c>
      <c r="M17" s="13">
        <v>9.8552252363098543</v>
      </c>
      <c r="N17" s="13">
        <v>10.010253927242541</v>
      </c>
      <c r="O17" s="13">
        <v>0.51286324049999998</v>
      </c>
      <c r="P17" s="13"/>
      <c r="Q17" s="684"/>
      <c r="R17" s="684"/>
      <c r="S17" s="684"/>
      <c r="T17" s="684"/>
      <c r="U17" s="684"/>
      <c r="V17" s="684"/>
    </row>
    <row r="18" spans="2:22">
      <c r="B18" s="7" t="s">
        <v>330</v>
      </c>
      <c r="C18" s="7" t="s">
        <v>48</v>
      </c>
      <c r="D18" s="7" t="s">
        <v>280</v>
      </c>
      <c r="E18" s="21" t="s">
        <v>3</v>
      </c>
      <c r="F18" s="20">
        <v>548.57963900000004</v>
      </c>
      <c r="G18" s="20">
        <v>39964.449107472035</v>
      </c>
      <c r="H18" s="20">
        <v>40649.751249900008</v>
      </c>
      <c r="I18" s="19">
        <v>0</v>
      </c>
      <c r="K18" s="14" t="s">
        <v>229</v>
      </c>
      <c r="L18" s="13">
        <v>0.12404279959408351</v>
      </c>
      <c r="M18" s="13">
        <v>9.8552252363098543</v>
      </c>
      <c r="N18" s="13">
        <v>10.010253927242541</v>
      </c>
      <c r="O18" s="13">
        <v>0.51286324049999998</v>
      </c>
      <c r="P18" s="13"/>
      <c r="Q18" s="683" t="s">
        <v>345</v>
      </c>
      <c r="R18" s="683"/>
      <c r="S18" s="683"/>
      <c r="T18" s="683"/>
      <c r="U18" s="683"/>
      <c r="V18" s="683"/>
    </row>
    <row r="19" spans="2:22" ht="15.95" customHeight="1">
      <c r="B19" s="7" t="s">
        <v>330</v>
      </c>
      <c r="C19" s="7" t="s">
        <v>48</v>
      </c>
      <c r="D19" s="7" t="s">
        <v>280</v>
      </c>
      <c r="E19" s="21" t="s">
        <v>10</v>
      </c>
      <c r="F19" s="20">
        <v>0.86699999999999999</v>
      </c>
      <c r="G19" s="20">
        <v>50.074365299999997</v>
      </c>
      <c r="H19" s="20">
        <v>48.6387</v>
      </c>
      <c r="I19" s="19">
        <v>0</v>
      </c>
      <c r="K19" s="15" t="s">
        <v>318</v>
      </c>
      <c r="L19" s="13">
        <v>6.5296000000000003</v>
      </c>
      <c r="M19" s="13">
        <v>0</v>
      </c>
      <c r="N19" s="13">
        <v>0</v>
      </c>
      <c r="O19" s="13">
        <v>0</v>
      </c>
      <c r="P19" s="13"/>
      <c r="Q19" s="685" t="s">
        <v>344</v>
      </c>
      <c r="R19" s="685"/>
      <c r="S19" s="685"/>
      <c r="T19" s="685"/>
      <c r="U19" s="685"/>
      <c r="V19" s="685"/>
    </row>
    <row r="20" spans="2:22">
      <c r="B20" s="7" t="s">
        <v>330</v>
      </c>
      <c r="C20" s="7" t="s">
        <v>48</v>
      </c>
      <c r="D20" s="7" t="s">
        <v>296</v>
      </c>
      <c r="E20" s="21" t="s">
        <v>293</v>
      </c>
      <c r="F20" s="20">
        <v>0.85647499999999999</v>
      </c>
      <c r="G20" s="20">
        <v>61.385222242075002</v>
      </c>
      <c r="H20" s="20">
        <v>59.353717500000002</v>
      </c>
      <c r="I20" s="19">
        <v>0</v>
      </c>
      <c r="K20" s="14" t="s">
        <v>233</v>
      </c>
      <c r="L20" s="13">
        <v>6.5296000000000003</v>
      </c>
      <c r="M20" s="13">
        <v>0</v>
      </c>
      <c r="N20" s="13">
        <v>0</v>
      </c>
      <c r="O20" s="13">
        <v>0</v>
      </c>
      <c r="P20" s="13"/>
      <c r="Q20" s="685"/>
      <c r="R20" s="685"/>
      <c r="S20" s="685"/>
      <c r="T20" s="685"/>
      <c r="U20" s="685"/>
      <c r="V20" s="685"/>
    </row>
    <row r="21" spans="2:22">
      <c r="B21" s="7" t="s">
        <v>330</v>
      </c>
      <c r="C21" s="7" t="s">
        <v>48</v>
      </c>
      <c r="D21" s="7" t="s">
        <v>296</v>
      </c>
      <c r="E21" s="21" t="s">
        <v>230</v>
      </c>
      <c r="F21" s="20">
        <v>126.329669</v>
      </c>
      <c r="G21" s="20">
        <v>9173.305111359381</v>
      </c>
      <c r="H21" s="20">
        <v>0</v>
      </c>
      <c r="I21" s="19">
        <v>0</v>
      </c>
      <c r="K21" s="15" t="s">
        <v>316</v>
      </c>
      <c r="L21" s="13">
        <v>0</v>
      </c>
      <c r="M21" s="13">
        <v>0</v>
      </c>
      <c r="N21" s="13">
        <v>0</v>
      </c>
      <c r="O21" s="13">
        <v>0</v>
      </c>
      <c r="P21" s="13"/>
      <c r="Q21" s="685"/>
      <c r="R21" s="685"/>
      <c r="S21" s="685"/>
      <c r="T21" s="685"/>
      <c r="U21" s="685"/>
      <c r="V21" s="685"/>
    </row>
    <row r="22" spans="2:22">
      <c r="B22" s="7" t="s">
        <v>330</v>
      </c>
      <c r="C22" s="7" t="s">
        <v>48</v>
      </c>
      <c r="D22" s="7" t="s">
        <v>292</v>
      </c>
      <c r="E22" s="21" t="s">
        <v>3</v>
      </c>
      <c r="F22" s="20">
        <v>28.674313999999999</v>
      </c>
      <c r="G22" s="20">
        <v>2088.94585412178</v>
      </c>
      <c r="H22" s="20">
        <v>2124.7666674000002</v>
      </c>
      <c r="I22" s="19">
        <v>0</v>
      </c>
      <c r="K22" s="14" t="s">
        <v>301</v>
      </c>
      <c r="L22" s="13">
        <v>0</v>
      </c>
      <c r="M22" s="13">
        <v>0</v>
      </c>
      <c r="N22" s="13">
        <v>0</v>
      </c>
      <c r="O22" s="13">
        <v>0</v>
      </c>
      <c r="P22" s="13"/>
    </row>
    <row r="23" spans="2:22">
      <c r="B23" s="7" t="s">
        <v>330</v>
      </c>
      <c r="C23" s="7" t="s">
        <v>48</v>
      </c>
      <c r="D23" s="7" t="s">
        <v>292</v>
      </c>
      <c r="E23" s="21" t="s">
        <v>229</v>
      </c>
      <c r="F23" s="20">
        <v>8.1303E-2</v>
      </c>
      <c r="G23" s="20">
        <v>6.4595396106000003</v>
      </c>
      <c r="H23" s="20">
        <v>6.5611521000000002</v>
      </c>
      <c r="I23" s="19">
        <v>0</v>
      </c>
      <c r="K23" s="15" t="s">
        <v>315</v>
      </c>
      <c r="L23" s="13">
        <v>131.31599900000001</v>
      </c>
      <c r="M23" s="13">
        <v>0</v>
      </c>
      <c r="N23" s="13">
        <v>0</v>
      </c>
      <c r="O23" s="13">
        <v>0</v>
      </c>
      <c r="P23" s="13"/>
      <c r="Q23" s="681" t="s">
        <v>343</v>
      </c>
      <c r="R23" s="681"/>
      <c r="S23" s="681"/>
      <c r="T23" s="681"/>
      <c r="U23" s="681"/>
      <c r="V23" s="681"/>
    </row>
    <row r="24" spans="2:22">
      <c r="B24" s="7" t="s">
        <v>330</v>
      </c>
      <c r="C24" s="7" t="s">
        <v>48</v>
      </c>
      <c r="D24" s="7" t="s">
        <v>295</v>
      </c>
      <c r="E24" s="21" t="s">
        <v>294</v>
      </c>
      <c r="F24" s="20">
        <v>0</v>
      </c>
      <c r="G24" s="20">
        <v>0</v>
      </c>
      <c r="H24" s="20">
        <v>0</v>
      </c>
      <c r="I24" s="19">
        <v>0</v>
      </c>
      <c r="K24" s="14" t="s">
        <v>235</v>
      </c>
      <c r="L24" s="13">
        <v>131.31599900000001</v>
      </c>
      <c r="M24" s="13">
        <v>0</v>
      </c>
      <c r="N24" s="13">
        <v>0</v>
      </c>
      <c r="O24" s="13">
        <v>0</v>
      </c>
      <c r="P24" s="13"/>
      <c r="Q24" s="682" t="s">
        <v>342</v>
      </c>
      <c r="R24" s="682"/>
      <c r="S24" s="682"/>
      <c r="T24" s="682"/>
      <c r="U24" s="682"/>
      <c r="V24" s="682"/>
    </row>
    <row r="25" spans="2:22">
      <c r="B25" s="7" t="s">
        <v>330</v>
      </c>
      <c r="C25" s="7" t="s">
        <v>48</v>
      </c>
      <c r="D25" s="7" t="s">
        <v>295</v>
      </c>
      <c r="E25" s="21" t="s">
        <v>293</v>
      </c>
      <c r="F25" s="20">
        <v>0</v>
      </c>
      <c r="G25" s="20">
        <v>0</v>
      </c>
      <c r="H25" s="20">
        <v>0</v>
      </c>
      <c r="I25" s="19">
        <v>0</v>
      </c>
      <c r="K25" s="15" t="s">
        <v>313</v>
      </c>
      <c r="L25" s="13">
        <v>98.798878999999999</v>
      </c>
      <c r="M25" s="13">
        <v>0</v>
      </c>
      <c r="N25" s="13">
        <v>0</v>
      </c>
      <c r="O25" s="13">
        <v>0</v>
      </c>
      <c r="P25" s="13"/>
      <c r="Q25" s="685" t="s">
        <v>341</v>
      </c>
      <c r="R25" s="685"/>
      <c r="S25" s="685"/>
      <c r="T25" s="685"/>
      <c r="U25" s="685"/>
      <c r="V25" s="685"/>
    </row>
    <row r="26" spans="2:22">
      <c r="B26" s="7" t="s">
        <v>330</v>
      </c>
      <c r="C26" s="7" t="s">
        <v>48</v>
      </c>
      <c r="D26" s="7" t="s">
        <v>295</v>
      </c>
      <c r="E26" s="21" t="s">
        <v>3</v>
      </c>
      <c r="F26" s="20">
        <v>26.448539</v>
      </c>
      <c r="G26" s="20">
        <v>1926.7964315250301</v>
      </c>
      <c r="H26" s="20">
        <v>1959.8367398999999</v>
      </c>
      <c r="I26" s="19">
        <v>0</v>
      </c>
      <c r="K26" s="14" t="s">
        <v>236</v>
      </c>
      <c r="L26" s="13">
        <v>98.798878999999999</v>
      </c>
      <c r="M26" s="13">
        <v>0</v>
      </c>
      <c r="N26" s="13">
        <v>0</v>
      </c>
      <c r="O26" s="13">
        <v>0</v>
      </c>
      <c r="P26" s="13"/>
      <c r="Q26" s="685"/>
      <c r="R26" s="685"/>
      <c r="S26" s="685"/>
      <c r="T26" s="685"/>
      <c r="U26" s="685"/>
      <c r="V26" s="685"/>
    </row>
    <row r="27" spans="2:22">
      <c r="B27" s="7" t="s">
        <v>330</v>
      </c>
      <c r="C27" s="7" t="s">
        <v>48</v>
      </c>
      <c r="D27" s="7" t="s">
        <v>295</v>
      </c>
      <c r="E27" s="21" t="s">
        <v>4</v>
      </c>
      <c r="F27" s="20">
        <v>0.161</v>
      </c>
      <c r="G27" s="20">
        <v>0</v>
      </c>
      <c r="H27" s="20">
        <v>0</v>
      </c>
      <c r="I27" s="19">
        <v>0</v>
      </c>
      <c r="K27" s="15" t="s">
        <v>312</v>
      </c>
      <c r="L27" s="13">
        <v>40.19138022090619</v>
      </c>
      <c r="M27" s="13">
        <v>5140.7769560365468</v>
      </c>
      <c r="N27" s="13">
        <v>4059.3294023115254</v>
      </c>
      <c r="O27" s="13">
        <v>3432.6637270000001</v>
      </c>
      <c r="P27" s="13"/>
      <c r="Q27" s="685" t="s">
        <v>340</v>
      </c>
      <c r="R27" s="685"/>
      <c r="S27" s="685"/>
      <c r="T27" s="685"/>
      <c r="U27" s="685"/>
      <c r="V27" s="685"/>
    </row>
    <row r="28" spans="2:22">
      <c r="B28" s="7" t="s">
        <v>330</v>
      </c>
      <c r="C28" s="7" t="s">
        <v>48</v>
      </c>
      <c r="D28" s="7" t="s">
        <v>291</v>
      </c>
      <c r="E28" s="21" t="s">
        <v>4</v>
      </c>
      <c r="F28" s="20">
        <v>4.0659999999999998</v>
      </c>
      <c r="G28" s="20">
        <v>0</v>
      </c>
      <c r="H28" s="20">
        <v>0</v>
      </c>
      <c r="I28" s="19">
        <v>0</v>
      </c>
      <c r="K28" s="14" t="s">
        <v>287</v>
      </c>
      <c r="L28" s="13">
        <v>40.19138022090619</v>
      </c>
      <c r="M28" s="13">
        <v>5140.7769560365468</v>
      </c>
      <c r="N28" s="13">
        <v>4059.3294023115254</v>
      </c>
      <c r="O28" s="13">
        <v>3432.6637270000001</v>
      </c>
      <c r="P28" s="13"/>
      <c r="Q28" s="685"/>
      <c r="R28" s="685"/>
      <c r="S28" s="685"/>
      <c r="T28" s="685"/>
      <c r="U28" s="685"/>
      <c r="V28" s="685"/>
    </row>
    <row r="29" spans="2:22">
      <c r="B29" s="7" t="s">
        <v>330</v>
      </c>
      <c r="C29" s="7" t="s">
        <v>48</v>
      </c>
      <c r="D29" s="22" t="s">
        <v>382</v>
      </c>
      <c r="E29" s="21" t="s">
        <v>3</v>
      </c>
      <c r="F29" s="19">
        <v>10.947546000000001</v>
      </c>
      <c r="G29" s="19">
        <v>797.53715571042005</v>
      </c>
      <c r="H29" s="19">
        <v>811.21315860000004</v>
      </c>
      <c r="I29" s="19">
        <v>0</v>
      </c>
      <c r="K29" s="15" t="s">
        <v>311</v>
      </c>
      <c r="L29" s="13">
        <v>122.597565</v>
      </c>
      <c r="M29" s="13">
        <v>0</v>
      </c>
      <c r="N29" s="13">
        <v>0</v>
      </c>
      <c r="O29" s="13">
        <v>0</v>
      </c>
      <c r="P29" s="13"/>
      <c r="Q29" s="685"/>
      <c r="R29" s="685"/>
      <c r="S29" s="685"/>
      <c r="T29" s="685"/>
      <c r="U29" s="685"/>
      <c r="V29" s="685"/>
    </row>
    <row r="30" spans="2:22">
      <c r="B30" s="7" t="s">
        <v>330</v>
      </c>
      <c r="C30" s="7" t="s">
        <v>48</v>
      </c>
      <c r="D30" s="7" t="s">
        <v>370</v>
      </c>
      <c r="E30" s="21" t="s">
        <v>3</v>
      </c>
      <c r="F30" s="20">
        <v>115.550152</v>
      </c>
      <c r="G30" s="20">
        <v>8417.9175468170397</v>
      </c>
      <c r="H30" s="20">
        <v>8562.2662631999992</v>
      </c>
      <c r="I30" s="19">
        <v>0</v>
      </c>
      <c r="K30" s="14" t="s">
        <v>237</v>
      </c>
      <c r="L30" s="13">
        <v>122.597565</v>
      </c>
      <c r="M30" s="13">
        <v>0</v>
      </c>
      <c r="N30" s="13">
        <v>0</v>
      </c>
      <c r="O30" s="13">
        <v>0</v>
      </c>
      <c r="P30" s="13"/>
      <c r="Q30" s="682" t="s">
        <v>339</v>
      </c>
      <c r="R30" s="682"/>
      <c r="S30" s="682"/>
      <c r="T30" s="682"/>
      <c r="U30" s="682"/>
      <c r="V30" s="682"/>
    </row>
    <row r="31" spans="2:22">
      <c r="B31" s="7" t="s">
        <v>330</v>
      </c>
      <c r="C31" s="7" t="s">
        <v>227</v>
      </c>
      <c r="D31" s="7" t="s">
        <v>227</v>
      </c>
      <c r="E31" s="21" t="s">
        <v>294</v>
      </c>
      <c r="F31" s="20">
        <v>6.0288570000000004</v>
      </c>
      <c r="G31" s="20">
        <v>392.37549724530004</v>
      </c>
      <c r="H31" s="20">
        <v>380.42087670000001</v>
      </c>
      <c r="I31" s="19">
        <v>0</v>
      </c>
      <c r="K31" s="15" t="s">
        <v>11</v>
      </c>
      <c r="L31" s="13">
        <v>4.7E-2</v>
      </c>
      <c r="M31" s="13">
        <v>0</v>
      </c>
      <c r="N31" s="13">
        <v>0</v>
      </c>
      <c r="O31" s="13">
        <v>0</v>
      </c>
      <c r="P31" s="13"/>
      <c r="Q31" s="682" t="s">
        <v>417</v>
      </c>
      <c r="R31" s="682"/>
      <c r="S31" s="682"/>
      <c r="T31" s="682"/>
      <c r="U31" s="682"/>
      <c r="V31" s="682"/>
    </row>
    <row r="32" spans="2:22">
      <c r="B32" s="7" t="s">
        <v>330</v>
      </c>
      <c r="C32" s="7" t="s">
        <v>227</v>
      </c>
      <c r="D32" s="7" t="s">
        <v>227</v>
      </c>
      <c r="E32" s="21" t="s">
        <v>230</v>
      </c>
      <c r="F32" s="20">
        <v>8.1239999999999993E-3</v>
      </c>
      <c r="G32" s="20">
        <v>0.58991629848000005</v>
      </c>
      <c r="H32" s="20">
        <v>0</v>
      </c>
      <c r="I32" s="19">
        <v>0</v>
      </c>
      <c r="K32" s="14" t="s">
        <v>234</v>
      </c>
      <c r="L32" s="13">
        <v>4.7E-2</v>
      </c>
      <c r="M32" s="13">
        <v>0</v>
      </c>
      <c r="N32" s="13">
        <v>0</v>
      </c>
      <c r="O32" s="13">
        <v>0</v>
      </c>
      <c r="P32" s="13"/>
      <c r="Q32" s="682"/>
      <c r="R32" s="682"/>
      <c r="S32" s="682"/>
      <c r="T32" s="682"/>
      <c r="U32" s="682"/>
      <c r="V32" s="682"/>
    </row>
    <row r="33" spans="2:22">
      <c r="B33" s="7" t="s">
        <v>330</v>
      </c>
      <c r="C33" s="7" t="s">
        <v>227</v>
      </c>
      <c r="D33" s="7" t="s">
        <v>227</v>
      </c>
      <c r="E33" s="21" t="s">
        <v>4</v>
      </c>
      <c r="F33" s="20">
        <v>37.027999999999999</v>
      </c>
      <c r="G33" s="20">
        <v>0</v>
      </c>
      <c r="H33" s="20">
        <v>0</v>
      </c>
      <c r="I33" s="19">
        <v>0</v>
      </c>
      <c r="K33" s="15" t="s">
        <v>310</v>
      </c>
      <c r="L33" s="13">
        <v>24.049492999999998</v>
      </c>
      <c r="M33" s="13">
        <v>1752.02408315961</v>
      </c>
      <c r="N33" s="13">
        <v>1782.0674312999997</v>
      </c>
      <c r="O33" s="13">
        <v>36085.958794464073</v>
      </c>
      <c r="P33" s="13"/>
      <c r="Q33" s="686"/>
      <c r="R33" s="686"/>
      <c r="S33" s="686"/>
      <c r="T33" s="686"/>
      <c r="U33" s="686"/>
      <c r="V33" s="686"/>
    </row>
    <row r="34" spans="2:22">
      <c r="B34" s="7" t="s">
        <v>330</v>
      </c>
      <c r="C34" s="7" t="s">
        <v>47</v>
      </c>
      <c r="D34" s="7" t="s">
        <v>338</v>
      </c>
      <c r="E34" s="7" t="s">
        <v>232</v>
      </c>
      <c r="F34" s="20">
        <v>65.126006000000004</v>
      </c>
      <c r="G34" s="20">
        <v>7137.6806568480597</v>
      </c>
      <c r="H34" s="20">
        <v>6160.9201676000002</v>
      </c>
      <c r="I34" s="19">
        <v>0</v>
      </c>
      <c r="K34" s="14" t="s">
        <v>3</v>
      </c>
      <c r="L34" s="13">
        <v>24.049492999999998</v>
      </c>
      <c r="M34" s="13">
        <v>1752.02408315961</v>
      </c>
      <c r="N34" s="13">
        <v>1782.0674312999997</v>
      </c>
      <c r="O34" s="13">
        <v>36085.958794464073</v>
      </c>
      <c r="P34" s="13"/>
    </row>
    <row r="35" spans="2:22">
      <c r="B35" s="7" t="s">
        <v>330</v>
      </c>
      <c r="C35" s="7" t="s">
        <v>47</v>
      </c>
      <c r="D35" s="7" t="s">
        <v>338</v>
      </c>
      <c r="E35" s="7" t="s">
        <v>231</v>
      </c>
      <c r="F35" s="20">
        <v>2.2635710000000002</v>
      </c>
      <c r="G35" s="20">
        <v>178.80200848952001</v>
      </c>
      <c r="H35" s="20">
        <v>220.69817250000003</v>
      </c>
      <c r="I35" s="19">
        <v>0</v>
      </c>
      <c r="K35" s="15" t="s">
        <v>309</v>
      </c>
      <c r="L35" s="13">
        <v>0</v>
      </c>
      <c r="M35" s="13">
        <v>0</v>
      </c>
      <c r="N35" s="13">
        <v>0</v>
      </c>
      <c r="O35" s="13">
        <v>0</v>
      </c>
      <c r="P35" s="13"/>
    </row>
    <row r="36" spans="2:22">
      <c r="B36" s="7" t="s">
        <v>330</v>
      </c>
      <c r="C36" s="7" t="s">
        <v>47</v>
      </c>
      <c r="D36" s="7" t="s">
        <v>338</v>
      </c>
      <c r="E36" s="7" t="s">
        <v>294</v>
      </c>
      <c r="F36" s="20">
        <v>6.2030000000000002E-3</v>
      </c>
      <c r="G36" s="20">
        <v>0.40370922870000003</v>
      </c>
      <c r="H36" s="20">
        <v>0.39140930000000002</v>
      </c>
      <c r="I36" s="19">
        <v>0</v>
      </c>
      <c r="K36" s="14" t="s">
        <v>301</v>
      </c>
      <c r="L36" s="13">
        <v>0</v>
      </c>
      <c r="M36" s="13">
        <v>0</v>
      </c>
      <c r="N36" s="13">
        <v>0</v>
      </c>
      <c r="O36" s="13">
        <v>0</v>
      </c>
      <c r="P36" s="13"/>
    </row>
    <row r="37" spans="2:22">
      <c r="B37" s="7" t="s">
        <v>330</v>
      </c>
      <c r="C37" s="7" t="s">
        <v>47</v>
      </c>
      <c r="D37" s="7" t="s">
        <v>338</v>
      </c>
      <c r="E37" s="7" t="s">
        <v>230</v>
      </c>
      <c r="F37" s="20">
        <v>0</v>
      </c>
      <c r="G37" s="20">
        <v>0</v>
      </c>
      <c r="H37" s="20">
        <v>0</v>
      </c>
      <c r="I37" s="19">
        <v>0</v>
      </c>
      <c r="K37" s="15" t="s">
        <v>307</v>
      </c>
      <c r="L37" s="13">
        <v>69.814172727996038</v>
      </c>
      <c r="M37" s="13">
        <v>4032.1803786608666</v>
      </c>
      <c r="N37" s="13">
        <v>3916.5750900405774</v>
      </c>
      <c r="O37" s="13">
        <v>4710.0784222051198</v>
      </c>
      <c r="P37" s="13"/>
    </row>
    <row r="38" spans="2:22">
      <c r="B38" s="7" t="s">
        <v>330</v>
      </c>
      <c r="C38" s="7" t="s">
        <v>47</v>
      </c>
      <c r="D38" s="7" t="s">
        <v>338</v>
      </c>
      <c r="E38" s="7" t="s">
        <v>3</v>
      </c>
      <c r="F38" s="20">
        <v>0.88261100000000003</v>
      </c>
      <c r="G38" s="20">
        <v>64.298890960470004</v>
      </c>
      <c r="H38" s="20">
        <v>65.401475099999999</v>
      </c>
      <c r="I38" s="19">
        <v>0</v>
      </c>
      <c r="K38" s="14" t="s">
        <v>10</v>
      </c>
      <c r="L38" s="13">
        <v>69.814172727996038</v>
      </c>
      <c r="M38" s="13">
        <v>4032.1803786608666</v>
      </c>
      <c r="N38" s="13">
        <v>3916.5750900405774</v>
      </c>
      <c r="O38" s="13">
        <v>4710.0784222051198</v>
      </c>
      <c r="P38" s="13"/>
    </row>
    <row r="39" spans="2:22">
      <c r="B39" s="7" t="s">
        <v>330</v>
      </c>
      <c r="C39" s="7" t="s">
        <v>47</v>
      </c>
      <c r="D39" s="7" t="s">
        <v>338</v>
      </c>
      <c r="E39" s="7" t="s">
        <v>229</v>
      </c>
      <c r="F39" s="20">
        <v>2.9323039999999998</v>
      </c>
      <c r="G39" s="20">
        <v>232.97213926079996</v>
      </c>
      <c r="H39" s="20">
        <v>236.63693279999998</v>
      </c>
      <c r="I39" s="19">
        <v>0</v>
      </c>
      <c r="K39" s="15" t="s">
        <v>306</v>
      </c>
      <c r="L39" s="13">
        <v>0</v>
      </c>
      <c r="M39" s="13">
        <v>0</v>
      </c>
      <c r="N39" s="13">
        <v>0</v>
      </c>
      <c r="O39" s="13">
        <v>0</v>
      </c>
      <c r="P39" s="13"/>
    </row>
    <row r="40" spans="2:22">
      <c r="B40" s="7" t="s">
        <v>330</v>
      </c>
      <c r="C40" s="7" t="s">
        <v>47</v>
      </c>
      <c r="D40" s="7" t="s">
        <v>338</v>
      </c>
      <c r="E40" s="7" t="s">
        <v>10</v>
      </c>
      <c r="F40" s="20">
        <v>115.285</v>
      </c>
      <c r="G40" s="20">
        <v>6658.3889314999997</v>
      </c>
      <c r="H40" s="20">
        <v>6467.4885000000004</v>
      </c>
      <c r="I40" s="19">
        <v>0</v>
      </c>
      <c r="K40" s="14" t="s">
        <v>301</v>
      </c>
      <c r="L40" s="13">
        <v>0</v>
      </c>
      <c r="M40" s="13">
        <v>0</v>
      </c>
      <c r="N40" s="13">
        <v>0</v>
      </c>
      <c r="O40" s="13">
        <v>0</v>
      </c>
      <c r="P40" s="13"/>
    </row>
    <row r="41" spans="2:22">
      <c r="B41" s="7" t="s">
        <v>330</v>
      </c>
      <c r="C41" s="7" t="s">
        <v>47</v>
      </c>
      <c r="D41" s="7" t="s">
        <v>338</v>
      </c>
      <c r="E41" s="7" t="s">
        <v>4</v>
      </c>
      <c r="F41" s="20">
        <v>21.582000000000001</v>
      </c>
      <c r="G41" s="20">
        <v>0</v>
      </c>
      <c r="H41" s="20">
        <v>0</v>
      </c>
      <c r="I41" s="19">
        <v>0</v>
      </c>
      <c r="K41" s="15" t="s">
        <v>305</v>
      </c>
      <c r="L41" s="13">
        <v>0</v>
      </c>
      <c r="M41" s="13">
        <v>0</v>
      </c>
      <c r="N41" s="13">
        <v>0</v>
      </c>
      <c r="O41" s="13">
        <v>0</v>
      </c>
      <c r="P41" s="13"/>
    </row>
    <row r="42" spans="2:22">
      <c r="B42" s="7" t="s">
        <v>330</v>
      </c>
      <c r="C42" s="7" t="s">
        <v>47</v>
      </c>
      <c r="D42" s="7" t="s">
        <v>337</v>
      </c>
      <c r="E42" s="7" t="s">
        <v>287</v>
      </c>
      <c r="F42" s="20">
        <v>5.8601640000000002</v>
      </c>
      <c r="G42" s="20">
        <v>749.55863382179996</v>
      </c>
      <c r="H42" s="20">
        <v>591.87656400000003</v>
      </c>
      <c r="I42" s="19">
        <v>0</v>
      </c>
      <c r="K42" s="14" t="s">
        <v>10</v>
      </c>
      <c r="L42" s="13">
        <v>0</v>
      </c>
      <c r="M42" s="13">
        <v>0</v>
      </c>
      <c r="N42" s="13">
        <v>0</v>
      </c>
      <c r="O42" s="13">
        <v>0</v>
      </c>
      <c r="P42" s="13"/>
    </row>
    <row r="43" spans="2:22">
      <c r="B43" s="7" t="s">
        <v>330</v>
      </c>
      <c r="C43" s="7" t="s">
        <v>47</v>
      </c>
      <c r="D43" s="7" t="s">
        <v>337</v>
      </c>
      <c r="E43" s="7" t="s">
        <v>232</v>
      </c>
      <c r="F43" s="20">
        <v>0</v>
      </c>
      <c r="G43" s="20">
        <v>0</v>
      </c>
      <c r="H43" s="20">
        <v>0</v>
      </c>
      <c r="I43" s="19">
        <v>0</v>
      </c>
      <c r="K43" s="15" t="s">
        <v>317</v>
      </c>
      <c r="L43" s="13">
        <v>0</v>
      </c>
      <c r="M43" s="13">
        <v>0</v>
      </c>
      <c r="N43" s="13">
        <v>0</v>
      </c>
      <c r="O43" s="13">
        <v>0</v>
      </c>
      <c r="P43" s="13"/>
    </row>
    <row r="44" spans="2:22">
      <c r="B44" s="7" t="s">
        <v>330</v>
      </c>
      <c r="C44" s="7" t="s">
        <v>47</v>
      </c>
      <c r="D44" s="7" t="s">
        <v>337</v>
      </c>
      <c r="E44" s="7" t="s">
        <v>231</v>
      </c>
      <c r="F44" s="20">
        <v>100.994443</v>
      </c>
      <c r="G44" s="20">
        <v>7977.6641663461596</v>
      </c>
      <c r="H44" s="20">
        <v>9846.9581925000002</v>
      </c>
      <c r="I44" s="19">
        <v>0</v>
      </c>
      <c r="K44" s="14" t="s">
        <v>301</v>
      </c>
      <c r="L44" s="13">
        <v>0</v>
      </c>
      <c r="M44" s="13">
        <v>0</v>
      </c>
      <c r="N44" s="13">
        <v>0</v>
      </c>
      <c r="O44" s="13">
        <v>0</v>
      </c>
      <c r="P44" s="13"/>
    </row>
    <row r="45" spans="2:22">
      <c r="B45" s="7" t="s">
        <v>330</v>
      </c>
      <c r="C45" s="7" t="s">
        <v>47</v>
      </c>
      <c r="D45" s="7" t="s">
        <v>337</v>
      </c>
      <c r="E45" s="7" t="s">
        <v>294</v>
      </c>
      <c r="F45" s="20">
        <v>4.0000000000000003E-5</v>
      </c>
      <c r="G45" s="20">
        <v>2.6033160000000005E-3</v>
      </c>
      <c r="H45" s="20">
        <v>2.5240000000000002E-3</v>
      </c>
      <c r="I45" s="19">
        <v>0</v>
      </c>
      <c r="K45" s="15" t="s">
        <v>302</v>
      </c>
      <c r="L45" s="13">
        <v>0</v>
      </c>
      <c r="M45" s="13">
        <v>0</v>
      </c>
      <c r="N45" s="13">
        <v>0</v>
      </c>
      <c r="O45" s="13">
        <v>0</v>
      </c>
      <c r="P45" s="13"/>
    </row>
    <row r="46" spans="2:22">
      <c r="B46" s="7" t="s">
        <v>330</v>
      </c>
      <c r="C46" s="7" t="s">
        <v>47</v>
      </c>
      <c r="D46" s="7" t="s">
        <v>337</v>
      </c>
      <c r="E46" s="7" t="s">
        <v>3</v>
      </c>
      <c r="F46" s="20">
        <v>0.26655099999999998</v>
      </c>
      <c r="G46" s="20">
        <v>19.41844559427</v>
      </c>
      <c r="H46" s="20">
        <v>19.751429099999999</v>
      </c>
      <c r="I46" s="19">
        <v>0</v>
      </c>
      <c r="K46" s="14" t="s">
        <v>301</v>
      </c>
      <c r="L46" s="13">
        <v>0</v>
      </c>
      <c r="M46" s="13">
        <v>0</v>
      </c>
      <c r="N46" s="13">
        <v>0</v>
      </c>
      <c r="O46" s="13">
        <v>0</v>
      </c>
      <c r="P46" s="13"/>
    </row>
    <row r="47" spans="2:22">
      <c r="B47" s="7" t="s">
        <v>330</v>
      </c>
      <c r="C47" s="7" t="s">
        <v>47</v>
      </c>
      <c r="D47" s="7" t="s">
        <v>337</v>
      </c>
      <c r="E47" s="7" t="s">
        <v>229</v>
      </c>
      <c r="F47" s="20">
        <v>1.4900869999999999</v>
      </c>
      <c r="G47" s="20">
        <v>118.38771016739999</v>
      </c>
      <c r="H47" s="20">
        <v>120.2500209</v>
      </c>
      <c r="I47" s="19">
        <v>0</v>
      </c>
      <c r="K47" s="193" t="s">
        <v>330</v>
      </c>
      <c r="L47" s="13">
        <v>4928.4417389999999</v>
      </c>
      <c r="M47" s="13">
        <v>274122.11129591666</v>
      </c>
      <c r="N47" s="13">
        <v>259502.25349510001</v>
      </c>
      <c r="O47" s="13">
        <v>0</v>
      </c>
      <c r="P47" s="13"/>
    </row>
    <row r="48" spans="2:22">
      <c r="B48" s="7" t="s">
        <v>330</v>
      </c>
      <c r="C48" s="7" t="s">
        <v>47</v>
      </c>
      <c r="D48" s="7" t="s">
        <v>337</v>
      </c>
      <c r="E48" s="7" t="s">
        <v>10</v>
      </c>
      <c r="F48" s="20">
        <v>4.4249999999999998</v>
      </c>
      <c r="G48" s="20">
        <v>255.56985749999998</v>
      </c>
      <c r="H48" s="20">
        <v>248.24250000000001</v>
      </c>
      <c r="I48" s="19">
        <v>0</v>
      </c>
      <c r="K48" s="16" t="s">
        <v>227</v>
      </c>
      <c r="L48" s="13">
        <v>43.064981000000003</v>
      </c>
      <c r="M48" s="13">
        <v>392.96541354378002</v>
      </c>
      <c r="N48" s="13">
        <v>380.42087670000001</v>
      </c>
      <c r="O48" s="13">
        <v>0</v>
      </c>
      <c r="P48" s="13"/>
    </row>
    <row r="49" spans="2:16">
      <c r="B49" s="7" t="s">
        <v>330</v>
      </c>
      <c r="C49" s="7" t="s">
        <v>47</v>
      </c>
      <c r="D49" s="7" t="s">
        <v>337</v>
      </c>
      <c r="E49" s="7" t="s">
        <v>4</v>
      </c>
      <c r="F49" s="20">
        <v>36.133000000000003</v>
      </c>
      <c r="G49" s="20">
        <v>0</v>
      </c>
      <c r="H49" s="20">
        <v>0</v>
      </c>
      <c r="I49" s="19">
        <v>0</v>
      </c>
      <c r="K49" s="15" t="s">
        <v>227</v>
      </c>
      <c r="L49" s="13">
        <v>43.064981000000003</v>
      </c>
      <c r="M49" s="13">
        <v>392.96541354378002</v>
      </c>
      <c r="N49" s="13">
        <v>380.42087670000001</v>
      </c>
      <c r="O49" s="13">
        <v>0</v>
      </c>
      <c r="P49" s="13"/>
    </row>
    <row r="50" spans="2:16">
      <c r="B50" s="7" t="s">
        <v>330</v>
      </c>
      <c r="C50" s="7" t="s">
        <v>47</v>
      </c>
      <c r="D50" s="7" t="s">
        <v>336</v>
      </c>
      <c r="E50" s="7" t="s">
        <v>271</v>
      </c>
      <c r="F50" s="20">
        <v>59.526828000000002</v>
      </c>
      <c r="G50" s="20">
        <v>6065.7458042806529</v>
      </c>
      <c r="H50" s="20">
        <v>6667.0047360000008</v>
      </c>
      <c r="I50" s="19">
        <v>0</v>
      </c>
      <c r="K50" s="14" t="s">
        <v>4</v>
      </c>
      <c r="L50" s="13">
        <v>37.027999999999999</v>
      </c>
      <c r="M50" s="13">
        <v>0</v>
      </c>
      <c r="N50" s="13">
        <v>0</v>
      </c>
      <c r="O50" s="13">
        <v>0</v>
      </c>
      <c r="P50" s="13"/>
    </row>
    <row r="51" spans="2:16">
      <c r="B51" s="7" t="s">
        <v>330</v>
      </c>
      <c r="C51" s="7" t="s">
        <v>47</v>
      </c>
      <c r="D51" s="7" t="s">
        <v>336</v>
      </c>
      <c r="E51" s="7" t="s">
        <v>294</v>
      </c>
      <c r="F51" s="20">
        <v>2.5599999999999999E-4</v>
      </c>
      <c r="G51" s="20">
        <v>1.6661222399999998E-2</v>
      </c>
      <c r="H51" s="20">
        <v>1.6153600000000001E-2</v>
      </c>
      <c r="I51" s="19">
        <v>0</v>
      </c>
      <c r="K51" s="14" t="s">
        <v>294</v>
      </c>
      <c r="L51" s="13">
        <v>6.0288570000000004</v>
      </c>
      <c r="M51" s="13">
        <v>392.37549724530004</v>
      </c>
      <c r="N51" s="13">
        <v>380.42087670000001</v>
      </c>
      <c r="O51" s="13">
        <v>0</v>
      </c>
      <c r="P51" s="13"/>
    </row>
    <row r="52" spans="2:16">
      <c r="B52" s="7" t="s">
        <v>330</v>
      </c>
      <c r="C52" s="7" t="s">
        <v>47</v>
      </c>
      <c r="D52" s="7" t="s">
        <v>336</v>
      </c>
      <c r="E52" s="7" t="s">
        <v>3</v>
      </c>
      <c r="F52" s="20">
        <v>0</v>
      </c>
      <c r="G52" s="20">
        <v>0</v>
      </c>
      <c r="H52" s="20">
        <v>0</v>
      </c>
      <c r="I52" s="19">
        <v>0</v>
      </c>
      <c r="K52" s="14" t="s">
        <v>230</v>
      </c>
      <c r="L52" s="13">
        <v>8.1239999999999993E-3</v>
      </c>
      <c r="M52" s="13">
        <v>0.58991629848000005</v>
      </c>
      <c r="N52" s="13">
        <v>0</v>
      </c>
      <c r="O52" s="13">
        <v>0</v>
      </c>
      <c r="P52" s="13"/>
    </row>
    <row r="53" spans="2:16">
      <c r="B53" s="7" t="s">
        <v>330</v>
      </c>
      <c r="C53" s="7" t="s">
        <v>47</v>
      </c>
      <c r="D53" s="7" t="s">
        <v>336</v>
      </c>
      <c r="E53" s="7" t="s">
        <v>229</v>
      </c>
      <c r="F53" s="20">
        <v>3.4816769999999999</v>
      </c>
      <c r="G53" s="20">
        <v>276.61993398539994</v>
      </c>
      <c r="H53" s="20">
        <v>280.97133389999999</v>
      </c>
      <c r="I53" s="19">
        <v>0</v>
      </c>
      <c r="K53" s="16" t="s">
        <v>47</v>
      </c>
      <c r="L53" s="13">
        <v>1588.0525000000007</v>
      </c>
      <c r="M53" s="13">
        <v>78316.959929841498</v>
      </c>
      <c r="N53" s="13">
        <v>76376.198322200013</v>
      </c>
      <c r="O53" s="13">
        <v>0</v>
      </c>
      <c r="P53" s="13"/>
    </row>
    <row r="54" spans="2:16">
      <c r="B54" s="7" t="s">
        <v>330</v>
      </c>
      <c r="C54" s="7" t="s">
        <v>47</v>
      </c>
      <c r="D54" s="7" t="s">
        <v>336</v>
      </c>
      <c r="E54" s="7" t="s">
        <v>4</v>
      </c>
      <c r="F54" s="20">
        <v>4.1449999999999996</v>
      </c>
      <c r="G54" s="20">
        <v>0</v>
      </c>
      <c r="H54" s="20">
        <v>0</v>
      </c>
      <c r="I54" s="19">
        <v>0</v>
      </c>
      <c r="K54" s="15" t="s">
        <v>335</v>
      </c>
      <c r="L54" s="13">
        <v>1.7729999999999999</v>
      </c>
      <c r="M54" s="13">
        <v>0</v>
      </c>
      <c r="N54" s="13">
        <v>0</v>
      </c>
      <c r="O54" s="13">
        <v>0</v>
      </c>
      <c r="P54" s="13"/>
    </row>
    <row r="55" spans="2:16">
      <c r="B55" s="7" t="s">
        <v>330</v>
      </c>
      <c r="C55" s="7" t="s">
        <v>47</v>
      </c>
      <c r="D55" s="7" t="s">
        <v>286</v>
      </c>
      <c r="E55" s="7" t="s">
        <v>3</v>
      </c>
      <c r="F55" s="20">
        <v>0.43508999999999998</v>
      </c>
      <c r="G55" s="20">
        <v>31.696641519299998</v>
      </c>
      <c r="H55" s="20">
        <v>32.240168999999995</v>
      </c>
      <c r="I55" s="19">
        <v>0</v>
      </c>
      <c r="K55" s="14" t="s">
        <v>4</v>
      </c>
      <c r="L55" s="13">
        <v>1.7729999999999999</v>
      </c>
      <c r="M55" s="13">
        <v>0</v>
      </c>
      <c r="N55" s="13">
        <v>0</v>
      </c>
      <c r="O55" s="13">
        <v>0</v>
      </c>
      <c r="P55" s="13"/>
    </row>
    <row r="56" spans="2:16">
      <c r="B56" s="7" t="s">
        <v>330</v>
      </c>
      <c r="C56" s="7" t="s">
        <v>47</v>
      </c>
      <c r="D56" s="7" t="s">
        <v>286</v>
      </c>
      <c r="E56" s="7" t="s">
        <v>229</v>
      </c>
      <c r="F56" s="20">
        <v>9.5646999999999996E-2</v>
      </c>
      <c r="G56" s="20">
        <v>7.5991732793999986</v>
      </c>
      <c r="H56" s="20">
        <v>7.7187128999999999</v>
      </c>
      <c r="I56" s="19">
        <v>0</v>
      </c>
      <c r="K56" s="15" t="s">
        <v>329</v>
      </c>
      <c r="L56" s="13">
        <v>728.32480899999996</v>
      </c>
      <c r="M56" s="13">
        <v>27985.896962437746</v>
      </c>
      <c r="N56" s="13">
        <v>25291.459929700002</v>
      </c>
      <c r="O56" s="13">
        <v>0</v>
      </c>
    </row>
    <row r="57" spans="2:16">
      <c r="B57" s="7" t="s">
        <v>330</v>
      </c>
      <c r="C57" s="7" t="s">
        <v>47</v>
      </c>
      <c r="D57" s="7" t="s">
        <v>286</v>
      </c>
      <c r="E57" s="7" t="s">
        <v>293</v>
      </c>
      <c r="F57" s="20">
        <v>0</v>
      </c>
      <c r="G57" s="20">
        <v>0</v>
      </c>
      <c r="H57" s="20">
        <v>0</v>
      </c>
      <c r="I57" s="19">
        <v>0</v>
      </c>
      <c r="K57" s="14" t="s">
        <v>271</v>
      </c>
      <c r="L57" s="13">
        <v>4.2556149999999988</v>
      </c>
      <c r="M57" s="13">
        <v>433.64445407512386</v>
      </c>
      <c r="N57" s="13">
        <v>476.62887999999987</v>
      </c>
      <c r="O57" s="13">
        <v>0</v>
      </c>
    </row>
    <row r="58" spans="2:16">
      <c r="B58" s="7" t="s">
        <v>330</v>
      </c>
      <c r="C58" s="7" t="s">
        <v>47</v>
      </c>
      <c r="D58" s="7" t="s">
        <v>286</v>
      </c>
      <c r="E58" s="7" t="s">
        <v>10</v>
      </c>
      <c r="F58" s="20">
        <v>110.779</v>
      </c>
      <c r="G58" s="20">
        <v>6398.1408461000001</v>
      </c>
      <c r="H58" s="20">
        <v>6214.7018999999991</v>
      </c>
      <c r="I58" s="19">
        <v>0</v>
      </c>
      <c r="K58" s="14" t="s">
        <v>287</v>
      </c>
      <c r="L58" s="13">
        <v>94.208432999999999</v>
      </c>
      <c r="M58" s="13">
        <v>12049.96043352585</v>
      </c>
      <c r="N58" s="13">
        <v>9515.0517329999984</v>
      </c>
      <c r="O58" s="13">
        <v>0</v>
      </c>
    </row>
    <row r="59" spans="2:16">
      <c r="B59" s="7" t="s">
        <v>330</v>
      </c>
      <c r="C59" s="7" t="s">
        <v>47</v>
      </c>
      <c r="D59" s="7" t="s">
        <v>286</v>
      </c>
      <c r="E59" s="7" t="s">
        <v>4</v>
      </c>
      <c r="F59" s="20">
        <v>5.117</v>
      </c>
      <c r="G59" s="20">
        <v>0</v>
      </c>
      <c r="H59" s="20">
        <v>0</v>
      </c>
      <c r="I59" s="19">
        <v>0</v>
      </c>
      <c r="K59" s="14" t="s">
        <v>229</v>
      </c>
      <c r="L59" s="13">
        <v>1.0112719999999999</v>
      </c>
      <c r="M59" s="13">
        <v>80.345762654399991</v>
      </c>
      <c r="N59" s="13">
        <v>81.609650399999992</v>
      </c>
      <c r="O59" s="13">
        <v>0</v>
      </c>
    </row>
    <row r="60" spans="2:16">
      <c r="B60" s="7" t="s">
        <v>330</v>
      </c>
      <c r="C60" s="7" t="s">
        <v>47</v>
      </c>
      <c r="D60" s="7" t="s">
        <v>334</v>
      </c>
      <c r="E60" s="7" t="s">
        <v>231</v>
      </c>
      <c r="F60" s="20">
        <v>1.9029609999999999</v>
      </c>
      <c r="G60" s="20">
        <v>150.31702070631997</v>
      </c>
      <c r="H60" s="20">
        <v>185.53869749999998</v>
      </c>
      <c r="I60" s="19">
        <v>0</v>
      </c>
      <c r="K60" s="14" t="s">
        <v>231</v>
      </c>
      <c r="L60" s="13">
        <v>5.9778859999999998</v>
      </c>
      <c r="M60" s="13">
        <v>472.19991037232001</v>
      </c>
      <c r="N60" s="13">
        <v>582.843885</v>
      </c>
      <c r="O60" s="13">
        <v>0</v>
      </c>
    </row>
    <row r="61" spans="2:16">
      <c r="B61" s="7" t="s">
        <v>330</v>
      </c>
      <c r="C61" s="7" t="s">
        <v>47</v>
      </c>
      <c r="D61" s="7" t="s">
        <v>334</v>
      </c>
      <c r="E61" s="7" t="s">
        <v>294</v>
      </c>
      <c r="F61" s="20">
        <v>0.83927700000000005</v>
      </c>
      <c r="G61" s="20">
        <v>54.622581063300011</v>
      </c>
      <c r="H61" s="20">
        <v>52.958378700000004</v>
      </c>
      <c r="I61" s="19">
        <v>0</v>
      </c>
      <c r="K61" s="14" t="s">
        <v>3</v>
      </c>
      <c r="L61" s="13">
        <v>35.364891</v>
      </c>
      <c r="M61" s="13">
        <v>2576.3595403160698</v>
      </c>
      <c r="N61" s="13">
        <v>2620.5384230999998</v>
      </c>
      <c r="O61" s="13">
        <v>0</v>
      </c>
    </row>
    <row r="62" spans="2:16">
      <c r="B62" s="7" t="s">
        <v>330</v>
      </c>
      <c r="C62" s="7" t="s">
        <v>47</v>
      </c>
      <c r="D62" s="7" t="s">
        <v>334</v>
      </c>
      <c r="E62" s="7" t="s">
        <v>3</v>
      </c>
      <c r="F62" s="20">
        <v>4.1992229999999999</v>
      </c>
      <c r="G62" s="20">
        <v>305.91662895170998</v>
      </c>
      <c r="H62" s="20">
        <v>311.1624243</v>
      </c>
      <c r="I62" s="19">
        <v>0</v>
      </c>
      <c r="K62" s="14" t="s">
        <v>4</v>
      </c>
      <c r="L62" s="13">
        <v>376.97500000000002</v>
      </c>
      <c r="M62" s="13">
        <v>0</v>
      </c>
      <c r="N62" s="13">
        <v>0</v>
      </c>
      <c r="O62" s="13">
        <v>0</v>
      </c>
    </row>
    <row r="63" spans="2:16">
      <c r="B63" s="7" t="s">
        <v>330</v>
      </c>
      <c r="C63" s="7" t="s">
        <v>47</v>
      </c>
      <c r="D63" s="7" t="s">
        <v>334</v>
      </c>
      <c r="E63" s="7" t="s">
        <v>229</v>
      </c>
      <c r="F63" s="20">
        <v>3.3719830000000002</v>
      </c>
      <c r="G63" s="20">
        <v>267.90472374659998</v>
      </c>
      <c r="H63" s="20">
        <v>272.11902809999998</v>
      </c>
      <c r="I63" s="19">
        <v>0</v>
      </c>
      <c r="K63" s="14" t="s">
        <v>234</v>
      </c>
      <c r="L63" s="13">
        <v>0.38100000000000001</v>
      </c>
      <c r="M63" s="13">
        <v>0</v>
      </c>
      <c r="N63" s="13">
        <v>0</v>
      </c>
      <c r="O63" s="13">
        <v>0</v>
      </c>
    </row>
    <row r="64" spans="2:16">
      <c r="B64" s="7" t="s">
        <v>330</v>
      </c>
      <c r="C64" s="7" t="s">
        <v>47</v>
      </c>
      <c r="D64" s="7" t="s">
        <v>334</v>
      </c>
      <c r="E64" s="7" t="s">
        <v>10</v>
      </c>
      <c r="F64" s="20">
        <v>66.287999999999997</v>
      </c>
      <c r="G64" s="20">
        <v>3828.5230992000002</v>
      </c>
      <c r="H64" s="20">
        <v>3718.7567999999997</v>
      </c>
      <c r="I64" s="19">
        <v>0</v>
      </c>
      <c r="K64" s="14" t="s">
        <v>294</v>
      </c>
      <c r="L64" s="13">
        <v>30.583707</v>
      </c>
      <c r="M64" s="13">
        <v>1990.4763443103</v>
      </c>
      <c r="N64" s="13">
        <v>1929.8319117000001</v>
      </c>
      <c r="O64" s="13">
        <v>0</v>
      </c>
    </row>
    <row r="65" spans="2:15">
      <c r="B65" s="7" t="s">
        <v>330</v>
      </c>
      <c r="C65" s="7" t="s">
        <v>47</v>
      </c>
      <c r="D65" s="7" t="s">
        <v>334</v>
      </c>
      <c r="E65" s="7" t="s">
        <v>4</v>
      </c>
      <c r="F65" s="20">
        <v>17.125</v>
      </c>
      <c r="G65" s="20">
        <v>0</v>
      </c>
      <c r="H65" s="20">
        <v>0</v>
      </c>
      <c r="I65" s="19">
        <v>0</v>
      </c>
      <c r="K65" s="14" t="s">
        <v>10</v>
      </c>
      <c r="L65" s="13">
        <v>178.715</v>
      </c>
      <c r="M65" s="13">
        <v>10321.8456685</v>
      </c>
      <c r="N65" s="13">
        <v>10025.9115</v>
      </c>
      <c r="O65" s="13">
        <v>0</v>
      </c>
    </row>
    <row r="66" spans="2:15">
      <c r="B66" s="7" t="s">
        <v>330</v>
      </c>
      <c r="C66" s="7" t="s">
        <v>47</v>
      </c>
      <c r="D66" s="7" t="s">
        <v>333</v>
      </c>
      <c r="E66" s="7" t="s">
        <v>232</v>
      </c>
      <c r="F66" s="20">
        <v>0</v>
      </c>
      <c r="G66" s="20">
        <v>0</v>
      </c>
      <c r="H66" s="20">
        <v>0</v>
      </c>
      <c r="I66" s="19">
        <v>0</v>
      </c>
      <c r="K66" s="14" t="s">
        <v>293</v>
      </c>
      <c r="L66" s="13">
        <v>0.85200500000000001</v>
      </c>
      <c r="M66" s="13">
        <v>61.064848683685007</v>
      </c>
      <c r="N66" s="13">
        <v>59.043946499999997</v>
      </c>
      <c r="O66" s="13">
        <v>0</v>
      </c>
    </row>
    <row r="67" spans="2:15">
      <c r="B67" s="7" t="s">
        <v>330</v>
      </c>
      <c r="C67" s="7" t="s">
        <v>47</v>
      </c>
      <c r="D67" s="7" t="s">
        <v>333</v>
      </c>
      <c r="E67" s="7" t="s">
        <v>231</v>
      </c>
      <c r="F67" s="20">
        <v>0</v>
      </c>
      <c r="G67" s="20">
        <v>0</v>
      </c>
      <c r="H67" s="20">
        <v>0</v>
      </c>
      <c r="I67" s="19">
        <v>0</v>
      </c>
      <c r="K67" s="14" t="s">
        <v>230</v>
      </c>
      <c r="L67" s="13">
        <v>0</v>
      </c>
      <c r="M67" s="13">
        <v>0</v>
      </c>
      <c r="N67" s="13">
        <v>0</v>
      </c>
      <c r="O67" s="13">
        <v>0</v>
      </c>
    </row>
    <row r="68" spans="2:15">
      <c r="B68" s="7" t="s">
        <v>330</v>
      </c>
      <c r="C68" s="7" t="s">
        <v>47</v>
      </c>
      <c r="D68" s="7" t="s">
        <v>333</v>
      </c>
      <c r="E68" s="7" t="s">
        <v>294</v>
      </c>
      <c r="F68" s="20">
        <v>9.3198019999999993</v>
      </c>
      <c r="G68" s="20">
        <v>606.5597415858</v>
      </c>
      <c r="H68" s="20">
        <v>588.07950619999997</v>
      </c>
      <c r="I68" s="19">
        <v>0</v>
      </c>
      <c r="K68" s="15" t="s">
        <v>338</v>
      </c>
      <c r="L68" s="13">
        <v>208.07769500000001</v>
      </c>
      <c r="M68" s="13">
        <v>14272.546336287549</v>
      </c>
      <c r="N68" s="13">
        <v>13151.536657300001</v>
      </c>
      <c r="O68" s="13">
        <v>0</v>
      </c>
    </row>
    <row r="69" spans="2:15">
      <c r="B69" s="7" t="s">
        <v>330</v>
      </c>
      <c r="C69" s="7" t="s">
        <v>47</v>
      </c>
      <c r="D69" s="7" t="s">
        <v>333</v>
      </c>
      <c r="E69" s="7" t="s">
        <v>3</v>
      </c>
      <c r="F69" s="20">
        <v>4.3686129999999999</v>
      </c>
      <c r="G69" s="20">
        <v>318.25682088201</v>
      </c>
      <c r="H69" s="20">
        <v>323.71422330000001</v>
      </c>
      <c r="I69" s="19">
        <v>0</v>
      </c>
      <c r="K69" s="14" t="s">
        <v>229</v>
      </c>
      <c r="L69" s="13">
        <v>2.9323039999999998</v>
      </c>
      <c r="M69" s="13">
        <v>232.97213926079996</v>
      </c>
      <c r="N69" s="13">
        <v>236.63693279999998</v>
      </c>
      <c r="O69" s="13">
        <v>0</v>
      </c>
    </row>
    <row r="70" spans="2:15">
      <c r="B70" s="7" t="s">
        <v>330</v>
      </c>
      <c r="C70" s="7" t="s">
        <v>47</v>
      </c>
      <c r="D70" s="7" t="s">
        <v>333</v>
      </c>
      <c r="E70" s="7" t="s">
        <v>229</v>
      </c>
      <c r="F70" s="20">
        <v>2.2258830000000001</v>
      </c>
      <c r="G70" s="20">
        <v>176.84684952660001</v>
      </c>
      <c r="H70" s="20">
        <v>179.6287581</v>
      </c>
      <c r="I70" s="19">
        <v>0</v>
      </c>
      <c r="K70" s="14" t="s">
        <v>232</v>
      </c>
      <c r="L70" s="13">
        <v>65.126006000000004</v>
      </c>
      <c r="M70" s="13">
        <v>7137.6806568480597</v>
      </c>
      <c r="N70" s="13">
        <v>6160.9201676000002</v>
      </c>
      <c r="O70" s="13">
        <v>0</v>
      </c>
    </row>
    <row r="71" spans="2:15">
      <c r="B71" s="7" t="s">
        <v>330</v>
      </c>
      <c r="C71" s="7" t="s">
        <v>47</v>
      </c>
      <c r="D71" s="7" t="s">
        <v>333</v>
      </c>
      <c r="E71" s="7" t="s">
        <v>10</v>
      </c>
      <c r="F71" s="20">
        <v>9.2739999999999991</v>
      </c>
      <c r="G71" s="20">
        <v>535.62821659999997</v>
      </c>
      <c r="H71" s="20">
        <v>520.27139999999997</v>
      </c>
      <c r="I71" s="19">
        <v>0</v>
      </c>
      <c r="K71" s="14" t="s">
        <v>231</v>
      </c>
      <c r="L71" s="13">
        <v>2.2635710000000002</v>
      </c>
      <c r="M71" s="13">
        <v>178.80200848952001</v>
      </c>
      <c r="N71" s="13">
        <v>220.69817250000003</v>
      </c>
      <c r="O71" s="13">
        <v>0</v>
      </c>
    </row>
    <row r="72" spans="2:15">
      <c r="B72" s="7" t="s">
        <v>330</v>
      </c>
      <c r="C72" s="7" t="s">
        <v>47</v>
      </c>
      <c r="D72" s="7" t="s">
        <v>333</v>
      </c>
      <c r="E72" s="7" t="s">
        <v>4</v>
      </c>
      <c r="F72" s="20">
        <v>36.293999999999997</v>
      </c>
      <c r="G72" s="20">
        <v>0</v>
      </c>
      <c r="H72" s="20">
        <v>0</v>
      </c>
      <c r="I72" s="19">
        <v>0</v>
      </c>
      <c r="K72" s="14" t="s">
        <v>3</v>
      </c>
      <c r="L72" s="13">
        <v>0.88261100000000003</v>
      </c>
      <c r="M72" s="13">
        <v>64.298890960470004</v>
      </c>
      <c r="N72" s="13">
        <v>65.401475099999999</v>
      </c>
      <c r="O72" s="13">
        <v>0</v>
      </c>
    </row>
    <row r="73" spans="2:15">
      <c r="B73" s="7" t="s">
        <v>330</v>
      </c>
      <c r="C73" s="7" t="s">
        <v>47</v>
      </c>
      <c r="D73" s="7" t="s">
        <v>332</v>
      </c>
      <c r="E73" s="7" t="s">
        <v>271</v>
      </c>
      <c r="F73" s="20">
        <v>0</v>
      </c>
      <c r="G73" s="20">
        <v>0</v>
      </c>
      <c r="H73" s="20">
        <v>0</v>
      </c>
      <c r="I73" s="19">
        <v>0</v>
      </c>
      <c r="K73" s="14" t="s">
        <v>4</v>
      </c>
      <c r="L73" s="13">
        <v>21.582000000000001</v>
      </c>
      <c r="M73" s="13">
        <v>0</v>
      </c>
      <c r="N73" s="13">
        <v>0</v>
      </c>
      <c r="O73" s="13">
        <v>0</v>
      </c>
    </row>
    <row r="74" spans="2:15">
      <c r="B74" s="7" t="s">
        <v>330</v>
      </c>
      <c r="C74" s="7" t="s">
        <v>47</v>
      </c>
      <c r="D74" s="7" t="s">
        <v>332</v>
      </c>
      <c r="E74" s="7" t="s">
        <v>294</v>
      </c>
      <c r="F74" s="20">
        <v>0.40593800000000002</v>
      </c>
      <c r="G74" s="20">
        <v>26.419622260200001</v>
      </c>
      <c r="H74" s="20">
        <v>25.614687799999999</v>
      </c>
      <c r="I74" s="19">
        <v>0</v>
      </c>
      <c r="K74" s="14" t="s">
        <v>294</v>
      </c>
      <c r="L74" s="13">
        <v>6.2030000000000002E-3</v>
      </c>
      <c r="M74" s="13">
        <v>0.40370922870000003</v>
      </c>
      <c r="N74" s="13">
        <v>0.39140930000000002</v>
      </c>
      <c r="O74" s="13">
        <v>0</v>
      </c>
    </row>
    <row r="75" spans="2:15">
      <c r="B75" s="7" t="s">
        <v>330</v>
      </c>
      <c r="C75" s="7" t="s">
        <v>47</v>
      </c>
      <c r="D75" s="7" t="s">
        <v>332</v>
      </c>
      <c r="E75" s="7" t="s">
        <v>3</v>
      </c>
      <c r="F75" s="20">
        <v>1.29373</v>
      </c>
      <c r="G75" s="20">
        <v>94.249226672100008</v>
      </c>
      <c r="H75" s="20">
        <v>95.865392999999997</v>
      </c>
      <c r="I75" s="19">
        <v>0</v>
      </c>
      <c r="K75" s="14" t="s">
        <v>10</v>
      </c>
      <c r="L75" s="13">
        <v>115.285</v>
      </c>
      <c r="M75" s="13">
        <v>6658.3889314999997</v>
      </c>
      <c r="N75" s="13">
        <v>6467.4885000000004</v>
      </c>
      <c r="O75" s="13">
        <v>0</v>
      </c>
    </row>
    <row r="76" spans="2:15">
      <c r="B76" s="7" t="s">
        <v>330</v>
      </c>
      <c r="C76" s="7" t="s">
        <v>47</v>
      </c>
      <c r="D76" s="7" t="s">
        <v>332</v>
      </c>
      <c r="E76" s="7" t="s">
        <v>229</v>
      </c>
      <c r="F76" s="20">
        <v>5.1573520000000004</v>
      </c>
      <c r="G76" s="20">
        <v>409.75264787039998</v>
      </c>
      <c r="H76" s="20">
        <v>416.19830640000004</v>
      </c>
      <c r="I76" s="19">
        <v>0</v>
      </c>
      <c r="K76" s="14" t="s">
        <v>230</v>
      </c>
      <c r="L76" s="13">
        <v>0</v>
      </c>
      <c r="M76" s="13">
        <v>0</v>
      </c>
      <c r="N76" s="13">
        <v>0</v>
      </c>
      <c r="O76" s="13">
        <v>0</v>
      </c>
    </row>
    <row r="77" spans="2:15">
      <c r="B77" s="7" t="s">
        <v>330</v>
      </c>
      <c r="C77" s="7" t="s">
        <v>47</v>
      </c>
      <c r="D77" s="7" t="s">
        <v>332</v>
      </c>
      <c r="E77" s="7" t="s">
        <v>10</v>
      </c>
      <c r="F77" s="20">
        <v>32.664000000000001</v>
      </c>
      <c r="G77" s="20">
        <v>1886.5387176000002</v>
      </c>
      <c r="H77" s="20">
        <v>1832.4504000000002</v>
      </c>
      <c r="I77" s="19">
        <v>0</v>
      </c>
      <c r="K77" s="15" t="s">
        <v>337</v>
      </c>
      <c r="L77" s="13">
        <v>149.16928500000003</v>
      </c>
      <c r="M77" s="13">
        <v>9120.6014167456306</v>
      </c>
      <c r="N77" s="13">
        <v>10827.0812305</v>
      </c>
      <c r="O77" s="13">
        <v>0</v>
      </c>
    </row>
    <row r="78" spans="2:15">
      <c r="B78" s="7" t="s">
        <v>330</v>
      </c>
      <c r="C78" s="7" t="s">
        <v>47</v>
      </c>
      <c r="D78" s="7" t="s">
        <v>332</v>
      </c>
      <c r="E78" s="7" t="s">
        <v>4</v>
      </c>
      <c r="F78" s="20">
        <v>10.295999999999999</v>
      </c>
      <c r="G78" s="20">
        <v>0</v>
      </c>
      <c r="H78" s="20">
        <v>0</v>
      </c>
      <c r="I78" s="19">
        <v>0</v>
      </c>
      <c r="K78" s="14" t="s">
        <v>287</v>
      </c>
      <c r="L78" s="13">
        <v>5.8601640000000002</v>
      </c>
      <c r="M78" s="13">
        <v>749.55863382179996</v>
      </c>
      <c r="N78" s="13">
        <v>591.87656400000003</v>
      </c>
      <c r="O78" s="13">
        <v>0</v>
      </c>
    </row>
    <row r="79" spans="2:15">
      <c r="B79" s="7" t="s">
        <v>330</v>
      </c>
      <c r="C79" s="7" t="s">
        <v>47</v>
      </c>
      <c r="D79" s="7" t="s">
        <v>331</v>
      </c>
      <c r="E79" s="7" t="s">
        <v>231</v>
      </c>
      <c r="F79" s="20">
        <v>6.2199999999999998E-3</v>
      </c>
      <c r="G79" s="20">
        <v>0.49132476639999995</v>
      </c>
      <c r="H79" s="20">
        <v>0.60644999999999993</v>
      </c>
      <c r="I79" s="19">
        <v>0</v>
      </c>
      <c r="K79" s="14" t="s">
        <v>229</v>
      </c>
      <c r="L79" s="13">
        <v>1.4900869999999999</v>
      </c>
      <c r="M79" s="13">
        <v>118.38771016739999</v>
      </c>
      <c r="N79" s="13">
        <v>120.2500209</v>
      </c>
      <c r="O79" s="13">
        <v>0</v>
      </c>
    </row>
    <row r="80" spans="2:15">
      <c r="B80" s="7" t="s">
        <v>330</v>
      </c>
      <c r="C80" s="7" t="s">
        <v>47</v>
      </c>
      <c r="D80" s="7" t="s">
        <v>331</v>
      </c>
      <c r="E80" s="7" t="s">
        <v>294</v>
      </c>
      <c r="F80" s="20">
        <v>0.14721300000000001</v>
      </c>
      <c r="G80" s="20">
        <v>9.5810489577000002</v>
      </c>
      <c r="H80" s="20">
        <v>9.2891403000000015</v>
      </c>
      <c r="I80" s="19">
        <v>0</v>
      </c>
      <c r="K80" s="14" t="s">
        <v>232</v>
      </c>
      <c r="L80" s="13">
        <v>0</v>
      </c>
      <c r="M80" s="13">
        <v>0</v>
      </c>
      <c r="N80" s="13">
        <v>0</v>
      </c>
      <c r="O80" s="13">
        <v>0</v>
      </c>
    </row>
    <row r="81" spans="2:15">
      <c r="B81" s="7" t="s">
        <v>330</v>
      </c>
      <c r="C81" s="7" t="s">
        <v>47</v>
      </c>
      <c r="D81" s="7" t="s">
        <v>331</v>
      </c>
      <c r="E81" s="7" t="s">
        <v>3</v>
      </c>
      <c r="F81" s="20">
        <v>0.152535</v>
      </c>
      <c r="G81" s="20">
        <v>11.11229220195</v>
      </c>
      <c r="H81" s="20">
        <v>11.302843500000002</v>
      </c>
      <c r="I81" s="19">
        <v>0</v>
      </c>
      <c r="K81" s="14" t="s">
        <v>231</v>
      </c>
      <c r="L81" s="13">
        <v>100.994443</v>
      </c>
      <c r="M81" s="13">
        <v>7977.6641663461596</v>
      </c>
      <c r="N81" s="13">
        <v>9846.9581925000002</v>
      </c>
      <c r="O81" s="13">
        <v>0</v>
      </c>
    </row>
    <row r="82" spans="2:15">
      <c r="B82" s="7" t="s">
        <v>330</v>
      </c>
      <c r="C82" s="7" t="s">
        <v>47</v>
      </c>
      <c r="D82" s="7" t="s">
        <v>331</v>
      </c>
      <c r="E82" s="7" t="s">
        <v>229</v>
      </c>
      <c r="F82" s="20">
        <v>2.3273769999999998</v>
      </c>
      <c r="G82" s="20">
        <v>184.91056812539998</v>
      </c>
      <c r="H82" s="20">
        <v>187.8193239</v>
      </c>
      <c r="I82" s="19">
        <v>0</v>
      </c>
      <c r="K82" s="14" t="s">
        <v>3</v>
      </c>
      <c r="L82" s="13">
        <v>0.26655099999999998</v>
      </c>
      <c r="M82" s="13">
        <v>19.41844559427</v>
      </c>
      <c r="N82" s="13">
        <v>19.751429099999999</v>
      </c>
      <c r="O82" s="13">
        <v>0</v>
      </c>
    </row>
    <row r="83" spans="2:15">
      <c r="B83" s="7" t="s">
        <v>330</v>
      </c>
      <c r="C83" s="7" t="s">
        <v>47</v>
      </c>
      <c r="D83" s="7" t="s">
        <v>331</v>
      </c>
      <c r="E83" s="7" t="s">
        <v>10</v>
      </c>
      <c r="F83" s="20">
        <v>48.554000000000002</v>
      </c>
      <c r="G83" s="20">
        <v>2804.2799686000003</v>
      </c>
      <c r="H83" s="20">
        <v>2723.8793999999998</v>
      </c>
      <c r="I83" s="19">
        <v>0</v>
      </c>
      <c r="K83" s="14" t="s">
        <v>4</v>
      </c>
      <c r="L83" s="13">
        <v>36.133000000000003</v>
      </c>
      <c r="M83" s="13">
        <v>0</v>
      </c>
      <c r="N83" s="13">
        <v>0</v>
      </c>
      <c r="O83" s="13">
        <v>0</v>
      </c>
    </row>
    <row r="84" spans="2:15">
      <c r="B84" s="7" t="s">
        <v>330</v>
      </c>
      <c r="C84" s="7" t="s">
        <v>47</v>
      </c>
      <c r="D84" s="7" t="s">
        <v>331</v>
      </c>
      <c r="E84" s="7" t="s">
        <v>4</v>
      </c>
      <c r="F84" s="20">
        <v>4.1779999999999999</v>
      </c>
      <c r="G84" s="20">
        <v>0</v>
      </c>
      <c r="H84" s="20">
        <v>0</v>
      </c>
      <c r="I84" s="19">
        <v>0</v>
      </c>
      <c r="K84" s="14" t="s">
        <v>294</v>
      </c>
      <c r="L84" s="13">
        <v>4.0000000000000003E-5</v>
      </c>
      <c r="M84" s="13">
        <v>2.6033160000000005E-3</v>
      </c>
      <c r="N84" s="13">
        <v>2.5240000000000002E-3</v>
      </c>
      <c r="O84" s="13">
        <v>0</v>
      </c>
    </row>
    <row r="85" spans="2:15">
      <c r="B85" s="7" t="s">
        <v>330</v>
      </c>
      <c r="C85" s="7" t="s">
        <v>47</v>
      </c>
      <c r="D85" s="7" t="s">
        <v>328</v>
      </c>
      <c r="E85" s="7" t="s">
        <v>294</v>
      </c>
      <c r="F85" s="20">
        <v>0.814222</v>
      </c>
      <c r="G85" s="20">
        <v>52.991929003800003</v>
      </c>
      <c r="H85" s="20">
        <v>51.377408199999998</v>
      </c>
      <c r="I85" s="19">
        <v>0</v>
      </c>
      <c r="K85" s="14" t="s">
        <v>10</v>
      </c>
      <c r="L85" s="13">
        <v>4.4249999999999998</v>
      </c>
      <c r="M85" s="13">
        <v>255.56985749999998</v>
      </c>
      <c r="N85" s="13">
        <v>248.24250000000001</v>
      </c>
      <c r="O85" s="13">
        <v>0</v>
      </c>
    </row>
    <row r="86" spans="2:15">
      <c r="B86" s="7" t="s">
        <v>330</v>
      </c>
      <c r="C86" s="7" t="s">
        <v>47</v>
      </c>
      <c r="D86" s="7" t="s">
        <v>328</v>
      </c>
      <c r="E86" s="7" t="s">
        <v>3</v>
      </c>
      <c r="F86" s="20">
        <v>0.140374</v>
      </c>
      <c r="G86" s="20">
        <v>10.226353987980001</v>
      </c>
      <c r="H86" s="20">
        <v>10.4017134</v>
      </c>
      <c r="I86" s="19">
        <v>0</v>
      </c>
      <c r="K86" s="15" t="s">
        <v>336</v>
      </c>
      <c r="L86" s="13">
        <v>67.153760999999989</v>
      </c>
      <c r="M86" s="13">
        <v>6342.3823994884533</v>
      </c>
      <c r="N86" s="13">
        <v>6947.9922235000004</v>
      </c>
      <c r="O86" s="13">
        <v>0</v>
      </c>
    </row>
    <row r="87" spans="2:15">
      <c r="B87" s="7" t="s">
        <v>330</v>
      </c>
      <c r="C87" s="7" t="s">
        <v>47</v>
      </c>
      <c r="D87" s="7" t="s">
        <v>328</v>
      </c>
      <c r="E87" s="7" t="s">
        <v>229</v>
      </c>
      <c r="F87" s="20">
        <v>2.080508</v>
      </c>
      <c r="G87" s="20">
        <v>165.29677670160001</v>
      </c>
      <c r="H87" s="20">
        <v>167.8969956</v>
      </c>
      <c r="I87" s="19">
        <v>0</v>
      </c>
      <c r="K87" s="14" t="s">
        <v>271</v>
      </c>
      <c r="L87" s="13">
        <v>59.526828000000002</v>
      </c>
      <c r="M87" s="13">
        <v>6065.7458042806529</v>
      </c>
      <c r="N87" s="13">
        <v>6667.0047360000008</v>
      </c>
      <c r="O87" s="13">
        <v>0</v>
      </c>
    </row>
    <row r="88" spans="2:15">
      <c r="B88" s="7" t="s">
        <v>330</v>
      </c>
      <c r="C88" s="7" t="s">
        <v>47</v>
      </c>
      <c r="D88" s="7" t="s">
        <v>328</v>
      </c>
      <c r="E88" s="7" t="s">
        <v>10</v>
      </c>
      <c r="F88" s="20">
        <v>15.255000000000001</v>
      </c>
      <c r="G88" s="20">
        <v>881.06625450000001</v>
      </c>
      <c r="H88" s="20">
        <v>855.80550000000005</v>
      </c>
      <c r="I88" s="19">
        <v>0</v>
      </c>
      <c r="K88" s="14" t="s">
        <v>229</v>
      </c>
      <c r="L88" s="13">
        <v>3.4816769999999999</v>
      </c>
      <c r="M88" s="13">
        <v>276.61993398539994</v>
      </c>
      <c r="N88" s="13">
        <v>280.97133389999999</v>
      </c>
      <c r="O88" s="13">
        <v>0</v>
      </c>
    </row>
    <row r="89" spans="2:15">
      <c r="B89" s="7" t="s">
        <v>330</v>
      </c>
      <c r="C89" s="7" t="s">
        <v>47</v>
      </c>
      <c r="D89" s="7" t="s">
        <v>328</v>
      </c>
      <c r="E89" s="7" t="s">
        <v>4</v>
      </c>
      <c r="F89" s="20">
        <v>3.6819999999999999</v>
      </c>
      <c r="G89" s="20">
        <v>0</v>
      </c>
      <c r="H89" s="20">
        <v>0</v>
      </c>
      <c r="I89" s="19">
        <v>0</v>
      </c>
      <c r="K89" s="14" t="s">
        <v>3</v>
      </c>
      <c r="L89" s="13">
        <v>0</v>
      </c>
      <c r="M89" s="13">
        <v>0</v>
      </c>
      <c r="N89" s="13">
        <v>0</v>
      </c>
      <c r="O89" s="13">
        <v>0</v>
      </c>
    </row>
    <row r="90" spans="2:15">
      <c r="B90" s="7" t="s">
        <v>330</v>
      </c>
      <c r="C90" s="7" t="s">
        <v>47</v>
      </c>
      <c r="D90" s="7" t="s">
        <v>335</v>
      </c>
      <c r="E90" s="7" t="s">
        <v>4</v>
      </c>
      <c r="F90" s="20">
        <v>1.7729999999999999</v>
      </c>
      <c r="G90" s="20">
        <v>0</v>
      </c>
      <c r="H90" s="20">
        <v>0</v>
      </c>
      <c r="I90" s="19">
        <v>0</v>
      </c>
      <c r="K90" s="14" t="s">
        <v>4</v>
      </c>
      <c r="L90" s="13">
        <v>4.1449999999999996</v>
      </c>
      <c r="M90" s="13">
        <v>0</v>
      </c>
      <c r="N90" s="13">
        <v>0</v>
      </c>
      <c r="O90" s="13">
        <v>0</v>
      </c>
    </row>
    <row r="91" spans="2:15">
      <c r="B91" s="7" t="s">
        <v>330</v>
      </c>
      <c r="C91" s="7" t="s">
        <v>47</v>
      </c>
      <c r="D91" s="7" t="s">
        <v>326</v>
      </c>
      <c r="E91" s="7" t="s">
        <v>294</v>
      </c>
      <c r="F91" s="20">
        <v>1.283507</v>
      </c>
      <c r="G91" s="20">
        <v>83.534357730300002</v>
      </c>
      <c r="H91" s="20">
        <v>80.989291699999995</v>
      </c>
      <c r="I91" s="19">
        <v>0</v>
      </c>
      <c r="K91" s="14" t="s">
        <v>294</v>
      </c>
      <c r="L91" s="13">
        <v>2.5599999999999999E-4</v>
      </c>
      <c r="M91" s="13">
        <v>1.6661222399999998E-2</v>
      </c>
      <c r="N91" s="13">
        <v>1.6153600000000001E-2</v>
      </c>
      <c r="O91" s="13">
        <v>0</v>
      </c>
    </row>
    <row r="92" spans="2:15">
      <c r="B92" s="7" t="s">
        <v>330</v>
      </c>
      <c r="C92" s="7" t="s">
        <v>47</v>
      </c>
      <c r="D92" s="7" t="s">
        <v>326</v>
      </c>
      <c r="E92" s="7" t="s">
        <v>3</v>
      </c>
      <c r="F92" s="20">
        <v>3.5512489999999999</v>
      </c>
      <c r="G92" s="20">
        <v>258.71122411173002</v>
      </c>
      <c r="H92" s="20">
        <v>263.1475509</v>
      </c>
      <c r="I92" s="19">
        <v>0</v>
      </c>
      <c r="K92" s="15" t="s">
        <v>286</v>
      </c>
      <c r="L92" s="13">
        <v>116.426737</v>
      </c>
      <c r="M92" s="13">
        <v>6437.4366608987002</v>
      </c>
      <c r="N92" s="13">
        <v>6254.6607818999992</v>
      </c>
      <c r="O92" s="13">
        <v>0</v>
      </c>
    </row>
    <row r="93" spans="2:15">
      <c r="B93" s="7" t="s">
        <v>330</v>
      </c>
      <c r="C93" s="7" t="s">
        <v>47</v>
      </c>
      <c r="D93" s="7" t="s">
        <v>326</v>
      </c>
      <c r="E93" s="7" t="s">
        <v>229</v>
      </c>
      <c r="F93" s="20">
        <v>0.67199600000000004</v>
      </c>
      <c r="G93" s="20">
        <v>53.390216599200002</v>
      </c>
      <c r="H93" s="20">
        <v>54.230077199999997</v>
      </c>
      <c r="I93" s="19">
        <v>0</v>
      </c>
      <c r="K93" s="14" t="s">
        <v>229</v>
      </c>
      <c r="L93" s="13">
        <v>9.5646999999999996E-2</v>
      </c>
      <c r="M93" s="13">
        <v>7.5991732793999986</v>
      </c>
      <c r="N93" s="13">
        <v>7.7187128999999999</v>
      </c>
      <c r="O93" s="13">
        <v>0</v>
      </c>
    </row>
    <row r="94" spans="2:15">
      <c r="B94" s="7" t="s">
        <v>330</v>
      </c>
      <c r="C94" s="7" t="s">
        <v>47</v>
      </c>
      <c r="D94" s="7" t="s">
        <v>326</v>
      </c>
      <c r="E94" s="7" t="s">
        <v>10</v>
      </c>
      <c r="F94" s="20">
        <v>0.96099999999999997</v>
      </c>
      <c r="G94" s="20">
        <v>55.503419899999997</v>
      </c>
      <c r="H94" s="20">
        <v>53.912099999999995</v>
      </c>
      <c r="I94" s="19">
        <v>0</v>
      </c>
      <c r="K94" s="14" t="s">
        <v>3</v>
      </c>
      <c r="L94" s="13">
        <v>0.43508999999999998</v>
      </c>
      <c r="M94" s="13">
        <v>31.696641519299998</v>
      </c>
      <c r="N94" s="13">
        <v>32.240168999999995</v>
      </c>
      <c r="O94" s="13">
        <v>0</v>
      </c>
    </row>
    <row r="95" spans="2:15">
      <c r="B95" s="7" t="s">
        <v>330</v>
      </c>
      <c r="C95" s="7" t="s">
        <v>47</v>
      </c>
      <c r="D95" s="7" t="s">
        <v>326</v>
      </c>
      <c r="E95" s="7" t="s">
        <v>4</v>
      </c>
      <c r="F95" s="20">
        <v>3.0630000000000002</v>
      </c>
      <c r="G95" s="20">
        <v>0</v>
      </c>
      <c r="H95" s="20">
        <v>0</v>
      </c>
      <c r="I95" s="19">
        <v>0</v>
      </c>
      <c r="K95" s="14" t="s">
        <v>4</v>
      </c>
      <c r="L95" s="13">
        <v>5.117</v>
      </c>
      <c r="M95" s="13">
        <v>0</v>
      </c>
      <c r="N95" s="13">
        <v>0</v>
      </c>
      <c r="O95" s="13">
        <v>0</v>
      </c>
    </row>
    <row r="96" spans="2:15">
      <c r="B96" s="7" t="s">
        <v>330</v>
      </c>
      <c r="C96" s="7" t="s">
        <v>47</v>
      </c>
      <c r="D96" s="7" t="s">
        <v>321</v>
      </c>
      <c r="E96" s="7" t="s">
        <v>294</v>
      </c>
      <c r="F96" s="20">
        <v>0.54942100000000005</v>
      </c>
      <c r="G96" s="20">
        <v>35.757912000900006</v>
      </c>
      <c r="H96" s="20">
        <v>34.668465099999999</v>
      </c>
      <c r="I96" s="19">
        <v>0</v>
      </c>
      <c r="K96" s="14" t="s">
        <v>10</v>
      </c>
      <c r="L96" s="13">
        <v>110.779</v>
      </c>
      <c r="M96" s="13">
        <v>6398.1408461000001</v>
      </c>
      <c r="N96" s="13">
        <v>6214.7018999999991</v>
      </c>
      <c r="O96" s="13">
        <v>0</v>
      </c>
    </row>
    <row r="97" spans="2:15">
      <c r="B97" s="7" t="s">
        <v>330</v>
      </c>
      <c r="C97" s="7" t="s">
        <v>47</v>
      </c>
      <c r="D97" s="7" t="s">
        <v>321</v>
      </c>
      <c r="E97" s="7" t="s">
        <v>3</v>
      </c>
      <c r="F97" s="20">
        <v>0.82255599999999995</v>
      </c>
      <c r="G97" s="20">
        <v>59.923837968120004</v>
      </c>
      <c r="H97" s="20">
        <v>60.951399599999995</v>
      </c>
      <c r="I97" s="19">
        <v>0</v>
      </c>
      <c r="K97" s="14" t="s">
        <v>293</v>
      </c>
      <c r="L97" s="13">
        <v>0</v>
      </c>
      <c r="M97" s="13">
        <v>0</v>
      </c>
      <c r="N97" s="13">
        <v>0</v>
      </c>
      <c r="O97" s="13">
        <v>0</v>
      </c>
    </row>
    <row r="98" spans="2:15">
      <c r="B98" s="7" t="s">
        <v>330</v>
      </c>
      <c r="C98" s="7" t="s">
        <v>47</v>
      </c>
      <c r="D98" s="7" t="s">
        <v>321</v>
      </c>
      <c r="E98" s="7" t="s">
        <v>229</v>
      </c>
      <c r="F98" s="20">
        <v>0</v>
      </c>
      <c r="G98" s="20">
        <v>0</v>
      </c>
      <c r="H98" s="20">
        <v>0</v>
      </c>
      <c r="I98" s="19">
        <v>0</v>
      </c>
      <c r="K98" s="15" t="s">
        <v>334</v>
      </c>
      <c r="L98" s="13">
        <v>93.726444000000001</v>
      </c>
      <c r="M98" s="13">
        <v>4607.2840536679305</v>
      </c>
      <c r="N98" s="13">
        <v>4540.5353286</v>
      </c>
      <c r="O98" s="13">
        <v>0</v>
      </c>
    </row>
    <row r="99" spans="2:15">
      <c r="B99" s="7" t="s">
        <v>330</v>
      </c>
      <c r="C99" s="7" t="s">
        <v>47</v>
      </c>
      <c r="D99" s="7" t="s">
        <v>321</v>
      </c>
      <c r="E99" s="7" t="s">
        <v>10</v>
      </c>
      <c r="F99" s="20">
        <v>4.7320000000000002</v>
      </c>
      <c r="G99" s="20">
        <v>273.30091880000003</v>
      </c>
      <c r="H99" s="20">
        <v>265.46520000000004</v>
      </c>
      <c r="I99" s="19">
        <v>0</v>
      </c>
      <c r="K99" s="14" t="s">
        <v>229</v>
      </c>
      <c r="L99" s="13">
        <v>3.3719830000000002</v>
      </c>
      <c r="M99" s="13">
        <v>267.90472374659998</v>
      </c>
      <c r="N99" s="13">
        <v>272.11902809999998</v>
      </c>
      <c r="O99" s="13">
        <v>0</v>
      </c>
    </row>
    <row r="100" spans="2:15">
      <c r="B100" s="7" t="s">
        <v>330</v>
      </c>
      <c r="C100" s="7" t="s">
        <v>47</v>
      </c>
      <c r="D100" s="7" t="s">
        <v>321</v>
      </c>
      <c r="E100" s="7" t="s">
        <v>4</v>
      </c>
      <c r="F100" s="20">
        <v>7.875</v>
      </c>
      <c r="G100" s="20">
        <v>0</v>
      </c>
      <c r="H100" s="20">
        <v>0</v>
      </c>
      <c r="I100" s="19">
        <v>0</v>
      </c>
      <c r="K100" s="14" t="s">
        <v>231</v>
      </c>
      <c r="L100" s="13">
        <v>1.9029609999999999</v>
      </c>
      <c r="M100" s="13">
        <v>150.31702070631997</v>
      </c>
      <c r="N100" s="13">
        <v>185.53869749999998</v>
      </c>
      <c r="O100" s="13">
        <v>0</v>
      </c>
    </row>
    <row r="101" spans="2:15">
      <c r="B101" s="7" t="s">
        <v>330</v>
      </c>
      <c r="C101" s="7" t="s">
        <v>47</v>
      </c>
      <c r="D101" s="7" t="s">
        <v>314</v>
      </c>
      <c r="E101" s="7" t="s">
        <v>294</v>
      </c>
      <c r="F101" s="20">
        <v>1.8652999999999999E-2</v>
      </c>
      <c r="G101" s="20">
        <v>1.2139913337000001</v>
      </c>
      <c r="H101" s="20">
        <v>1.1770043000000001</v>
      </c>
      <c r="I101" s="19">
        <v>0</v>
      </c>
      <c r="K101" s="14" t="s">
        <v>3</v>
      </c>
      <c r="L101" s="13">
        <v>4.1992229999999999</v>
      </c>
      <c r="M101" s="13">
        <v>305.91662895170998</v>
      </c>
      <c r="N101" s="13">
        <v>311.1624243</v>
      </c>
      <c r="O101" s="13">
        <v>0</v>
      </c>
    </row>
    <row r="102" spans="2:15">
      <c r="B102" s="7" t="s">
        <v>330</v>
      </c>
      <c r="C102" s="7" t="s">
        <v>47</v>
      </c>
      <c r="D102" s="7" t="s">
        <v>314</v>
      </c>
      <c r="E102" s="7" t="s">
        <v>3</v>
      </c>
      <c r="F102" s="20">
        <v>1.942977</v>
      </c>
      <c r="G102" s="20">
        <v>141.54737054229</v>
      </c>
      <c r="H102" s="20">
        <v>143.97459570000001</v>
      </c>
      <c r="I102" s="19">
        <v>0</v>
      </c>
      <c r="K102" s="14" t="s">
        <v>4</v>
      </c>
      <c r="L102" s="13">
        <v>17.125</v>
      </c>
      <c r="M102" s="13">
        <v>0</v>
      </c>
      <c r="N102" s="13">
        <v>0</v>
      </c>
      <c r="O102" s="13">
        <v>0</v>
      </c>
    </row>
    <row r="103" spans="2:15">
      <c r="B103" s="7" t="s">
        <v>330</v>
      </c>
      <c r="C103" s="7" t="s">
        <v>47</v>
      </c>
      <c r="D103" s="7" t="s">
        <v>314</v>
      </c>
      <c r="E103" s="7" t="s">
        <v>229</v>
      </c>
      <c r="F103" s="20">
        <v>0.50555899999999998</v>
      </c>
      <c r="G103" s="20">
        <v>40.166763661799997</v>
      </c>
      <c r="H103" s="20">
        <v>40.798611299999997</v>
      </c>
      <c r="I103" s="19">
        <v>0</v>
      </c>
      <c r="K103" s="14" t="s">
        <v>294</v>
      </c>
      <c r="L103" s="13">
        <v>0.83927700000000005</v>
      </c>
      <c r="M103" s="13">
        <v>54.622581063300011</v>
      </c>
      <c r="N103" s="13">
        <v>52.958378700000004</v>
      </c>
      <c r="O103" s="13">
        <v>0</v>
      </c>
    </row>
    <row r="104" spans="2:15">
      <c r="B104" s="7" t="s">
        <v>330</v>
      </c>
      <c r="C104" s="7" t="s">
        <v>47</v>
      </c>
      <c r="D104" s="7" t="s">
        <v>314</v>
      </c>
      <c r="E104" s="7" t="s">
        <v>10</v>
      </c>
      <c r="F104" s="20">
        <v>5.4610000000000003</v>
      </c>
      <c r="G104" s="20">
        <v>315.40496990000003</v>
      </c>
      <c r="H104" s="20">
        <v>306.36210000000005</v>
      </c>
      <c r="I104" s="19">
        <v>0</v>
      </c>
      <c r="K104" s="14" t="s">
        <v>10</v>
      </c>
      <c r="L104" s="13">
        <v>66.287999999999997</v>
      </c>
      <c r="M104" s="13">
        <v>3828.5230992000002</v>
      </c>
      <c r="N104" s="13">
        <v>3718.7567999999997</v>
      </c>
      <c r="O104" s="13">
        <v>0</v>
      </c>
    </row>
    <row r="105" spans="2:15">
      <c r="B105" s="7" t="s">
        <v>330</v>
      </c>
      <c r="C105" s="7" t="s">
        <v>47</v>
      </c>
      <c r="D105" s="7" t="s">
        <v>314</v>
      </c>
      <c r="E105" s="7" t="s">
        <v>4</v>
      </c>
      <c r="F105" s="20">
        <v>1.6479999999999999</v>
      </c>
      <c r="G105" s="20">
        <v>0</v>
      </c>
      <c r="H105" s="20">
        <v>0</v>
      </c>
      <c r="I105" s="19">
        <v>0</v>
      </c>
      <c r="K105" s="15" t="s">
        <v>333</v>
      </c>
      <c r="L105" s="13">
        <v>61.482298</v>
      </c>
      <c r="M105" s="13">
        <v>1637.2916285944102</v>
      </c>
      <c r="N105" s="13">
        <v>1611.6938875999999</v>
      </c>
      <c r="O105" s="13">
        <v>0</v>
      </c>
    </row>
    <row r="106" spans="2:15">
      <c r="B106" s="7" t="s">
        <v>330</v>
      </c>
      <c r="C106" s="7" t="s">
        <v>47</v>
      </c>
      <c r="D106" s="7" t="s">
        <v>308</v>
      </c>
      <c r="E106" s="7" t="s">
        <v>3</v>
      </c>
      <c r="F106" s="20">
        <v>0.162296</v>
      </c>
      <c r="G106" s="20">
        <v>11.82338856792</v>
      </c>
      <c r="H106" s="20">
        <v>12.0261336</v>
      </c>
      <c r="I106" s="19">
        <v>0</v>
      </c>
      <c r="K106" s="14" t="s">
        <v>229</v>
      </c>
      <c r="L106" s="13">
        <v>2.2258830000000001</v>
      </c>
      <c r="M106" s="13">
        <v>176.84684952660001</v>
      </c>
      <c r="N106" s="13">
        <v>179.6287581</v>
      </c>
      <c r="O106" s="13">
        <v>0</v>
      </c>
    </row>
    <row r="107" spans="2:15">
      <c r="B107" s="7" t="s">
        <v>330</v>
      </c>
      <c r="C107" s="7" t="s">
        <v>47</v>
      </c>
      <c r="D107" s="7" t="s">
        <v>308</v>
      </c>
      <c r="E107" s="7" t="s">
        <v>229</v>
      </c>
      <c r="F107" s="20">
        <v>0</v>
      </c>
      <c r="G107" s="20">
        <v>0</v>
      </c>
      <c r="H107" s="20">
        <v>0</v>
      </c>
      <c r="I107" s="19">
        <v>0</v>
      </c>
      <c r="K107" s="14" t="s">
        <v>232</v>
      </c>
      <c r="L107" s="13">
        <v>0</v>
      </c>
      <c r="M107" s="13">
        <v>0</v>
      </c>
      <c r="N107" s="13">
        <v>0</v>
      </c>
      <c r="O107" s="13">
        <v>0</v>
      </c>
    </row>
    <row r="108" spans="2:15">
      <c r="B108" s="7" t="s">
        <v>330</v>
      </c>
      <c r="C108" s="7" t="s">
        <v>47</v>
      </c>
      <c r="D108" s="7" t="s">
        <v>308</v>
      </c>
      <c r="E108" s="7" t="s">
        <v>10</v>
      </c>
      <c r="F108" s="20">
        <v>0.51700000000000002</v>
      </c>
      <c r="G108" s="20">
        <v>29.859800300000003</v>
      </c>
      <c r="H108" s="20">
        <v>29.003700000000002</v>
      </c>
      <c r="I108" s="19">
        <v>0</v>
      </c>
      <c r="K108" s="14" t="s">
        <v>231</v>
      </c>
      <c r="L108" s="13">
        <v>0</v>
      </c>
      <c r="M108" s="13">
        <v>0</v>
      </c>
      <c r="N108" s="13">
        <v>0</v>
      </c>
      <c r="O108" s="13">
        <v>0</v>
      </c>
    </row>
    <row r="109" spans="2:15">
      <c r="B109" s="7" t="s">
        <v>330</v>
      </c>
      <c r="C109" s="7" t="s">
        <v>47</v>
      </c>
      <c r="D109" s="7" t="s">
        <v>308</v>
      </c>
      <c r="E109" s="7" t="s">
        <v>4</v>
      </c>
      <c r="F109" s="20">
        <v>0.47499999999999998</v>
      </c>
      <c r="G109" s="20">
        <v>0</v>
      </c>
      <c r="H109" s="20">
        <v>0</v>
      </c>
      <c r="I109" s="19">
        <v>0</v>
      </c>
      <c r="K109" s="14" t="s">
        <v>3</v>
      </c>
      <c r="L109" s="13">
        <v>4.3686129999999999</v>
      </c>
      <c r="M109" s="13">
        <v>318.25682088201</v>
      </c>
      <c r="N109" s="13">
        <v>323.71422330000001</v>
      </c>
      <c r="O109" s="13">
        <v>0</v>
      </c>
    </row>
    <row r="110" spans="2:15">
      <c r="B110" s="7" t="s">
        <v>330</v>
      </c>
      <c r="C110" s="7" t="s">
        <v>47</v>
      </c>
      <c r="D110" s="7" t="s">
        <v>300</v>
      </c>
      <c r="E110" s="7" t="s">
        <v>294</v>
      </c>
      <c r="F110" s="20">
        <v>0</v>
      </c>
      <c r="G110" s="20">
        <v>0</v>
      </c>
      <c r="H110" s="20">
        <v>0</v>
      </c>
      <c r="I110" s="19">
        <v>0</v>
      </c>
      <c r="K110" s="14" t="s">
        <v>4</v>
      </c>
      <c r="L110" s="13">
        <v>36.293999999999997</v>
      </c>
      <c r="M110" s="13">
        <v>0</v>
      </c>
      <c r="N110" s="13">
        <v>0</v>
      </c>
      <c r="O110" s="13">
        <v>0</v>
      </c>
    </row>
    <row r="111" spans="2:15">
      <c r="B111" s="7" t="s">
        <v>330</v>
      </c>
      <c r="C111" s="7" t="s">
        <v>47</v>
      </c>
      <c r="D111" s="7" t="s">
        <v>300</v>
      </c>
      <c r="E111" s="7" t="s">
        <v>3</v>
      </c>
      <c r="F111" s="20">
        <v>0</v>
      </c>
      <c r="G111" s="20">
        <v>0</v>
      </c>
      <c r="H111" s="20">
        <v>0</v>
      </c>
      <c r="I111" s="19">
        <v>0</v>
      </c>
      <c r="K111" s="14" t="s">
        <v>294</v>
      </c>
      <c r="L111" s="13">
        <v>9.3198019999999993</v>
      </c>
      <c r="M111" s="13">
        <v>606.5597415858</v>
      </c>
      <c r="N111" s="13">
        <v>588.07950619999997</v>
      </c>
      <c r="O111" s="13">
        <v>0</v>
      </c>
    </row>
    <row r="112" spans="2:15">
      <c r="B112" s="7" t="s">
        <v>330</v>
      </c>
      <c r="C112" s="7" t="s">
        <v>47</v>
      </c>
      <c r="D112" s="7" t="s">
        <v>300</v>
      </c>
      <c r="E112" s="7" t="s">
        <v>229</v>
      </c>
      <c r="F112" s="20">
        <v>8.7880000000000007E-3</v>
      </c>
      <c r="G112" s="20">
        <v>0.6982083576</v>
      </c>
      <c r="H112" s="20">
        <v>0.70919160000000014</v>
      </c>
      <c r="I112" s="19">
        <v>0</v>
      </c>
      <c r="K112" s="14" t="s">
        <v>10</v>
      </c>
      <c r="L112" s="13">
        <v>9.2739999999999991</v>
      </c>
      <c r="M112" s="13">
        <v>535.62821659999997</v>
      </c>
      <c r="N112" s="13">
        <v>520.27139999999997</v>
      </c>
      <c r="O112" s="13">
        <v>0</v>
      </c>
    </row>
    <row r="113" spans="2:15">
      <c r="B113" s="7" t="s">
        <v>330</v>
      </c>
      <c r="C113" s="7" t="s">
        <v>47</v>
      </c>
      <c r="D113" s="7" t="s">
        <v>300</v>
      </c>
      <c r="E113" s="7" t="s">
        <v>10</v>
      </c>
      <c r="F113" s="20">
        <v>0.27300000000000002</v>
      </c>
      <c r="G113" s="20">
        <v>15.767360700000001</v>
      </c>
      <c r="H113" s="20">
        <v>15.315300000000001</v>
      </c>
      <c r="I113" s="19">
        <v>0</v>
      </c>
      <c r="K113" s="15" t="s">
        <v>332</v>
      </c>
      <c r="L113" s="13">
        <v>49.817019999999999</v>
      </c>
      <c r="M113" s="13">
        <v>2416.9602144027003</v>
      </c>
      <c r="N113" s="13">
        <v>2370.1287872000003</v>
      </c>
      <c r="O113" s="13">
        <v>0</v>
      </c>
    </row>
    <row r="114" spans="2:15">
      <c r="B114" s="7" t="s">
        <v>330</v>
      </c>
      <c r="C114" s="7" t="s">
        <v>47</v>
      </c>
      <c r="D114" s="7" t="s">
        <v>300</v>
      </c>
      <c r="E114" s="7" t="s">
        <v>4</v>
      </c>
      <c r="F114" s="20">
        <v>0.24199999999999999</v>
      </c>
      <c r="G114" s="20">
        <v>0</v>
      </c>
      <c r="H114" s="20">
        <v>0</v>
      </c>
      <c r="I114" s="19">
        <v>0</v>
      </c>
      <c r="K114" s="14" t="s">
        <v>271</v>
      </c>
      <c r="L114" s="13">
        <v>0</v>
      </c>
      <c r="M114" s="13">
        <v>0</v>
      </c>
      <c r="N114" s="13">
        <v>0</v>
      </c>
      <c r="O114" s="13">
        <v>0</v>
      </c>
    </row>
    <row r="115" spans="2:15">
      <c r="B115" s="7" t="s">
        <v>330</v>
      </c>
      <c r="C115" s="7" t="s">
        <v>47</v>
      </c>
      <c r="D115" s="7" t="s">
        <v>329</v>
      </c>
      <c r="E115" s="7" t="s">
        <v>234</v>
      </c>
      <c r="F115" s="20">
        <v>0.38100000000000001</v>
      </c>
      <c r="G115" s="20">
        <v>0</v>
      </c>
      <c r="H115" s="20">
        <v>0</v>
      </c>
      <c r="I115" s="19">
        <v>0</v>
      </c>
      <c r="K115" s="14" t="s">
        <v>229</v>
      </c>
      <c r="L115" s="13">
        <v>5.1573520000000004</v>
      </c>
      <c r="M115" s="13">
        <v>409.75264787039998</v>
      </c>
      <c r="N115" s="13">
        <v>416.19830640000004</v>
      </c>
      <c r="O115" s="13">
        <v>0</v>
      </c>
    </row>
    <row r="116" spans="2:15">
      <c r="B116" s="7" t="s">
        <v>330</v>
      </c>
      <c r="C116" s="7" t="s">
        <v>47</v>
      </c>
      <c r="D116" s="7" t="s">
        <v>329</v>
      </c>
      <c r="E116" s="7" t="s">
        <v>271</v>
      </c>
      <c r="F116" s="20">
        <v>4.2556149999999988</v>
      </c>
      <c r="G116" s="20">
        <v>433.64445407512386</v>
      </c>
      <c r="H116" s="20">
        <v>476.62887999999987</v>
      </c>
      <c r="I116" s="19">
        <v>0</v>
      </c>
      <c r="K116" s="14" t="s">
        <v>3</v>
      </c>
      <c r="L116" s="13">
        <v>1.29373</v>
      </c>
      <c r="M116" s="13">
        <v>94.249226672100008</v>
      </c>
      <c r="N116" s="13">
        <v>95.865392999999997</v>
      </c>
      <c r="O116" s="13">
        <v>0</v>
      </c>
    </row>
    <row r="117" spans="2:15">
      <c r="B117" s="7" t="s">
        <v>330</v>
      </c>
      <c r="C117" s="7" t="s">
        <v>47</v>
      </c>
      <c r="D117" s="7" t="s">
        <v>329</v>
      </c>
      <c r="E117" s="7" t="s">
        <v>287</v>
      </c>
      <c r="F117" s="20">
        <v>94.208432999999999</v>
      </c>
      <c r="G117" s="20">
        <v>12049.96043352585</v>
      </c>
      <c r="H117" s="20">
        <v>9515.0517329999984</v>
      </c>
      <c r="I117" s="19">
        <v>0</v>
      </c>
      <c r="K117" s="14" t="s">
        <v>4</v>
      </c>
      <c r="L117" s="13">
        <v>10.295999999999999</v>
      </c>
      <c r="M117" s="13">
        <v>0</v>
      </c>
      <c r="N117" s="13">
        <v>0</v>
      </c>
      <c r="O117" s="13">
        <v>0</v>
      </c>
    </row>
    <row r="118" spans="2:15">
      <c r="B118" s="7" t="s">
        <v>330</v>
      </c>
      <c r="C118" s="7" t="s">
        <v>47</v>
      </c>
      <c r="D118" s="7" t="s">
        <v>329</v>
      </c>
      <c r="E118" s="7" t="s">
        <v>231</v>
      </c>
      <c r="F118" s="20">
        <v>5.9778859999999998</v>
      </c>
      <c r="G118" s="20">
        <v>472.19991037232001</v>
      </c>
      <c r="H118" s="20">
        <v>582.843885</v>
      </c>
      <c r="I118" s="19">
        <v>0</v>
      </c>
      <c r="K118" s="14" t="s">
        <v>294</v>
      </c>
      <c r="L118" s="13">
        <v>0.40593800000000002</v>
      </c>
      <c r="M118" s="13">
        <v>26.419622260200001</v>
      </c>
      <c r="N118" s="13">
        <v>25.614687799999999</v>
      </c>
      <c r="O118" s="13">
        <v>0</v>
      </c>
    </row>
    <row r="119" spans="2:15">
      <c r="B119" s="7" t="s">
        <v>330</v>
      </c>
      <c r="C119" s="7" t="s">
        <v>47</v>
      </c>
      <c r="D119" s="7" t="s">
        <v>329</v>
      </c>
      <c r="E119" s="7" t="s">
        <v>294</v>
      </c>
      <c r="F119" s="20">
        <v>30.583707</v>
      </c>
      <c r="G119" s="20">
        <v>1990.4763443103</v>
      </c>
      <c r="H119" s="20">
        <v>1929.8319117000001</v>
      </c>
      <c r="I119" s="19">
        <v>0</v>
      </c>
      <c r="K119" s="14" t="s">
        <v>10</v>
      </c>
      <c r="L119" s="13">
        <v>32.664000000000001</v>
      </c>
      <c r="M119" s="13">
        <v>1886.5387176000002</v>
      </c>
      <c r="N119" s="13">
        <v>1832.4504000000002</v>
      </c>
      <c r="O119" s="13">
        <v>0</v>
      </c>
    </row>
    <row r="120" spans="2:15">
      <c r="B120" s="7" t="s">
        <v>330</v>
      </c>
      <c r="C120" s="7" t="s">
        <v>47</v>
      </c>
      <c r="D120" s="7" t="s">
        <v>329</v>
      </c>
      <c r="E120" s="7" t="s">
        <v>293</v>
      </c>
      <c r="F120" s="20">
        <v>0.85200500000000001</v>
      </c>
      <c r="G120" s="20">
        <v>61.064848683685007</v>
      </c>
      <c r="H120" s="20">
        <v>59.043946499999997</v>
      </c>
      <c r="I120" s="19">
        <v>0</v>
      </c>
      <c r="K120" s="15" t="s">
        <v>331</v>
      </c>
      <c r="L120" s="13">
        <v>55.365345000000005</v>
      </c>
      <c r="M120" s="13">
        <v>3010.3752026514503</v>
      </c>
      <c r="N120" s="13">
        <v>2932.8971576999998</v>
      </c>
      <c r="O120" s="13">
        <v>0</v>
      </c>
    </row>
    <row r="121" spans="2:15">
      <c r="B121" s="7" t="s">
        <v>330</v>
      </c>
      <c r="C121" s="7" t="s">
        <v>47</v>
      </c>
      <c r="D121" s="7" t="s">
        <v>329</v>
      </c>
      <c r="E121" s="7" t="s">
        <v>230</v>
      </c>
      <c r="F121" s="20">
        <v>0</v>
      </c>
      <c r="G121" s="20">
        <v>0</v>
      </c>
      <c r="H121" s="20">
        <v>0</v>
      </c>
      <c r="I121" s="19">
        <v>0</v>
      </c>
      <c r="K121" s="14" t="s">
        <v>229</v>
      </c>
      <c r="L121" s="13">
        <v>2.3273769999999998</v>
      </c>
      <c r="M121" s="13">
        <v>184.91056812539998</v>
      </c>
      <c r="N121" s="13">
        <v>187.8193239</v>
      </c>
      <c r="O121" s="13">
        <v>0</v>
      </c>
    </row>
    <row r="122" spans="2:15">
      <c r="B122" s="7" t="s">
        <v>330</v>
      </c>
      <c r="C122" s="7" t="s">
        <v>47</v>
      </c>
      <c r="D122" s="7" t="s">
        <v>329</v>
      </c>
      <c r="E122" s="7" t="s">
        <v>3</v>
      </c>
      <c r="F122" s="20">
        <v>35.364891</v>
      </c>
      <c r="G122" s="20">
        <v>2576.3595403160698</v>
      </c>
      <c r="H122" s="20">
        <v>2620.5384230999998</v>
      </c>
      <c r="I122" s="19">
        <v>0</v>
      </c>
      <c r="K122" s="14" t="s">
        <v>231</v>
      </c>
      <c r="L122" s="13">
        <v>6.2199999999999998E-3</v>
      </c>
      <c r="M122" s="13">
        <v>0.49132476639999995</v>
      </c>
      <c r="N122" s="13">
        <v>0.60644999999999993</v>
      </c>
      <c r="O122" s="13">
        <v>0</v>
      </c>
    </row>
    <row r="123" spans="2:15">
      <c r="B123" s="7" t="s">
        <v>330</v>
      </c>
      <c r="C123" s="7" t="s">
        <v>47</v>
      </c>
      <c r="D123" s="7" t="s">
        <v>329</v>
      </c>
      <c r="E123" s="7" t="s">
        <v>229</v>
      </c>
      <c r="F123" s="20">
        <v>1.0112719999999999</v>
      </c>
      <c r="G123" s="20">
        <v>80.345762654399991</v>
      </c>
      <c r="H123" s="20">
        <v>81.609650399999992</v>
      </c>
      <c r="I123" s="19">
        <v>0</v>
      </c>
      <c r="K123" s="14" t="s">
        <v>3</v>
      </c>
      <c r="L123" s="13">
        <v>0.152535</v>
      </c>
      <c r="M123" s="13">
        <v>11.11229220195</v>
      </c>
      <c r="N123" s="13">
        <v>11.302843500000002</v>
      </c>
      <c r="O123" s="13">
        <v>0</v>
      </c>
    </row>
    <row r="124" spans="2:15">
      <c r="B124" s="7" t="s">
        <v>330</v>
      </c>
      <c r="C124" s="7" t="s">
        <v>47</v>
      </c>
      <c r="D124" s="7" t="s">
        <v>329</v>
      </c>
      <c r="E124" s="7" t="s">
        <v>10</v>
      </c>
      <c r="F124" s="20">
        <v>178.715</v>
      </c>
      <c r="G124" s="20">
        <v>10321.8456685</v>
      </c>
      <c r="H124" s="20">
        <v>10025.9115</v>
      </c>
      <c r="I124" s="19">
        <v>0</v>
      </c>
      <c r="K124" s="14" t="s">
        <v>4</v>
      </c>
      <c r="L124" s="13">
        <v>4.1779999999999999</v>
      </c>
      <c r="M124" s="13">
        <v>0</v>
      </c>
      <c r="N124" s="13">
        <v>0</v>
      </c>
      <c r="O124" s="13">
        <v>0</v>
      </c>
    </row>
    <row r="125" spans="2:15">
      <c r="B125" s="7" t="s">
        <v>330</v>
      </c>
      <c r="C125" s="7" t="s">
        <v>47</v>
      </c>
      <c r="D125" s="7" t="s">
        <v>329</v>
      </c>
      <c r="E125" s="7" t="s">
        <v>4</v>
      </c>
      <c r="F125" s="20">
        <v>376.97500000000002</v>
      </c>
      <c r="G125" s="20">
        <v>0</v>
      </c>
      <c r="H125" s="20">
        <v>0</v>
      </c>
      <c r="I125" s="19">
        <v>0</v>
      </c>
      <c r="K125" s="14" t="s">
        <v>294</v>
      </c>
      <c r="L125" s="13">
        <v>0.14721300000000001</v>
      </c>
      <c r="M125" s="13">
        <v>9.5810489577000002</v>
      </c>
      <c r="N125" s="13">
        <v>9.2891403000000015</v>
      </c>
      <c r="O125" s="13">
        <v>0</v>
      </c>
    </row>
    <row r="126" spans="2:15">
      <c r="B126" s="7" t="s">
        <v>290</v>
      </c>
      <c r="C126" s="7" t="s">
        <v>289</v>
      </c>
      <c r="D126" s="7" t="s">
        <v>288</v>
      </c>
      <c r="E126" s="7" t="s">
        <v>287</v>
      </c>
      <c r="F126" s="20">
        <v>0</v>
      </c>
      <c r="G126" s="20">
        <v>0</v>
      </c>
      <c r="H126" s="20">
        <v>0</v>
      </c>
      <c r="I126" s="19">
        <v>0</v>
      </c>
      <c r="K126" s="14" t="s">
        <v>10</v>
      </c>
      <c r="L126" s="13">
        <v>48.554000000000002</v>
      </c>
      <c r="M126" s="13">
        <v>2804.2799686000003</v>
      </c>
      <c r="N126" s="13">
        <v>2723.8793999999998</v>
      </c>
      <c r="O126" s="13">
        <v>0</v>
      </c>
    </row>
    <row r="127" spans="2:15">
      <c r="B127" s="7" t="s">
        <v>290</v>
      </c>
      <c r="C127" s="7" t="s">
        <v>289</v>
      </c>
      <c r="D127" s="7" t="s">
        <v>288</v>
      </c>
      <c r="E127" s="7" t="s">
        <v>327</v>
      </c>
      <c r="F127" s="20">
        <v>3.526732</v>
      </c>
      <c r="G127" s="20">
        <v>386.52280900331999</v>
      </c>
      <c r="H127" s="20">
        <v>333.6288472</v>
      </c>
      <c r="I127" s="19">
        <v>0</v>
      </c>
      <c r="K127" s="15" t="s">
        <v>328</v>
      </c>
      <c r="L127" s="13">
        <v>21.972104000000002</v>
      </c>
      <c r="M127" s="13">
        <v>1109.58131419338</v>
      </c>
      <c r="N127" s="13">
        <v>1085.4816172000001</v>
      </c>
      <c r="O127" s="13">
        <v>0</v>
      </c>
    </row>
    <row r="128" spans="2:15">
      <c r="B128" s="7" t="s">
        <v>290</v>
      </c>
      <c r="C128" s="7" t="s">
        <v>289</v>
      </c>
      <c r="D128" s="7" t="s">
        <v>285</v>
      </c>
      <c r="E128" s="7" t="s">
        <v>282</v>
      </c>
      <c r="F128" s="20">
        <v>132.85906083999998</v>
      </c>
      <c r="G128" s="20">
        <v>7728.5417709424228</v>
      </c>
      <c r="H128" s="20">
        <v>7652.6819043839996</v>
      </c>
      <c r="I128" s="19">
        <v>0</v>
      </c>
      <c r="K128" s="14" t="s">
        <v>229</v>
      </c>
      <c r="L128" s="13">
        <v>2.080508</v>
      </c>
      <c r="M128" s="13">
        <v>165.29677670160001</v>
      </c>
      <c r="N128" s="13">
        <v>167.8969956</v>
      </c>
      <c r="O128" s="13">
        <v>0</v>
      </c>
    </row>
    <row r="129" spans="2:15">
      <c r="B129" s="7" t="s">
        <v>290</v>
      </c>
      <c r="C129" s="7" t="s">
        <v>289</v>
      </c>
      <c r="D129" s="7" t="s">
        <v>285</v>
      </c>
      <c r="E129" s="7" t="s">
        <v>10</v>
      </c>
      <c r="F129" s="20">
        <v>250.59017733356711</v>
      </c>
      <c r="G129" s="20">
        <v>14473.061223059769</v>
      </c>
      <c r="H129" s="20">
        <v>14058.108948413115</v>
      </c>
      <c r="I129" s="19">
        <v>0</v>
      </c>
      <c r="K129" s="14" t="s">
        <v>3</v>
      </c>
      <c r="L129" s="13">
        <v>0.140374</v>
      </c>
      <c r="M129" s="13">
        <v>10.226353987980001</v>
      </c>
      <c r="N129" s="13">
        <v>10.4017134</v>
      </c>
      <c r="O129" s="13">
        <v>0</v>
      </c>
    </row>
    <row r="130" spans="2:15">
      <c r="B130" s="7" t="s">
        <v>290</v>
      </c>
      <c r="C130" s="7" t="s">
        <v>289</v>
      </c>
      <c r="D130" s="7" t="s">
        <v>371</v>
      </c>
      <c r="E130" s="7" t="s">
        <v>10</v>
      </c>
      <c r="F130" s="20">
        <v>112.85074853466141</v>
      </c>
      <c r="G130" s="20">
        <v>6517.7965472930509</v>
      </c>
      <c r="H130" s="20">
        <v>6330.9269927945052</v>
      </c>
      <c r="I130" s="19">
        <v>0</v>
      </c>
      <c r="K130" s="14" t="s">
        <v>4</v>
      </c>
      <c r="L130" s="13">
        <v>3.6819999999999999</v>
      </c>
      <c r="M130" s="13">
        <v>0</v>
      </c>
      <c r="N130" s="13">
        <v>0</v>
      </c>
      <c r="O130" s="13">
        <v>0</v>
      </c>
    </row>
    <row r="131" spans="2:15">
      <c r="B131" s="7" t="s">
        <v>290</v>
      </c>
      <c r="C131" s="7" t="s">
        <v>289</v>
      </c>
      <c r="D131" s="7" t="s">
        <v>284</v>
      </c>
      <c r="E131" s="7" t="s">
        <v>10</v>
      </c>
      <c r="F131" s="20">
        <v>96.149994922306163</v>
      </c>
      <c r="G131" s="20">
        <v>5553.2294917332219</v>
      </c>
      <c r="H131" s="20">
        <v>5394.0147151413757</v>
      </c>
      <c r="I131" s="19">
        <v>0</v>
      </c>
      <c r="K131" s="14" t="s">
        <v>294</v>
      </c>
      <c r="L131" s="13">
        <v>0.814222</v>
      </c>
      <c r="M131" s="13">
        <v>52.991929003800003</v>
      </c>
      <c r="N131" s="13">
        <v>51.377408199999998</v>
      </c>
      <c r="O131" s="13">
        <v>0</v>
      </c>
    </row>
    <row r="132" spans="2:15">
      <c r="B132" s="7" t="s">
        <v>290</v>
      </c>
      <c r="C132" s="7" t="s">
        <v>289</v>
      </c>
      <c r="D132" s="7" t="s">
        <v>283</v>
      </c>
      <c r="E132" s="7" t="s">
        <v>282</v>
      </c>
      <c r="F132" s="20">
        <v>169.09335016</v>
      </c>
      <c r="G132" s="20">
        <v>9836.3258902903581</v>
      </c>
      <c r="H132" s="20">
        <v>9739.776969216</v>
      </c>
      <c r="I132" s="19">
        <v>0</v>
      </c>
      <c r="K132" s="14" t="s">
        <v>10</v>
      </c>
      <c r="L132" s="13">
        <v>15.255000000000001</v>
      </c>
      <c r="M132" s="13">
        <v>881.06625450000001</v>
      </c>
      <c r="N132" s="13">
        <v>855.80550000000005</v>
      </c>
      <c r="O132" s="13">
        <v>0</v>
      </c>
    </row>
    <row r="133" spans="2:15">
      <c r="B133" s="7" t="s">
        <v>290</v>
      </c>
      <c r="C133" s="7" t="s">
        <v>289</v>
      </c>
      <c r="D133" s="7" t="s">
        <v>283</v>
      </c>
      <c r="E133" s="7" t="s">
        <v>10</v>
      </c>
      <c r="F133" s="20">
        <v>96.888034597104721</v>
      </c>
      <c r="G133" s="20">
        <v>5595.8556373869205</v>
      </c>
      <c r="H133" s="20">
        <v>5435.418740897574</v>
      </c>
      <c r="I133" s="19">
        <v>0</v>
      </c>
      <c r="K133" s="15" t="s">
        <v>326</v>
      </c>
      <c r="L133" s="13">
        <v>9.5307520000000014</v>
      </c>
      <c r="M133" s="13">
        <v>451.13921834122999</v>
      </c>
      <c r="N133" s="13">
        <v>452.27901980000001</v>
      </c>
      <c r="O133" s="13">
        <v>0</v>
      </c>
    </row>
    <row r="134" spans="2:15">
      <c r="B134" s="7" t="s">
        <v>304</v>
      </c>
      <c r="C134" s="7" t="s">
        <v>303</v>
      </c>
      <c r="D134" s="7" t="s">
        <v>325</v>
      </c>
      <c r="E134" s="7" t="s">
        <v>287</v>
      </c>
      <c r="F134" s="20">
        <v>298.21721077909376</v>
      </c>
      <c r="G134" s="20">
        <v>38144.202976866392</v>
      </c>
      <c r="H134" s="20">
        <v>30119.93828868847</v>
      </c>
      <c r="I134" s="19">
        <v>25018.789872247271</v>
      </c>
      <c r="K134" s="14" t="s">
        <v>229</v>
      </c>
      <c r="L134" s="13">
        <v>0.67199600000000004</v>
      </c>
      <c r="M134" s="13">
        <v>53.390216599200002</v>
      </c>
      <c r="N134" s="13">
        <v>54.230077199999997</v>
      </c>
      <c r="O134" s="13">
        <v>0</v>
      </c>
    </row>
    <row r="135" spans="2:15">
      <c r="B135" s="7" t="s">
        <v>304</v>
      </c>
      <c r="C135" s="7" t="s">
        <v>303</v>
      </c>
      <c r="D135" s="7" t="s">
        <v>324</v>
      </c>
      <c r="E135" s="7" t="s">
        <v>10</v>
      </c>
      <c r="F135" s="20">
        <v>1051.4445238765484</v>
      </c>
      <c r="G135" s="20">
        <v>60727.124776561541</v>
      </c>
      <c r="H135" s="20">
        <v>58986.037789474358</v>
      </c>
      <c r="I135" s="19">
        <v>50268.849253219865</v>
      </c>
      <c r="K135" s="14" t="s">
        <v>3</v>
      </c>
      <c r="L135" s="13">
        <v>3.5512489999999999</v>
      </c>
      <c r="M135" s="13">
        <v>258.71122411173002</v>
      </c>
      <c r="N135" s="13">
        <v>263.1475509</v>
      </c>
      <c r="O135" s="13">
        <v>0</v>
      </c>
    </row>
    <row r="136" spans="2:15">
      <c r="B136" s="7" t="s">
        <v>304</v>
      </c>
      <c r="C136" s="7" t="s">
        <v>303</v>
      </c>
      <c r="D136" s="7" t="s">
        <v>323</v>
      </c>
      <c r="E136" s="7" t="s">
        <v>10</v>
      </c>
      <c r="F136" s="20">
        <v>16.284303395455634</v>
      </c>
      <c r="G136" s="20">
        <v>940.51459847759611</v>
      </c>
      <c r="H136" s="20">
        <v>913.54942048506098</v>
      </c>
      <c r="I136" s="19">
        <v>778.54149599999994</v>
      </c>
      <c r="K136" s="14" t="s">
        <v>4</v>
      </c>
      <c r="L136" s="13">
        <v>3.0630000000000002</v>
      </c>
      <c r="M136" s="13">
        <v>0</v>
      </c>
      <c r="N136" s="13">
        <v>0</v>
      </c>
      <c r="O136" s="13">
        <v>0</v>
      </c>
    </row>
    <row r="137" spans="2:15">
      <c r="B137" s="7" t="s">
        <v>304</v>
      </c>
      <c r="C137" s="7" t="s">
        <v>303</v>
      </c>
      <c r="D137" s="7" t="s">
        <v>322</v>
      </c>
      <c r="E137" s="7" t="s">
        <v>229</v>
      </c>
      <c r="F137" s="20">
        <v>408.48248020040592</v>
      </c>
      <c r="G137" s="20">
        <v>32454.014748418289</v>
      </c>
      <c r="H137" s="20">
        <v>32964.536152172761</v>
      </c>
      <c r="I137" s="19">
        <v>1688.8980994351048</v>
      </c>
      <c r="K137" s="14" t="s">
        <v>294</v>
      </c>
      <c r="L137" s="13">
        <v>1.283507</v>
      </c>
      <c r="M137" s="13">
        <v>83.534357730300002</v>
      </c>
      <c r="N137" s="13">
        <v>80.989291699999995</v>
      </c>
      <c r="O137" s="13">
        <v>0</v>
      </c>
    </row>
    <row r="138" spans="2:15">
      <c r="B138" s="7" t="s">
        <v>304</v>
      </c>
      <c r="C138" s="7" t="s">
        <v>303</v>
      </c>
      <c r="D138" s="7" t="s">
        <v>320</v>
      </c>
      <c r="E138" s="7" t="s">
        <v>301</v>
      </c>
      <c r="F138" s="20">
        <v>0</v>
      </c>
      <c r="G138" s="20">
        <v>0</v>
      </c>
      <c r="H138" s="20">
        <v>0</v>
      </c>
      <c r="I138" s="19">
        <v>0</v>
      </c>
      <c r="K138" s="14" t="s">
        <v>10</v>
      </c>
      <c r="L138" s="13">
        <v>0.96099999999999997</v>
      </c>
      <c r="M138" s="13">
        <v>55.503419899999997</v>
      </c>
      <c r="N138" s="13">
        <v>53.912099999999995</v>
      </c>
      <c r="O138" s="13">
        <v>0</v>
      </c>
    </row>
    <row r="139" spans="2:15">
      <c r="B139" s="7" t="s">
        <v>304</v>
      </c>
      <c r="C139" s="7" t="s">
        <v>303</v>
      </c>
      <c r="D139" s="7" t="s">
        <v>319</v>
      </c>
      <c r="E139" s="7" t="s">
        <v>229</v>
      </c>
      <c r="F139" s="20">
        <v>0.12404279959408351</v>
      </c>
      <c r="G139" s="20">
        <v>9.8552252363098543</v>
      </c>
      <c r="H139" s="20">
        <v>10.010253927242541</v>
      </c>
      <c r="I139" s="19">
        <v>0.51286324049999998</v>
      </c>
      <c r="K139" s="15" t="s">
        <v>321</v>
      </c>
      <c r="L139" s="13">
        <v>13.978977</v>
      </c>
      <c r="M139" s="13">
        <v>368.98266876902005</v>
      </c>
      <c r="N139" s="13">
        <v>361.08506470000003</v>
      </c>
      <c r="O139" s="13">
        <v>0</v>
      </c>
    </row>
    <row r="140" spans="2:15">
      <c r="B140" s="7" t="s">
        <v>304</v>
      </c>
      <c r="C140" s="7" t="s">
        <v>303</v>
      </c>
      <c r="D140" s="7" t="s">
        <v>318</v>
      </c>
      <c r="E140" s="7" t="s">
        <v>233</v>
      </c>
      <c r="F140" s="20">
        <v>6.5296000000000003</v>
      </c>
      <c r="G140" s="20">
        <v>0</v>
      </c>
      <c r="H140" s="20">
        <v>0</v>
      </c>
      <c r="I140" s="19">
        <v>0</v>
      </c>
      <c r="K140" s="14" t="s">
        <v>229</v>
      </c>
      <c r="L140" s="13">
        <v>0</v>
      </c>
      <c r="M140" s="13">
        <v>0</v>
      </c>
      <c r="N140" s="13">
        <v>0</v>
      </c>
      <c r="O140" s="13">
        <v>0</v>
      </c>
    </row>
    <row r="141" spans="2:15">
      <c r="B141" s="7" t="s">
        <v>304</v>
      </c>
      <c r="C141" s="7" t="s">
        <v>303</v>
      </c>
      <c r="D141" s="7" t="s">
        <v>317</v>
      </c>
      <c r="E141" s="7" t="s">
        <v>301</v>
      </c>
      <c r="F141" s="20">
        <v>0</v>
      </c>
      <c r="G141" s="20">
        <v>0</v>
      </c>
      <c r="H141" s="20">
        <v>0</v>
      </c>
      <c r="I141" s="19">
        <v>0</v>
      </c>
      <c r="K141" s="14" t="s">
        <v>3</v>
      </c>
      <c r="L141" s="13">
        <v>0.82255599999999995</v>
      </c>
      <c r="M141" s="13">
        <v>59.923837968120004</v>
      </c>
      <c r="N141" s="13">
        <v>60.951399599999995</v>
      </c>
      <c r="O141" s="13">
        <v>0</v>
      </c>
    </row>
    <row r="142" spans="2:15">
      <c r="B142" s="7" t="s">
        <v>304</v>
      </c>
      <c r="C142" s="7" t="s">
        <v>303</v>
      </c>
      <c r="D142" s="7" t="s">
        <v>316</v>
      </c>
      <c r="E142" s="7" t="s">
        <v>301</v>
      </c>
      <c r="F142" s="20">
        <v>0</v>
      </c>
      <c r="G142" s="20">
        <v>0</v>
      </c>
      <c r="H142" s="20">
        <v>0</v>
      </c>
      <c r="I142" s="19">
        <v>0</v>
      </c>
      <c r="K142" s="14" t="s">
        <v>4</v>
      </c>
      <c r="L142" s="13">
        <v>7.875</v>
      </c>
      <c r="M142" s="13">
        <v>0</v>
      </c>
      <c r="N142" s="13">
        <v>0</v>
      </c>
      <c r="O142" s="13">
        <v>0</v>
      </c>
    </row>
    <row r="143" spans="2:15">
      <c r="B143" s="7" t="s">
        <v>304</v>
      </c>
      <c r="C143" s="7" t="s">
        <v>303</v>
      </c>
      <c r="D143" s="7" t="s">
        <v>315</v>
      </c>
      <c r="E143" s="7" t="s">
        <v>235</v>
      </c>
      <c r="F143" s="20">
        <v>131.31599900000001</v>
      </c>
      <c r="G143" s="20">
        <v>0</v>
      </c>
      <c r="H143" s="20">
        <v>0</v>
      </c>
      <c r="I143" s="19">
        <v>0</v>
      </c>
      <c r="K143" s="14" t="s">
        <v>294</v>
      </c>
      <c r="L143" s="13">
        <v>0.54942100000000005</v>
      </c>
      <c r="M143" s="13">
        <v>35.757912000900006</v>
      </c>
      <c r="N143" s="13">
        <v>34.668465099999999</v>
      </c>
      <c r="O143" s="13">
        <v>0</v>
      </c>
    </row>
    <row r="144" spans="2:15">
      <c r="B144" s="7" t="s">
        <v>304</v>
      </c>
      <c r="C144" s="7" t="s">
        <v>303</v>
      </c>
      <c r="D144" s="7" t="s">
        <v>313</v>
      </c>
      <c r="E144" s="7" t="s">
        <v>236</v>
      </c>
      <c r="F144" s="20">
        <v>98.798878999999999</v>
      </c>
      <c r="G144" s="20">
        <v>0</v>
      </c>
      <c r="H144" s="20">
        <v>0</v>
      </c>
      <c r="I144" s="19">
        <v>0</v>
      </c>
      <c r="K144" s="14" t="s">
        <v>10</v>
      </c>
      <c r="L144" s="13">
        <v>4.7320000000000002</v>
      </c>
      <c r="M144" s="13">
        <v>273.30091880000003</v>
      </c>
      <c r="N144" s="13">
        <v>265.46520000000004</v>
      </c>
      <c r="O144" s="13">
        <v>0</v>
      </c>
    </row>
    <row r="145" spans="2:15">
      <c r="B145" s="7" t="s">
        <v>304</v>
      </c>
      <c r="C145" s="7" t="s">
        <v>303</v>
      </c>
      <c r="D145" s="7" t="s">
        <v>312</v>
      </c>
      <c r="E145" s="7" t="s">
        <v>287</v>
      </c>
      <c r="F145" s="20">
        <v>40.19138022090619</v>
      </c>
      <c r="G145" s="20">
        <v>5140.7769560365468</v>
      </c>
      <c r="H145" s="20">
        <v>4059.3294023115254</v>
      </c>
      <c r="I145" s="19">
        <v>3432.6637270000001</v>
      </c>
      <c r="K145" s="15" t="s">
        <v>314</v>
      </c>
      <c r="L145" s="13">
        <v>9.5761889999999994</v>
      </c>
      <c r="M145" s="13">
        <v>498.33309543779001</v>
      </c>
      <c r="N145" s="13">
        <v>492.31231130000003</v>
      </c>
      <c r="O145" s="13">
        <v>0</v>
      </c>
    </row>
    <row r="146" spans="2:15">
      <c r="B146" s="7" t="s">
        <v>304</v>
      </c>
      <c r="C146" s="7" t="s">
        <v>303</v>
      </c>
      <c r="D146" s="7" t="s">
        <v>311</v>
      </c>
      <c r="E146" s="7" t="s">
        <v>237</v>
      </c>
      <c r="F146" s="20">
        <v>122.597565</v>
      </c>
      <c r="G146" s="20">
        <v>0</v>
      </c>
      <c r="H146" s="20">
        <v>0</v>
      </c>
      <c r="I146" s="19">
        <v>0</v>
      </c>
      <c r="K146" s="14" t="s">
        <v>229</v>
      </c>
      <c r="L146" s="13">
        <v>0.50555899999999998</v>
      </c>
      <c r="M146" s="13">
        <v>40.166763661799997</v>
      </c>
      <c r="N146" s="13">
        <v>40.798611299999997</v>
      </c>
      <c r="O146" s="13">
        <v>0</v>
      </c>
    </row>
    <row r="147" spans="2:15">
      <c r="B147" s="7" t="s">
        <v>304</v>
      </c>
      <c r="C147" s="7" t="s">
        <v>303</v>
      </c>
      <c r="D147" s="7" t="s">
        <v>11</v>
      </c>
      <c r="E147" s="7" t="s">
        <v>234</v>
      </c>
      <c r="F147" s="20">
        <v>4.7E-2</v>
      </c>
      <c r="G147" s="20">
        <v>0</v>
      </c>
      <c r="H147" s="20">
        <v>0</v>
      </c>
      <c r="I147" s="19">
        <v>0</v>
      </c>
      <c r="K147" s="14" t="s">
        <v>3</v>
      </c>
      <c r="L147" s="13">
        <v>1.942977</v>
      </c>
      <c r="M147" s="13">
        <v>141.54737054229</v>
      </c>
      <c r="N147" s="13">
        <v>143.97459570000001</v>
      </c>
      <c r="O147" s="13">
        <v>0</v>
      </c>
    </row>
    <row r="148" spans="2:15">
      <c r="B148" s="7" t="s">
        <v>304</v>
      </c>
      <c r="C148" s="7" t="s">
        <v>303</v>
      </c>
      <c r="D148" s="7" t="s">
        <v>310</v>
      </c>
      <c r="E148" s="7" t="s">
        <v>3</v>
      </c>
      <c r="F148" s="20">
        <v>24.049492999999998</v>
      </c>
      <c r="G148" s="20">
        <v>1752.02408315961</v>
      </c>
      <c r="H148" s="20">
        <v>1782.0674312999997</v>
      </c>
      <c r="I148" s="19">
        <v>36085.958794464073</v>
      </c>
      <c r="K148" s="14" t="s">
        <v>4</v>
      </c>
      <c r="L148" s="13">
        <v>1.6479999999999999</v>
      </c>
      <c r="M148" s="13">
        <v>0</v>
      </c>
      <c r="N148" s="13">
        <v>0</v>
      </c>
      <c r="O148" s="13">
        <v>0</v>
      </c>
    </row>
    <row r="149" spans="2:15">
      <c r="B149" s="7" t="s">
        <v>304</v>
      </c>
      <c r="C149" s="7" t="s">
        <v>303</v>
      </c>
      <c r="D149" s="7" t="s">
        <v>309</v>
      </c>
      <c r="E149" s="7" t="s">
        <v>301</v>
      </c>
      <c r="F149" s="20">
        <v>0</v>
      </c>
      <c r="G149" s="20">
        <v>0</v>
      </c>
      <c r="H149" s="20">
        <v>0</v>
      </c>
      <c r="I149" s="19">
        <v>0</v>
      </c>
      <c r="K149" s="14" t="s">
        <v>294</v>
      </c>
      <c r="L149" s="13">
        <v>1.8652999999999999E-2</v>
      </c>
      <c r="M149" s="13">
        <v>1.2139913337000001</v>
      </c>
      <c r="N149" s="13">
        <v>1.1770043000000001</v>
      </c>
      <c r="O149" s="13">
        <v>0</v>
      </c>
    </row>
    <row r="150" spans="2:15">
      <c r="B150" s="7" t="s">
        <v>304</v>
      </c>
      <c r="C150" s="7" t="s">
        <v>303</v>
      </c>
      <c r="D150" s="7" t="s">
        <v>307</v>
      </c>
      <c r="E150" s="7" t="s">
        <v>10</v>
      </c>
      <c r="F150" s="20">
        <v>69.814172727996038</v>
      </c>
      <c r="G150" s="20">
        <v>4032.1803786608666</v>
      </c>
      <c r="H150" s="20">
        <v>3916.5750900405774</v>
      </c>
      <c r="I150" s="19">
        <v>4710.0784222051198</v>
      </c>
      <c r="K150" s="14" t="s">
        <v>10</v>
      </c>
      <c r="L150" s="13">
        <v>5.4610000000000003</v>
      </c>
      <c r="M150" s="13">
        <v>315.40496990000003</v>
      </c>
      <c r="N150" s="13">
        <v>306.36210000000005</v>
      </c>
      <c r="O150" s="13">
        <v>0</v>
      </c>
    </row>
    <row r="151" spans="2:15">
      <c r="B151" s="7" t="s">
        <v>304</v>
      </c>
      <c r="C151" s="7" t="s">
        <v>303</v>
      </c>
      <c r="D151" s="7" t="s">
        <v>306</v>
      </c>
      <c r="E151" s="7" t="s">
        <v>301</v>
      </c>
      <c r="F151" s="20">
        <v>0</v>
      </c>
      <c r="G151" s="20">
        <v>0</v>
      </c>
      <c r="H151" s="20">
        <v>0</v>
      </c>
      <c r="I151" s="19">
        <v>0</v>
      </c>
      <c r="K151" s="15" t="s">
        <v>308</v>
      </c>
      <c r="L151" s="13">
        <v>1.154296</v>
      </c>
      <c r="M151" s="13">
        <v>41.683188867920002</v>
      </c>
      <c r="N151" s="13">
        <v>41.029833600000003</v>
      </c>
      <c r="O151" s="13">
        <v>0</v>
      </c>
    </row>
    <row r="152" spans="2:15">
      <c r="B152" s="7" t="s">
        <v>304</v>
      </c>
      <c r="C152" s="7" t="s">
        <v>303</v>
      </c>
      <c r="D152" s="7" t="s">
        <v>305</v>
      </c>
      <c r="E152" s="7" t="s">
        <v>10</v>
      </c>
      <c r="F152" s="20">
        <v>0</v>
      </c>
      <c r="G152" s="20">
        <v>0</v>
      </c>
      <c r="H152" s="20">
        <v>0</v>
      </c>
      <c r="I152" s="19">
        <v>0</v>
      </c>
      <c r="K152" s="14" t="s">
        <v>229</v>
      </c>
      <c r="L152" s="13">
        <v>0</v>
      </c>
      <c r="M152" s="13">
        <v>0</v>
      </c>
      <c r="N152" s="13">
        <v>0</v>
      </c>
      <c r="O152" s="13">
        <v>0</v>
      </c>
    </row>
    <row r="153" spans="2:15">
      <c r="B153" s="18" t="s">
        <v>304</v>
      </c>
      <c r="C153" s="18" t="s">
        <v>303</v>
      </c>
      <c r="D153" s="18" t="s">
        <v>302</v>
      </c>
      <c r="E153" s="18" t="s">
        <v>301</v>
      </c>
      <c r="F153" s="17">
        <v>0</v>
      </c>
      <c r="G153" s="17">
        <v>0</v>
      </c>
      <c r="H153" s="17">
        <v>0</v>
      </c>
      <c r="I153" s="17">
        <v>0</v>
      </c>
      <c r="K153" s="14" t="s">
        <v>3</v>
      </c>
      <c r="L153" s="13">
        <v>0.162296</v>
      </c>
      <c r="M153" s="13">
        <v>11.82338856792</v>
      </c>
      <c r="N153" s="13">
        <v>12.0261336</v>
      </c>
      <c r="O153" s="13">
        <v>0</v>
      </c>
    </row>
    <row r="154" spans="2:15">
      <c r="K154" s="14" t="s">
        <v>4</v>
      </c>
      <c r="L154" s="13">
        <v>0.47499999999999998</v>
      </c>
      <c r="M154" s="13">
        <v>0</v>
      </c>
      <c r="N154" s="13">
        <v>0</v>
      </c>
      <c r="O154" s="13">
        <v>0</v>
      </c>
    </row>
    <row r="155" spans="2:15">
      <c r="E155" s="13"/>
      <c r="F155" s="13"/>
      <c r="G155" s="13"/>
      <c r="K155" s="14" t="s">
        <v>10</v>
      </c>
      <c r="L155" s="13">
        <v>0.51700000000000002</v>
      </c>
      <c r="M155" s="13">
        <v>29.859800300000003</v>
      </c>
      <c r="N155" s="13">
        <v>29.003700000000002</v>
      </c>
      <c r="O155" s="13">
        <v>0</v>
      </c>
    </row>
    <row r="156" spans="2:15">
      <c r="E156" s="13"/>
      <c r="F156" s="13"/>
      <c r="G156" s="13"/>
      <c r="K156" s="15" t="s">
        <v>300</v>
      </c>
      <c r="L156" s="13">
        <v>0.52378800000000003</v>
      </c>
      <c r="M156" s="13">
        <v>16.4655690576</v>
      </c>
      <c r="N156" s="13">
        <v>16.024491600000001</v>
      </c>
      <c r="O156" s="13">
        <v>0</v>
      </c>
    </row>
    <row r="157" spans="2:15">
      <c r="E157" s="13"/>
      <c r="F157" s="13"/>
      <c r="G157" s="13"/>
      <c r="K157" s="14" t="s">
        <v>229</v>
      </c>
      <c r="L157" s="13">
        <v>8.7880000000000007E-3</v>
      </c>
      <c r="M157" s="13">
        <v>0.6982083576</v>
      </c>
      <c r="N157" s="13">
        <v>0.70919160000000014</v>
      </c>
      <c r="O157" s="13">
        <v>0</v>
      </c>
    </row>
    <row r="158" spans="2:15">
      <c r="K158" s="14" t="s">
        <v>3</v>
      </c>
      <c r="L158" s="13">
        <v>0</v>
      </c>
      <c r="M158" s="13">
        <v>0</v>
      </c>
      <c r="N158" s="13">
        <v>0</v>
      </c>
      <c r="O158" s="13">
        <v>0</v>
      </c>
    </row>
    <row r="159" spans="2:15">
      <c r="K159" s="14" t="s">
        <v>4</v>
      </c>
      <c r="L159" s="13">
        <v>0.24199999999999999</v>
      </c>
      <c r="M159" s="13">
        <v>0</v>
      </c>
      <c r="N159" s="13">
        <v>0</v>
      </c>
      <c r="O159" s="13">
        <v>0</v>
      </c>
    </row>
    <row r="160" spans="2:15">
      <c r="K160" s="14" t="s">
        <v>294</v>
      </c>
      <c r="L160" s="13">
        <v>0</v>
      </c>
      <c r="M160" s="13">
        <v>0</v>
      </c>
      <c r="N160" s="13">
        <v>0</v>
      </c>
      <c r="O160" s="13">
        <v>0</v>
      </c>
    </row>
    <row r="161" spans="11:15">
      <c r="K161" s="14" t="s">
        <v>10</v>
      </c>
      <c r="L161" s="13">
        <v>0.27300000000000002</v>
      </c>
      <c r="M161" s="13">
        <v>15.767360700000001</v>
      </c>
      <c r="N161" s="13">
        <v>15.315300000000001</v>
      </c>
      <c r="O161" s="13">
        <v>0</v>
      </c>
    </row>
    <row r="162" spans="11:15">
      <c r="K162" s="16" t="s">
        <v>299</v>
      </c>
      <c r="L162" s="13">
        <v>909.56041000000005</v>
      </c>
      <c r="M162" s="13">
        <v>23967.57411795907</v>
      </c>
      <c r="N162" s="13">
        <v>23162.142488500001</v>
      </c>
      <c r="O162" s="13">
        <v>0</v>
      </c>
    </row>
    <row r="163" spans="11:15">
      <c r="K163" s="15" t="s">
        <v>298</v>
      </c>
      <c r="L163" s="13">
        <v>133.424137</v>
      </c>
      <c r="M163" s="13">
        <v>5193.5860810697104</v>
      </c>
      <c r="N163" s="13">
        <v>5051.7527176999993</v>
      </c>
      <c r="O163" s="13">
        <v>0</v>
      </c>
    </row>
    <row r="164" spans="11:15">
      <c r="K164" s="14" t="s">
        <v>3</v>
      </c>
      <c r="L164" s="13">
        <v>4.3962430000000001</v>
      </c>
      <c r="M164" s="13">
        <v>320.26968765711007</v>
      </c>
      <c r="N164" s="13">
        <v>325.76160629999998</v>
      </c>
      <c r="O164" s="13">
        <v>0</v>
      </c>
    </row>
    <row r="165" spans="11:15">
      <c r="K165" s="14" t="s">
        <v>4</v>
      </c>
      <c r="L165" s="13">
        <v>50.081000000000003</v>
      </c>
      <c r="M165" s="13">
        <v>0</v>
      </c>
      <c r="N165" s="13">
        <v>0</v>
      </c>
      <c r="O165" s="13">
        <v>0</v>
      </c>
    </row>
    <row r="166" spans="11:15">
      <c r="K166" s="14" t="s">
        <v>234</v>
      </c>
      <c r="L166" s="13">
        <v>2.819</v>
      </c>
      <c r="M166" s="13">
        <v>0</v>
      </c>
      <c r="N166" s="13">
        <v>0</v>
      </c>
      <c r="O166" s="13">
        <v>0</v>
      </c>
    </row>
    <row r="167" spans="11:15">
      <c r="K167" s="14" t="s">
        <v>294</v>
      </c>
      <c r="L167" s="13">
        <v>65.030894000000004</v>
      </c>
      <c r="M167" s="13">
        <v>4232.3991711126009</v>
      </c>
      <c r="N167" s="13">
        <v>4103.4494113999999</v>
      </c>
      <c r="O167" s="13">
        <v>0</v>
      </c>
    </row>
    <row r="168" spans="11:15">
      <c r="K168" s="14" t="s">
        <v>10</v>
      </c>
      <c r="L168" s="13">
        <v>11.097</v>
      </c>
      <c r="M168" s="13">
        <v>640.91722230000005</v>
      </c>
      <c r="N168" s="13">
        <v>622.54169999999999</v>
      </c>
      <c r="O168" s="13">
        <v>0</v>
      </c>
    </row>
    <row r="169" spans="11:15">
      <c r="K169" s="15" t="s">
        <v>281</v>
      </c>
      <c r="L169" s="13">
        <v>742.70927300000005</v>
      </c>
      <c r="M169" s="13">
        <v>18773.988036889361</v>
      </c>
      <c r="N169" s="13">
        <v>18110.3897708</v>
      </c>
      <c r="O169" s="13">
        <v>0</v>
      </c>
    </row>
    <row r="170" spans="11:15">
      <c r="K170" s="14" t="s">
        <v>4</v>
      </c>
      <c r="L170" s="13">
        <v>191.13900000000001</v>
      </c>
      <c r="M170" s="13">
        <v>0</v>
      </c>
      <c r="N170" s="13">
        <v>0</v>
      </c>
      <c r="O170" s="13">
        <v>0</v>
      </c>
    </row>
    <row r="171" spans="11:15">
      <c r="K171" s="14" t="s">
        <v>234</v>
      </c>
      <c r="L171" s="13">
        <v>4.0359999999999996</v>
      </c>
      <c r="M171" s="13">
        <v>0</v>
      </c>
      <c r="N171" s="13">
        <v>0</v>
      </c>
      <c r="O171" s="13">
        <v>0</v>
      </c>
    </row>
    <row r="172" spans="11:15">
      <c r="K172" s="14" t="s">
        <v>294</v>
      </c>
      <c r="L172" s="13">
        <v>256.95786800000002</v>
      </c>
      <c r="M172" s="13">
        <v>16723.5632272572</v>
      </c>
      <c r="N172" s="13">
        <v>16214.041470800001</v>
      </c>
      <c r="O172" s="13">
        <v>0</v>
      </c>
    </row>
    <row r="173" spans="11:15">
      <c r="K173" s="14" t="s">
        <v>10</v>
      </c>
      <c r="L173" s="13">
        <v>33.802999999999997</v>
      </c>
      <c r="M173" s="13">
        <v>1952.3226877</v>
      </c>
      <c r="N173" s="13">
        <v>1896.3482999999999</v>
      </c>
      <c r="O173" s="13">
        <v>0</v>
      </c>
    </row>
    <row r="174" spans="11:15">
      <c r="K174" s="14" t="s">
        <v>17</v>
      </c>
      <c r="L174" s="13">
        <v>255.42239699999999</v>
      </c>
      <c r="M174" s="13">
        <v>0</v>
      </c>
      <c r="N174" s="13">
        <v>0</v>
      </c>
      <c r="O174" s="13">
        <v>0</v>
      </c>
    </row>
    <row r="175" spans="11:15">
      <c r="K175" s="14" t="s">
        <v>230</v>
      </c>
      <c r="L175" s="13">
        <v>1.351008</v>
      </c>
      <c r="M175" s="13">
        <v>98.102121932160003</v>
      </c>
      <c r="N175" s="13">
        <v>0</v>
      </c>
      <c r="O175" s="13">
        <v>0</v>
      </c>
    </row>
    <row r="176" spans="11:15">
      <c r="K176" s="15" t="s">
        <v>297</v>
      </c>
      <c r="L176" s="13">
        <v>33.427</v>
      </c>
      <c r="M176" s="13">
        <v>0</v>
      </c>
      <c r="N176" s="13">
        <v>0</v>
      </c>
      <c r="O176" s="13">
        <v>0</v>
      </c>
    </row>
    <row r="177" spans="11:15">
      <c r="K177" s="14" t="s">
        <v>4</v>
      </c>
      <c r="L177" s="13">
        <v>33.427</v>
      </c>
      <c r="M177" s="13">
        <v>0</v>
      </c>
      <c r="N177" s="13">
        <v>0</v>
      </c>
      <c r="O177" s="13">
        <v>0</v>
      </c>
    </row>
    <row r="178" spans="11:15">
      <c r="K178" s="16" t="s">
        <v>48</v>
      </c>
      <c r="L178" s="13">
        <v>2387.7638479999991</v>
      </c>
      <c r="M178" s="13">
        <v>171444.61183457237</v>
      </c>
      <c r="N178" s="13">
        <v>159583.49180770002</v>
      </c>
      <c r="O178" s="13">
        <v>0</v>
      </c>
    </row>
    <row r="179" spans="11:15">
      <c r="K179" s="15" t="s">
        <v>296</v>
      </c>
      <c r="L179" s="13">
        <v>127.186144</v>
      </c>
      <c r="M179" s="13">
        <v>9234.6903336014566</v>
      </c>
      <c r="N179" s="13">
        <v>59.353717500000002</v>
      </c>
      <c r="O179" s="13">
        <v>0</v>
      </c>
    </row>
    <row r="180" spans="11:15">
      <c r="K180" s="14" t="s">
        <v>293</v>
      </c>
      <c r="L180" s="13">
        <v>0.85647499999999999</v>
      </c>
      <c r="M180" s="13">
        <v>61.385222242075002</v>
      </c>
      <c r="N180" s="13">
        <v>59.353717500000002</v>
      </c>
      <c r="O180" s="13">
        <v>0</v>
      </c>
    </row>
    <row r="181" spans="11:15">
      <c r="K181" s="14" t="s">
        <v>230</v>
      </c>
      <c r="L181" s="13">
        <v>126.329669</v>
      </c>
      <c r="M181" s="13">
        <v>9173.305111359381</v>
      </c>
      <c r="N181" s="13">
        <v>0</v>
      </c>
      <c r="O181" s="13">
        <v>0</v>
      </c>
    </row>
    <row r="182" spans="11:15">
      <c r="K182" s="15" t="s">
        <v>280</v>
      </c>
      <c r="L182" s="13">
        <v>2074.64885</v>
      </c>
      <c r="M182" s="13">
        <v>148972.26497318601</v>
      </c>
      <c r="N182" s="13">
        <v>146059.49410900002</v>
      </c>
      <c r="O182" s="13">
        <v>0</v>
      </c>
    </row>
    <row r="183" spans="11:15">
      <c r="K183" s="14" t="s">
        <v>3</v>
      </c>
      <c r="L183" s="13">
        <v>548.57963900000004</v>
      </c>
      <c r="M183" s="13">
        <v>39964.449107472035</v>
      </c>
      <c r="N183" s="13">
        <v>40649.751249900008</v>
      </c>
      <c r="O183" s="13">
        <v>0</v>
      </c>
    </row>
    <row r="184" spans="11:15">
      <c r="K184" s="14" t="s">
        <v>294</v>
      </c>
      <c r="L184" s="13">
        <v>54.098236</v>
      </c>
      <c r="M184" s="13">
        <v>3520.8700837644001</v>
      </c>
      <c r="N184" s="13">
        <v>3413.5986916000002</v>
      </c>
      <c r="O184" s="13">
        <v>0</v>
      </c>
    </row>
    <row r="185" spans="11:15">
      <c r="K185" s="14" t="s">
        <v>10</v>
      </c>
      <c r="L185" s="13">
        <v>0.86699999999999999</v>
      </c>
      <c r="M185" s="13">
        <v>50.074365299999997</v>
      </c>
      <c r="N185" s="13">
        <v>48.6387</v>
      </c>
      <c r="O185" s="13">
        <v>0</v>
      </c>
    </row>
    <row r="186" spans="11:15">
      <c r="K186" s="14" t="s">
        <v>293</v>
      </c>
      <c r="L186" s="13">
        <v>1471.103975</v>
      </c>
      <c r="M186" s="13">
        <v>105436.87141664958</v>
      </c>
      <c r="N186" s="13">
        <v>101947.5054675</v>
      </c>
      <c r="O186" s="13">
        <v>0</v>
      </c>
    </row>
    <row r="187" spans="11:15">
      <c r="K187" s="15" t="s">
        <v>295</v>
      </c>
      <c r="L187" s="13">
        <v>26.609539000000002</v>
      </c>
      <c r="M187" s="13">
        <v>1926.7964315250301</v>
      </c>
      <c r="N187" s="13">
        <v>1959.8367398999999</v>
      </c>
      <c r="O187" s="13">
        <v>0</v>
      </c>
    </row>
    <row r="188" spans="11:15">
      <c r="K188" s="14" t="s">
        <v>3</v>
      </c>
      <c r="L188" s="13">
        <v>26.448539</v>
      </c>
      <c r="M188" s="13">
        <v>1926.7964315250301</v>
      </c>
      <c r="N188" s="13">
        <v>1959.8367398999999</v>
      </c>
      <c r="O188" s="13">
        <v>0</v>
      </c>
    </row>
    <row r="189" spans="11:15">
      <c r="K189" s="14" t="s">
        <v>4</v>
      </c>
      <c r="L189" s="13">
        <v>0.161</v>
      </c>
      <c r="M189" s="13">
        <v>0</v>
      </c>
      <c r="N189" s="13">
        <v>0</v>
      </c>
      <c r="O189" s="13">
        <v>0</v>
      </c>
    </row>
    <row r="190" spans="11:15">
      <c r="K190" s="14" t="s">
        <v>294</v>
      </c>
      <c r="L190" s="13">
        <v>0</v>
      </c>
      <c r="M190" s="13">
        <v>0</v>
      </c>
      <c r="N190" s="13">
        <v>0</v>
      </c>
      <c r="O190" s="13">
        <v>0</v>
      </c>
    </row>
    <row r="191" spans="11:15">
      <c r="K191" s="14" t="s">
        <v>293</v>
      </c>
      <c r="L191" s="13">
        <v>0</v>
      </c>
      <c r="M191" s="13">
        <v>0</v>
      </c>
      <c r="N191" s="13">
        <v>0</v>
      </c>
      <c r="O191" s="13">
        <v>0</v>
      </c>
    </row>
    <row r="192" spans="11:15">
      <c r="K192" s="15" t="s">
        <v>292</v>
      </c>
      <c r="L192" s="13">
        <v>28.755616999999997</v>
      </c>
      <c r="M192" s="13">
        <v>2095.4053937323802</v>
      </c>
      <c r="N192" s="13">
        <v>2131.3278195000003</v>
      </c>
      <c r="O192" s="13">
        <v>0</v>
      </c>
    </row>
    <row r="193" spans="11:15">
      <c r="K193" s="14" t="s">
        <v>229</v>
      </c>
      <c r="L193" s="13">
        <v>8.1303E-2</v>
      </c>
      <c r="M193" s="13">
        <v>6.4595396106000003</v>
      </c>
      <c r="N193" s="13">
        <v>6.5611521000000002</v>
      </c>
      <c r="O193" s="13">
        <v>0</v>
      </c>
    </row>
    <row r="194" spans="11:15">
      <c r="K194" s="14" t="s">
        <v>3</v>
      </c>
      <c r="L194" s="13">
        <v>28.674313999999999</v>
      </c>
      <c r="M194" s="13">
        <v>2088.94585412178</v>
      </c>
      <c r="N194" s="13">
        <v>2124.7666674000002</v>
      </c>
      <c r="O194" s="13">
        <v>0</v>
      </c>
    </row>
    <row r="195" spans="11:15">
      <c r="K195" s="15" t="s">
        <v>291</v>
      </c>
      <c r="L195" s="13">
        <v>4.0659999999999998</v>
      </c>
      <c r="M195" s="13">
        <v>0</v>
      </c>
      <c r="N195" s="13">
        <v>0</v>
      </c>
      <c r="O195" s="13">
        <v>0</v>
      </c>
    </row>
    <row r="196" spans="11:15">
      <c r="K196" s="14" t="s">
        <v>4</v>
      </c>
      <c r="L196" s="13">
        <v>4.0659999999999998</v>
      </c>
      <c r="M196" s="13">
        <v>0</v>
      </c>
      <c r="N196" s="13">
        <v>0</v>
      </c>
      <c r="O196" s="13">
        <v>0</v>
      </c>
    </row>
    <row r="197" spans="11:15">
      <c r="K197" s="15" t="s">
        <v>370</v>
      </c>
      <c r="L197" s="13">
        <v>115.550152</v>
      </c>
      <c r="M197" s="13">
        <v>8417.9175468170397</v>
      </c>
      <c r="N197" s="13">
        <v>8562.2662631999992</v>
      </c>
      <c r="O197" s="13">
        <v>0</v>
      </c>
    </row>
    <row r="198" spans="11:15">
      <c r="K198" s="14" t="s">
        <v>3</v>
      </c>
      <c r="L198" s="13">
        <v>115.550152</v>
      </c>
      <c r="M198" s="13">
        <v>8417.9175468170397</v>
      </c>
      <c r="N198" s="13">
        <v>8562.2662631999992</v>
      </c>
      <c r="O198" s="13">
        <v>0</v>
      </c>
    </row>
    <row r="199" spans="11:15">
      <c r="K199" s="15" t="s">
        <v>382</v>
      </c>
      <c r="L199" s="13">
        <v>10.947546000000001</v>
      </c>
      <c r="M199" s="13">
        <v>797.53715571042005</v>
      </c>
      <c r="N199" s="13">
        <v>811.21315860000004</v>
      </c>
      <c r="O199" s="13">
        <v>0</v>
      </c>
    </row>
    <row r="200" spans="11:15">
      <c r="K200" s="14" t="s">
        <v>3</v>
      </c>
      <c r="L200" s="13">
        <v>10.947546000000001</v>
      </c>
      <c r="M200" s="13">
        <v>797.53715571042005</v>
      </c>
      <c r="N200" s="13">
        <v>811.21315860000004</v>
      </c>
      <c r="O200" s="13">
        <v>0</v>
      </c>
    </row>
    <row r="201" spans="11:15">
      <c r="K201" s="193" t="s">
        <v>290</v>
      </c>
      <c r="L201" s="13">
        <v>861.95809838763944</v>
      </c>
      <c r="M201" s="13">
        <v>50091.333369709064</v>
      </c>
      <c r="N201" s="13">
        <v>48944.55711804657</v>
      </c>
      <c r="O201" s="13">
        <v>0</v>
      </c>
    </row>
    <row r="202" spans="11:15">
      <c r="K202" s="16" t="s">
        <v>289</v>
      </c>
      <c r="L202" s="13">
        <v>861.95809838763944</v>
      </c>
      <c r="M202" s="13">
        <v>50091.333369709064</v>
      </c>
      <c r="N202" s="13">
        <v>48944.55711804657</v>
      </c>
      <c r="O202" s="13">
        <v>0</v>
      </c>
    </row>
    <row r="203" spans="11:15">
      <c r="K203" s="15" t="s">
        <v>288</v>
      </c>
      <c r="L203" s="13">
        <v>3.526732</v>
      </c>
      <c r="M203" s="13">
        <v>386.52280900331999</v>
      </c>
      <c r="N203" s="13">
        <v>333.6288472</v>
      </c>
      <c r="O203" s="13">
        <v>0</v>
      </c>
    </row>
    <row r="204" spans="11:15">
      <c r="K204" s="14" t="s">
        <v>287</v>
      </c>
      <c r="L204" s="13">
        <v>0</v>
      </c>
      <c r="M204" s="13">
        <v>0</v>
      </c>
      <c r="N204" s="13">
        <v>0</v>
      </c>
      <c r="O204" s="13">
        <v>0</v>
      </c>
    </row>
    <row r="205" spans="11:15">
      <c r="K205" s="14" t="s">
        <v>232</v>
      </c>
      <c r="L205" s="13">
        <v>3.526732</v>
      </c>
      <c r="M205" s="13">
        <v>386.52280900331999</v>
      </c>
      <c r="N205" s="13">
        <v>333.6288472</v>
      </c>
      <c r="O205" s="13">
        <v>0</v>
      </c>
    </row>
    <row r="206" spans="11:15">
      <c r="K206" s="15" t="s">
        <v>285</v>
      </c>
      <c r="L206" s="13">
        <v>383.4492381735671</v>
      </c>
      <c r="M206" s="13">
        <v>22201.602994002191</v>
      </c>
      <c r="N206" s="13">
        <v>21710.790852797116</v>
      </c>
      <c r="O206" s="13">
        <v>0</v>
      </c>
    </row>
    <row r="207" spans="11:15">
      <c r="K207" s="14" t="s">
        <v>282</v>
      </c>
      <c r="L207" s="13">
        <v>132.85906083999998</v>
      </c>
      <c r="M207" s="13">
        <v>7728.5417709424228</v>
      </c>
      <c r="N207" s="13">
        <v>7652.6819043839996</v>
      </c>
      <c r="O207" s="13">
        <v>0</v>
      </c>
    </row>
    <row r="208" spans="11:15">
      <c r="K208" s="14" t="s">
        <v>10</v>
      </c>
      <c r="L208" s="13">
        <v>250.59017733356711</v>
      </c>
      <c r="M208" s="13">
        <v>14473.061223059769</v>
      </c>
      <c r="N208" s="13">
        <v>14058.108948413115</v>
      </c>
      <c r="O208" s="13">
        <v>0</v>
      </c>
    </row>
    <row r="209" spans="11:15">
      <c r="K209" s="15" t="s">
        <v>284</v>
      </c>
      <c r="L209" s="13">
        <v>96.149994922306163</v>
      </c>
      <c r="M209" s="13">
        <v>5553.2294917332219</v>
      </c>
      <c r="N209" s="13">
        <v>5394.0147151413757</v>
      </c>
      <c r="O209" s="13">
        <v>0</v>
      </c>
    </row>
    <row r="210" spans="11:15">
      <c r="K210" s="14" t="s">
        <v>10</v>
      </c>
      <c r="L210" s="13">
        <v>96.149994922306163</v>
      </c>
      <c r="M210" s="13">
        <v>5553.2294917332219</v>
      </c>
      <c r="N210" s="13">
        <v>5394.0147151413757</v>
      </c>
      <c r="O210" s="13">
        <v>0</v>
      </c>
    </row>
    <row r="211" spans="11:15">
      <c r="K211" s="15" t="s">
        <v>283</v>
      </c>
      <c r="L211" s="13">
        <v>265.98138475710471</v>
      </c>
      <c r="M211" s="13">
        <v>15432.18152767728</v>
      </c>
      <c r="N211" s="13">
        <v>15175.195710113574</v>
      </c>
      <c r="O211" s="13">
        <v>0</v>
      </c>
    </row>
    <row r="212" spans="11:15">
      <c r="K212" s="14" t="s">
        <v>282</v>
      </c>
      <c r="L212" s="13">
        <v>169.09335016</v>
      </c>
      <c r="M212" s="13">
        <v>9836.3258902903581</v>
      </c>
      <c r="N212" s="13">
        <v>9739.776969216</v>
      </c>
      <c r="O212" s="13">
        <v>0</v>
      </c>
    </row>
    <row r="213" spans="11:15">
      <c r="K213" s="14" t="s">
        <v>10</v>
      </c>
      <c r="L213" s="13">
        <v>96.888034597104721</v>
      </c>
      <c r="M213" s="13">
        <v>5595.8556373869205</v>
      </c>
      <c r="N213" s="13">
        <v>5435.418740897574</v>
      </c>
      <c r="O213" s="13">
        <v>0</v>
      </c>
    </row>
    <row r="214" spans="11:15">
      <c r="K214" s="15" t="s">
        <v>371</v>
      </c>
      <c r="L214" s="13">
        <v>112.85074853466141</v>
      </c>
      <c r="M214" s="13">
        <v>6517.7965472930509</v>
      </c>
      <c r="N214" s="13">
        <v>6330.9269927945052</v>
      </c>
      <c r="O214" s="13">
        <v>0</v>
      </c>
    </row>
    <row r="215" spans="11:15">
      <c r="K215" s="14" t="s">
        <v>10</v>
      </c>
      <c r="L215" s="13">
        <v>112.85074853466141</v>
      </c>
      <c r="M215" s="13">
        <v>6517.7965472930509</v>
      </c>
      <c r="N215" s="13">
        <v>6330.9269927945052</v>
      </c>
      <c r="O215" s="13">
        <v>0</v>
      </c>
    </row>
    <row r="216" spans="11:15">
      <c r="K216" s="193" t="s">
        <v>46</v>
      </c>
      <c r="L216" s="13">
        <v>8058.2964873876408</v>
      </c>
      <c r="M216" s="13">
        <v>467414.13840904291</v>
      </c>
      <c r="N216" s="13">
        <v>441198.85444154654</v>
      </c>
      <c r="O216" s="13">
        <v>121984.29252781192</v>
      </c>
    </row>
  </sheetData>
  <mergeCells count="11">
    <mergeCell ref="Q31:V31"/>
    <mergeCell ref="Q32:V32"/>
    <mergeCell ref="Q33:V33"/>
    <mergeCell ref="Q25:V26"/>
    <mergeCell ref="Q27:V29"/>
    <mergeCell ref="Q30:V30"/>
    <mergeCell ref="Q23:V23"/>
    <mergeCell ref="Q24:V24"/>
    <mergeCell ref="Q18:V18"/>
    <mergeCell ref="Q16:V17"/>
    <mergeCell ref="Q19:V21"/>
  </mergeCells>
  <hyperlinks>
    <hyperlink ref="G3" r:id="rId2" display="INECC@2014"/>
    <hyperlink ref="H3" r:id="rId3" display="IPCC@2006"/>
    <hyperlink ref="S4" r:id="rId4" display="INECC@2014"/>
    <hyperlink ref="T4" r:id="rId5" display="IPCC@2006"/>
    <hyperlink ref="I3" r:id="rId6" display="IPCC@2006"/>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0"/>
  <sheetViews>
    <sheetView workbookViewId="0">
      <pane xSplit="2" topLeftCell="C1" activePane="topRight" state="frozen"/>
      <selection pane="topRight" activeCell="I59" sqref="I59"/>
    </sheetView>
  </sheetViews>
  <sheetFormatPr baseColWidth="10" defaultRowHeight="12.75"/>
  <cols>
    <col min="1" max="1" width="11" style="184"/>
    <col min="2" max="2" width="74.25" style="184" bestFit="1" customWidth="1"/>
    <col min="3" max="3" width="12.125" style="183" customWidth="1"/>
    <col min="4" max="4" width="7.625" style="183" customWidth="1"/>
    <col min="5" max="5" width="6.125" style="183" customWidth="1"/>
    <col min="6" max="6" width="10" style="183" customWidth="1"/>
    <col min="7" max="8" width="7.375" style="183" customWidth="1"/>
    <col min="9" max="9" width="5" style="183" customWidth="1"/>
    <col min="10" max="10" width="8.625" style="183" customWidth="1"/>
    <col min="11" max="11" width="10.125" style="183" customWidth="1"/>
    <col min="12" max="12" width="9.5" style="183" customWidth="1"/>
    <col min="13" max="13" width="8.375" style="183" customWidth="1"/>
    <col min="14" max="14" width="8.5" style="183" customWidth="1"/>
    <col min="15" max="15" width="6.625" style="183" customWidth="1"/>
    <col min="16" max="16" width="8.25" style="183" customWidth="1"/>
    <col min="17" max="17" width="8.75" style="183" customWidth="1"/>
    <col min="18" max="18" width="9.75" style="183" customWidth="1"/>
    <col min="19" max="19" width="4.125" style="183" customWidth="1"/>
    <col min="20" max="20" width="10" style="183" customWidth="1"/>
    <col min="21" max="21" width="9.125" style="183" customWidth="1"/>
    <col min="22" max="22" width="6" style="183" customWidth="1"/>
    <col min="23" max="23" width="12.75" style="183" customWidth="1"/>
    <col min="24" max="24" width="8.625" style="183" customWidth="1"/>
    <col min="25" max="25" width="12.5" style="183" customWidth="1"/>
    <col min="26" max="26" width="8.625" style="183" customWidth="1"/>
    <col min="27" max="27" width="12.5" style="183" customWidth="1"/>
    <col min="28" max="28" width="8.625" style="183" customWidth="1"/>
    <col min="29" max="29" width="12.5" style="183" customWidth="1"/>
    <col min="30" max="30" width="8.625" style="183" customWidth="1"/>
    <col min="31" max="31" width="12.875" style="183" customWidth="1"/>
    <col min="32" max="32" width="8.625" style="183" customWidth="1"/>
    <col min="33" max="33" width="12.875" style="183" customWidth="1"/>
    <col min="34" max="34" width="8.625" style="183" customWidth="1"/>
    <col min="35" max="35" width="12.875" style="183" customWidth="1"/>
    <col min="36" max="36" width="8.625" style="183" customWidth="1"/>
    <col min="37" max="37" width="12.875" style="183" customWidth="1"/>
    <col min="38" max="38" width="8.625" style="183" customWidth="1"/>
    <col min="39" max="39" width="12.875" style="183" customWidth="1"/>
    <col min="40" max="40" width="12.375" style="183" customWidth="1"/>
    <col min="41" max="41" width="30.25" style="184" bestFit="1" customWidth="1"/>
    <col min="42" max="42" width="20.25" style="184" customWidth="1"/>
    <col min="43" max="16384" width="11" style="184"/>
  </cols>
  <sheetData>
    <row r="2" spans="2:42" ht="26.25">
      <c r="B2" s="656" t="s">
        <v>946</v>
      </c>
      <c r="C2" s="657" t="s">
        <v>44</v>
      </c>
      <c r="W2"/>
      <c r="X2"/>
      <c r="Y2"/>
      <c r="Z2"/>
      <c r="AA2"/>
      <c r="AB2"/>
      <c r="AC2"/>
      <c r="AD2"/>
      <c r="AE2"/>
      <c r="AF2"/>
      <c r="AG2"/>
      <c r="AH2"/>
      <c r="AI2"/>
      <c r="AJ2"/>
      <c r="AK2"/>
      <c r="AL2"/>
      <c r="AM2"/>
      <c r="AN2"/>
      <c r="AO2"/>
      <c r="AP2"/>
    </row>
    <row r="3" spans="2:42" ht="39">
      <c r="B3" s="656" t="s">
        <v>45</v>
      </c>
      <c r="C3" s="183" t="s">
        <v>301</v>
      </c>
      <c r="D3" s="183" t="s">
        <v>271</v>
      </c>
      <c r="E3" s="183" t="s">
        <v>287</v>
      </c>
      <c r="F3" s="183" t="s">
        <v>229</v>
      </c>
      <c r="G3" s="183" t="s">
        <v>232</v>
      </c>
      <c r="H3" s="183" t="s">
        <v>231</v>
      </c>
      <c r="I3" s="183" t="s">
        <v>3</v>
      </c>
      <c r="J3" s="183" t="s">
        <v>4</v>
      </c>
      <c r="K3" s="183" t="s">
        <v>233</v>
      </c>
      <c r="L3" s="183" t="s">
        <v>234</v>
      </c>
      <c r="M3" s="183" t="s">
        <v>294</v>
      </c>
      <c r="N3" s="183" t="s">
        <v>282</v>
      </c>
      <c r="O3" s="183" t="s">
        <v>10</v>
      </c>
      <c r="P3" s="183" t="s">
        <v>293</v>
      </c>
      <c r="Q3" s="183" t="s">
        <v>235</v>
      </c>
      <c r="R3" s="183" t="s">
        <v>236</v>
      </c>
      <c r="S3" s="183" t="s">
        <v>17</v>
      </c>
      <c r="T3" s="183" t="s">
        <v>237</v>
      </c>
      <c r="U3" s="183" t="s">
        <v>230</v>
      </c>
      <c r="V3" s="183" t="s">
        <v>46</v>
      </c>
      <c r="W3"/>
      <c r="X3"/>
      <c r="Y3"/>
      <c r="Z3"/>
      <c r="AA3"/>
      <c r="AB3"/>
      <c r="AC3"/>
      <c r="AD3"/>
      <c r="AE3"/>
      <c r="AF3"/>
      <c r="AG3"/>
      <c r="AH3"/>
      <c r="AI3"/>
      <c r="AJ3"/>
      <c r="AK3"/>
      <c r="AL3"/>
      <c r="AM3"/>
      <c r="AN3"/>
      <c r="AO3"/>
      <c r="AP3"/>
    </row>
    <row r="4" spans="2:42" ht="15.75">
      <c r="B4" s="650" t="s">
        <v>227</v>
      </c>
      <c r="C4" s="651"/>
      <c r="D4" s="651"/>
      <c r="E4" s="651"/>
      <c r="F4" s="651"/>
      <c r="G4" s="651"/>
      <c r="H4" s="651"/>
      <c r="I4" s="651">
        <v>115.550152</v>
      </c>
      <c r="J4" s="651">
        <v>37.027999999999999</v>
      </c>
      <c r="K4" s="651"/>
      <c r="L4" s="651"/>
      <c r="M4" s="651">
        <v>6.0288570000000004</v>
      </c>
      <c r="N4" s="651"/>
      <c r="O4" s="651"/>
      <c r="P4" s="651"/>
      <c r="Q4" s="651"/>
      <c r="R4" s="651"/>
      <c r="S4" s="651"/>
      <c r="T4" s="651"/>
      <c r="U4" s="651">
        <v>8.1239999999999993E-3</v>
      </c>
      <c r="V4" s="651">
        <v>158.61513299999999</v>
      </c>
      <c r="W4"/>
      <c r="X4"/>
      <c r="Y4"/>
      <c r="Z4"/>
      <c r="AA4"/>
      <c r="AB4"/>
      <c r="AC4"/>
      <c r="AD4"/>
      <c r="AE4"/>
      <c r="AF4"/>
      <c r="AG4"/>
      <c r="AH4"/>
      <c r="AI4"/>
      <c r="AJ4"/>
      <c r="AK4"/>
      <c r="AL4"/>
      <c r="AM4"/>
      <c r="AN4"/>
      <c r="AO4"/>
      <c r="AP4"/>
    </row>
    <row r="5" spans="2:42" ht="15.75">
      <c r="B5" s="652" t="s">
        <v>227</v>
      </c>
      <c r="C5" s="651"/>
      <c r="D5" s="651"/>
      <c r="E5" s="651"/>
      <c r="F5" s="651"/>
      <c r="G5" s="651"/>
      <c r="H5" s="651"/>
      <c r="I5" s="651">
        <v>115.550152</v>
      </c>
      <c r="J5" s="651">
        <v>37.027999999999999</v>
      </c>
      <c r="K5" s="651"/>
      <c r="L5" s="651"/>
      <c r="M5" s="651">
        <v>6.0288570000000004</v>
      </c>
      <c r="N5" s="651"/>
      <c r="O5" s="651"/>
      <c r="P5" s="651"/>
      <c r="Q5" s="651"/>
      <c r="R5" s="651"/>
      <c r="S5" s="651"/>
      <c r="T5" s="651"/>
      <c r="U5" s="651">
        <v>8.1239999999999993E-3</v>
      </c>
      <c r="V5" s="651">
        <v>158.61513299999999</v>
      </c>
      <c r="W5"/>
      <c r="X5"/>
      <c r="Y5"/>
      <c r="Z5"/>
      <c r="AA5"/>
      <c r="AB5"/>
      <c r="AC5"/>
      <c r="AD5"/>
      <c r="AE5"/>
      <c r="AF5"/>
      <c r="AG5"/>
      <c r="AH5"/>
      <c r="AI5"/>
      <c r="AJ5"/>
      <c r="AK5"/>
      <c r="AL5"/>
      <c r="AM5"/>
      <c r="AN5"/>
      <c r="AO5"/>
      <c r="AP5"/>
    </row>
    <row r="6" spans="2:42" ht="15.75">
      <c r="B6" s="650" t="s">
        <v>289</v>
      </c>
      <c r="C6" s="651"/>
      <c r="D6" s="651"/>
      <c r="E6" s="651">
        <v>0</v>
      </c>
      <c r="F6" s="651"/>
      <c r="G6" s="651">
        <v>3.526732</v>
      </c>
      <c r="H6" s="651"/>
      <c r="I6" s="651"/>
      <c r="J6" s="651"/>
      <c r="K6" s="651"/>
      <c r="L6" s="651"/>
      <c r="M6" s="651"/>
      <c r="N6" s="651">
        <v>301.95241099999998</v>
      </c>
      <c r="O6" s="651">
        <v>556.47895538763942</v>
      </c>
      <c r="P6" s="651"/>
      <c r="Q6" s="651"/>
      <c r="R6" s="651"/>
      <c r="S6" s="651"/>
      <c r="T6" s="651"/>
      <c r="U6" s="651"/>
      <c r="V6" s="651">
        <v>861.95809838763932</v>
      </c>
      <c r="W6"/>
      <c r="X6"/>
      <c r="Y6"/>
      <c r="Z6"/>
      <c r="AA6"/>
      <c r="AB6"/>
      <c r="AC6"/>
      <c r="AD6"/>
      <c r="AE6"/>
      <c r="AF6"/>
      <c r="AG6"/>
      <c r="AH6"/>
      <c r="AI6"/>
      <c r="AJ6"/>
      <c r="AK6"/>
      <c r="AL6"/>
      <c r="AM6"/>
      <c r="AN6"/>
      <c r="AO6"/>
      <c r="AP6"/>
    </row>
    <row r="7" spans="2:42" ht="15.75">
      <c r="B7" s="652" t="s">
        <v>288</v>
      </c>
      <c r="C7" s="651"/>
      <c r="D7" s="651"/>
      <c r="E7" s="651">
        <v>0</v>
      </c>
      <c r="F7" s="651"/>
      <c r="G7" s="651">
        <v>3.526732</v>
      </c>
      <c r="H7" s="651"/>
      <c r="I7" s="651"/>
      <c r="J7" s="651"/>
      <c r="K7" s="651"/>
      <c r="L7" s="651"/>
      <c r="M7" s="651"/>
      <c r="N7" s="651"/>
      <c r="O7" s="651"/>
      <c r="P7" s="651"/>
      <c r="Q7" s="651"/>
      <c r="R7" s="651"/>
      <c r="S7" s="651"/>
      <c r="T7" s="651"/>
      <c r="U7" s="651"/>
      <c r="V7" s="651">
        <v>3.526732</v>
      </c>
      <c r="W7"/>
      <c r="X7"/>
      <c r="Y7"/>
      <c r="Z7"/>
      <c r="AA7"/>
      <c r="AB7"/>
      <c r="AC7"/>
      <c r="AD7"/>
      <c r="AE7"/>
      <c r="AF7" s="653"/>
      <c r="AG7"/>
      <c r="AH7"/>
      <c r="AI7"/>
      <c r="AJ7"/>
      <c r="AK7"/>
      <c r="AL7"/>
      <c r="AM7"/>
      <c r="AN7"/>
      <c r="AO7"/>
      <c r="AP7"/>
    </row>
    <row r="8" spans="2:42" ht="15.75">
      <c r="B8" s="652" t="s">
        <v>285</v>
      </c>
      <c r="C8" s="651"/>
      <c r="D8" s="651"/>
      <c r="E8" s="651"/>
      <c r="F8" s="651"/>
      <c r="G8" s="651"/>
      <c r="H8" s="651"/>
      <c r="I8" s="651"/>
      <c r="J8" s="651"/>
      <c r="K8" s="651"/>
      <c r="L8" s="651"/>
      <c r="M8" s="651"/>
      <c r="N8" s="651">
        <v>132.85906083999998</v>
      </c>
      <c r="O8" s="651">
        <v>250.59017733356711</v>
      </c>
      <c r="P8" s="651"/>
      <c r="Q8" s="651"/>
      <c r="R8" s="651"/>
      <c r="S8" s="651"/>
      <c r="T8" s="651"/>
      <c r="U8" s="651"/>
      <c r="V8" s="651">
        <v>383.4492381735671</v>
      </c>
      <c r="W8"/>
      <c r="X8"/>
      <c r="Y8"/>
      <c r="Z8"/>
      <c r="AA8"/>
      <c r="AB8"/>
      <c r="AC8"/>
      <c r="AD8"/>
      <c r="AE8"/>
      <c r="AF8"/>
      <c r="AG8"/>
      <c r="AH8"/>
      <c r="AI8"/>
      <c r="AJ8"/>
      <c r="AK8"/>
      <c r="AL8"/>
      <c r="AM8"/>
      <c r="AN8"/>
      <c r="AO8"/>
      <c r="AP8"/>
    </row>
    <row r="9" spans="2:42" ht="15.75">
      <c r="B9" s="652" t="s">
        <v>284</v>
      </c>
      <c r="C9" s="651"/>
      <c r="D9" s="651"/>
      <c r="E9" s="651"/>
      <c r="F9" s="651"/>
      <c r="G9" s="651"/>
      <c r="H9" s="651"/>
      <c r="I9" s="651"/>
      <c r="J9" s="651"/>
      <c r="K9" s="651"/>
      <c r="L9" s="651"/>
      <c r="M9" s="651"/>
      <c r="N9" s="651"/>
      <c r="O9" s="651">
        <v>96.149994922306163</v>
      </c>
      <c r="P9" s="651"/>
      <c r="Q9" s="651"/>
      <c r="R9" s="651"/>
      <c r="S9" s="651"/>
      <c r="T9" s="651"/>
      <c r="U9" s="651"/>
      <c r="V9" s="651">
        <v>96.149994922306163</v>
      </c>
      <c r="W9"/>
      <c r="X9"/>
      <c r="Y9"/>
      <c r="Z9"/>
      <c r="AA9"/>
      <c r="AB9"/>
      <c r="AC9"/>
      <c r="AD9"/>
      <c r="AE9"/>
      <c r="AF9"/>
      <c r="AG9"/>
      <c r="AH9"/>
      <c r="AI9"/>
      <c r="AJ9"/>
      <c r="AK9"/>
      <c r="AL9"/>
      <c r="AM9"/>
      <c r="AN9"/>
      <c r="AO9"/>
      <c r="AP9"/>
    </row>
    <row r="10" spans="2:42" ht="15.75">
      <c r="B10" s="652" t="s">
        <v>283</v>
      </c>
      <c r="C10" s="651"/>
      <c r="D10" s="651"/>
      <c r="E10" s="651"/>
      <c r="F10" s="651"/>
      <c r="G10" s="651"/>
      <c r="H10" s="651"/>
      <c r="I10" s="651"/>
      <c r="J10" s="651"/>
      <c r="K10" s="651"/>
      <c r="L10" s="651"/>
      <c r="M10" s="651"/>
      <c r="N10" s="651">
        <v>169.09335016</v>
      </c>
      <c r="O10" s="651">
        <v>96.888034597104721</v>
      </c>
      <c r="P10" s="651"/>
      <c r="Q10" s="651"/>
      <c r="R10" s="651"/>
      <c r="S10" s="651"/>
      <c r="T10" s="651"/>
      <c r="U10" s="651"/>
      <c r="V10" s="651">
        <v>265.98138475710471</v>
      </c>
      <c r="W10"/>
      <c r="X10"/>
      <c r="Y10"/>
      <c r="Z10"/>
      <c r="AA10"/>
      <c r="AB10"/>
      <c r="AC10"/>
      <c r="AD10"/>
      <c r="AE10"/>
      <c r="AF10"/>
      <c r="AG10"/>
      <c r="AH10"/>
      <c r="AI10"/>
      <c r="AJ10"/>
      <c r="AK10"/>
      <c r="AL10"/>
      <c r="AM10"/>
      <c r="AN10"/>
      <c r="AO10"/>
      <c r="AP10"/>
    </row>
    <row r="11" spans="2:42" ht="15.75">
      <c r="B11" s="652" t="s">
        <v>948</v>
      </c>
      <c r="C11" s="651"/>
      <c r="D11" s="651"/>
      <c r="E11" s="651"/>
      <c r="F11" s="651"/>
      <c r="G11" s="651"/>
      <c r="H11" s="651"/>
      <c r="I11" s="651"/>
      <c r="J11" s="651"/>
      <c r="K11" s="651"/>
      <c r="L11" s="651"/>
      <c r="M11" s="651"/>
      <c r="N11" s="651"/>
      <c r="O11" s="651">
        <v>112.85074853466141</v>
      </c>
      <c r="P11" s="651"/>
      <c r="Q11" s="651"/>
      <c r="R11" s="651"/>
      <c r="S11" s="651"/>
      <c r="T11" s="651"/>
      <c r="U11" s="651"/>
      <c r="V11" s="651">
        <v>112.85074853466141</v>
      </c>
      <c r="W11"/>
      <c r="X11"/>
      <c r="Y11"/>
      <c r="Z11"/>
      <c r="AA11"/>
      <c r="AB11"/>
      <c r="AC11"/>
      <c r="AD11"/>
      <c r="AE11"/>
      <c r="AF11"/>
      <c r="AG11"/>
      <c r="AH11"/>
      <c r="AI11"/>
      <c r="AJ11"/>
      <c r="AK11"/>
      <c r="AL11"/>
      <c r="AM11"/>
      <c r="AN11"/>
      <c r="AO11"/>
      <c r="AP11"/>
    </row>
    <row r="12" spans="2:42" ht="15.75">
      <c r="B12" s="650" t="s">
        <v>47</v>
      </c>
      <c r="C12" s="651"/>
      <c r="D12" s="651">
        <v>63.782443000000001</v>
      </c>
      <c r="E12" s="651">
        <v>100.068597</v>
      </c>
      <c r="F12" s="651">
        <v>25.360433</v>
      </c>
      <c r="G12" s="651">
        <v>65.126006000000004</v>
      </c>
      <c r="H12" s="651">
        <v>111.145081</v>
      </c>
      <c r="I12" s="651">
        <v>64.530242000000001</v>
      </c>
      <c r="J12" s="651">
        <v>530.60300000000007</v>
      </c>
      <c r="K12" s="651"/>
      <c r="L12" s="651">
        <v>0.38100000000000001</v>
      </c>
      <c r="M12" s="651">
        <v>43.968238999999997</v>
      </c>
      <c r="N12" s="651"/>
      <c r="O12" s="651">
        <v>593.18299999999999</v>
      </c>
      <c r="P12" s="651">
        <v>0.85200500000000001</v>
      </c>
      <c r="Q12" s="651"/>
      <c r="R12" s="651"/>
      <c r="S12" s="651"/>
      <c r="T12" s="651"/>
      <c r="U12" s="651">
        <v>0</v>
      </c>
      <c r="V12" s="651">
        <v>1599.0000459999999</v>
      </c>
      <c r="W12"/>
      <c r="X12"/>
      <c r="Y12"/>
      <c r="Z12"/>
      <c r="AA12"/>
      <c r="AB12"/>
      <c r="AC12"/>
      <c r="AD12"/>
      <c r="AE12"/>
      <c r="AF12"/>
      <c r="AG12"/>
      <c r="AH12"/>
      <c r="AI12"/>
      <c r="AJ12"/>
      <c r="AK12"/>
      <c r="AL12"/>
      <c r="AM12"/>
      <c r="AN12"/>
      <c r="AO12"/>
      <c r="AP12"/>
    </row>
    <row r="13" spans="2:42" ht="15.75">
      <c r="B13" s="652" t="s">
        <v>335</v>
      </c>
      <c r="C13" s="651"/>
      <c r="D13" s="651"/>
      <c r="E13" s="651"/>
      <c r="F13" s="651"/>
      <c r="G13" s="651"/>
      <c r="H13" s="651"/>
      <c r="I13" s="651"/>
      <c r="J13" s="651">
        <v>1.7729999999999999</v>
      </c>
      <c r="K13" s="651"/>
      <c r="L13" s="651"/>
      <c r="M13" s="651"/>
      <c r="N13" s="651"/>
      <c r="O13" s="651"/>
      <c r="P13" s="651"/>
      <c r="Q13" s="651"/>
      <c r="R13" s="651"/>
      <c r="S13" s="651"/>
      <c r="T13" s="651"/>
      <c r="U13" s="651"/>
      <c r="V13" s="654">
        <v>1.7729999999999999</v>
      </c>
      <c r="W13"/>
      <c r="X13"/>
      <c r="Y13"/>
      <c r="Z13"/>
      <c r="AA13"/>
      <c r="AB13"/>
      <c r="AC13"/>
      <c r="AD13"/>
      <c r="AE13"/>
      <c r="AF13"/>
      <c r="AG13"/>
      <c r="AH13"/>
      <c r="AI13"/>
      <c r="AJ13"/>
      <c r="AK13"/>
      <c r="AL13"/>
      <c r="AM13"/>
      <c r="AN13"/>
      <c r="AO13"/>
      <c r="AP13"/>
    </row>
    <row r="14" spans="2:42" ht="15.75">
      <c r="B14" s="652" t="s">
        <v>949</v>
      </c>
      <c r="C14" s="651"/>
      <c r="D14" s="651"/>
      <c r="E14" s="651"/>
      <c r="F14" s="651"/>
      <c r="G14" s="651"/>
      <c r="H14" s="651"/>
      <c r="I14" s="651">
        <v>10.947546000000001</v>
      </c>
      <c r="J14" s="651"/>
      <c r="K14" s="651"/>
      <c r="L14" s="651"/>
      <c r="M14" s="651"/>
      <c r="N14" s="651"/>
      <c r="O14" s="651"/>
      <c r="P14" s="651"/>
      <c r="Q14" s="651"/>
      <c r="R14" s="651"/>
      <c r="S14" s="651"/>
      <c r="T14" s="651"/>
      <c r="U14" s="651"/>
      <c r="V14" s="655">
        <v>10.947546000000001</v>
      </c>
      <c r="W14"/>
      <c r="X14"/>
      <c r="Y14"/>
      <c r="Z14"/>
      <c r="AA14"/>
      <c r="AB14"/>
      <c r="AC14"/>
      <c r="AD14"/>
      <c r="AE14"/>
      <c r="AF14"/>
      <c r="AG14"/>
      <c r="AH14"/>
      <c r="AI14"/>
      <c r="AJ14"/>
      <c r="AK14"/>
      <c r="AL14"/>
      <c r="AM14"/>
      <c r="AN14"/>
      <c r="AO14"/>
      <c r="AP14"/>
    </row>
    <row r="15" spans="2:42" ht="15.75">
      <c r="B15" s="652" t="s">
        <v>336</v>
      </c>
      <c r="C15" s="651"/>
      <c r="D15" s="651">
        <v>59.526828000000002</v>
      </c>
      <c r="E15" s="651"/>
      <c r="F15" s="651">
        <v>3.4816769999999999</v>
      </c>
      <c r="G15" s="651"/>
      <c r="H15" s="651"/>
      <c r="I15" s="651">
        <v>0</v>
      </c>
      <c r="J15" s="651">
        <v>4.1449999999999996</v>
      </c>
      <c r="K15" s="651"/>
      <c r="L15" s="651"/>
      <c r="M15" s="651">
        <v>2.5599999999999999E-4</v>
      </c>
      <c r="N15" s="651"/>
      <c r="O15" s="651"/>
      <c r="P15" s="651"/>
      <c r="Q15" s="651"/>
      <c r="R15" s="651"/>
      <c r="S15" s="651"/>
      <c r="T15" s="651"/>
      <c r="U15" s="651"/>
      <c r="V15" s="655">
        <v>67.153760999999989</v>
      </c>
      <c r="W15"/>
      <c r="X15"/>
      <c r="Y15"/>
      <c r="Z15"/>
      <c r="AA15"/>
      <c r="AB15"/>
      <c r="AC15"/>
      <c r="AD15"/>
      <c r="AE15"/>
      <c r="AF15"/>
      <c r="AG15"/>
      <c r="AH15"/>
      <c r="AI15"/>
      <c r="AJ15"/>
      <c r="AK15"/>
      <c r="AL15"/>
      <c r="AM15"/>
      <c r="AN15"/>
      <c r="AO15"/>
      <c r="AP15"/>
    </row>
    <row r="16" spans="2:42" ht="15.75">
      <c r="B16" s="652" t="s">
        <v>328</v>
      </c>
      <c r="C16" s="651"/>
      <c r="D16" s="651"/>
      <c r="E16" s="651"/>
      <c r="F16" s="651">
        <v>2.080508</v>
      </c>
      <c r="G16" s="651"/>
      <c r="H16" s="651"/>
      <c r="I16" s="651">
        <v>0.140374</v>
      </c>
      <c r="J16" s="651">
        <v>3.6819999999999999</v>
      </c>
      <c r="K16" s="651"/>
      <c r="L16" s="651"/>
      <c r="M16" s="651">
        <v>0.814222</v>
      </c>
      <c r="N16" s="651"/>
      <c r="O16" s="651">
        <v>15.255000000000001</v>
      </c>
      <c r="P16" s="651"/>
      <c r="Q16" s="651"/>
      <c r="R16" s="651"/>
      <c r="S16" s="651"/>
      <c r="T16" s="651"/>
      <c r="U16" s="651"/>
      <c r="V16" s="655">
        <v>21.972104000000002</v>
      </c>
      <c r="W16"/>
      <c r="X16"/>
      <c r="Y16"/>
      <c r="Z16"/>
      <c r="AA16"/>
      <c r="AB16"/>
      <c r="AC16"/>
      <c r="AD16"/>
      <c r="AE16"/>
      <c r="AF16"/>
      <c r="AG16"/>
      <c r="AH16"/>
      <c r="AI16"/>
      <c r="AJ16"/>
      <c r="AK16"/>
      <c r="AL16"/>
      <c r="AM16"/>
      <c r="AN16"/>
      <c r="AO16"/>
      <c r="AP16"/>
    </row>
    <row r="17" spans="2:42" ht="15.75">
      <c r="B17" s="652" t="s">
        <v>300</v>
      </c>
      <c r="C17" s="651"/>
      <c r="D17" s="651"/>
      <c r="E17" s="651"/>
      <c r="F17" s="651">
        <v>8.7880000000000007E-3</v>
      </c>
      <c r="G17" s="651"/>
      <c r="H17" s="651"/>
      <c r="I17" s="651">
        <v>0</v>
      </c>
      <c r="J17" s="651">
        <v>0.24199999999999999</v>
      </c>
      <c r="K17" s="651"/>
      <c r="L17" s="651"/>
      <c r="M17" s="651">
        <v>0</v>
      </c>
      <c r="N17" s="651"/>
      <c r="O17" s="651">
        <v>0.27300000000000002</v>
      </c>
      <c r="P17" s="651"/>
      <c r="Q17" s="651"/>
      <c r="R17" s="651"/>
      <c r="S17" s="651"/>
      <c r="T17" s="651"/>
      <c r="U17" s="651"/>
      <c r="V17" s="655">
        <v>0.52378800000000003</v>
      </c>
      <c r="W17"/>
      <c r="X17"/>
      <c r="Y17"/>
      <c r="Z17"/>
      <c r="AA17"/>
      <c r="AB17"/>
      <c r="AC17"/>
      <c r="AD17"/>
      <c r="AE17"/>
      <c r="AF17"/>
      <c r="AG17"/>
      <c r="AH17"/>
      <c r="AI17"/>
      <c r="AJ17"/>
      <c r="AK17"/>
      <c r="AL17"/>
      <c r="AM17"/>
      <c r="AN17"/>
      <c r="AO17"/>
      <c r="AP17"/>
    </row>
    <row r="18" spans="2:42" ht="15.75">
      <c r="B18" s="652" t="s">
        <v>326</v>
      </c>
      <c r="C18" s="651"/>
      <c r="D18" s="651"/>
      <c r="E18" s="651"/>
      <c r="F18" s="651">
        <v>0.67199600000000004</v>
      </c>
      <c r="G18" s="651"/>
      <c r="H18" s="651"/>
      <c r="I18" s="651">
        <v>3.5512489999999999</v>
      </c>
      <c r="J18" s="651">
        <v>3.0630000000000002</v>
      </c>
      <c r="K18" s="651"/>
      <c r="L18" s="651"/>
      <c r="M18" s="651">
        <v>1.283507</v>
      </c>
      <c r="N18" s="651"/>
      <c r="O18" s="651">
        <v>0.96099999999999997</v>
      </c>
      <c r="P18" s="651"/>
      <c r="Q18" s="651"/>
      <c r="R18" s="651"/>
      <c r="S18" s="651"/>
      <c r="T18" s="651"/>
      <c r="U18" s="651"/>
      <c r="V18" s="655">
        <v>9.5307520000000014</v>
      </c>
      <c r="W18"/>
      <c r="X18"/>
      <c r="Y18"/>
      <c r="Z18"/>
      <c r="AA18"/>
      <c r="AB18"/>
      <c r="AC18"/>
      <c r="AD18"/>
      <c r="AE18"/>
      <c r="AF18"/>
      <c r="AG18"/>
      <c r="AH18"/>
      <c r="AI18"/>
      <c r="AJ18"/>
      <c r="AK18"/>
      <c r="AL18"/>
      <c r="AM18"/>
      <c r="AN18"/>
      <c r="AO18"/>
      <c r="AP18"/>
    </row>
    <row r="19" spans="2:42" ht="15.75">
      <c r="B19" s="652" t="s">
        <v>321</v>
      </c>
      <c r="C19" s="651"/>
      <c r="D19" s="651"/>
      <c r="E19" s="651"/>
      <c r="F19" s="651">
        <v>0</v>
      </c>
      <c r="G19" s="651"/>
      <c r="H19" s="651"/>
      <c r="I19" s="651">
        <v>0.82255599999999995</v>
      </c>
      <c r="J19" s="651">
        <v>7.875</v>
      </c>
      <c r="K19" s="651"/>
      <c r="L19" s="651"/>
      <c r="M19" s="651">
        <v>0.54942100000000005</v>
      </c>
      <c r="N19" s="651"/>
      <c r="O19" s="651">
        <v>4.7320000000000002</v>
      </c>
      <c r="P19" s="651"/>
      <c r="Q19" s="651"/>
      <c r="R19" s="651"/>
      <c r="S19" s="651"/>
      <c r="T19" s="651"/>
      <c r="U19" s="651"/>
      <c r="V19" s="655">
        <v>13.978977</v>
      </c>
      <c r="W19"/>
      <c r="X19"/>
      <c r="Y19"/>
      <c r="Z19"/>
      <c r="AA19"/>
      <c r="AB19"/>
      <c r="AC19"/>
      <c r="AD19"/>
      <c r="AE19"/>
      <c r="AF19"/>
      <c r="AG19"/>
      <c r="AH19"/>
      <c r="AI19"/>
      <c r="AJ19"/>
      <c r="AK19"/>
      <c r="AL19"/>
      <c r="AM19"/>
      <c r="AN19"/>
      <c r="AO19"/>
      <c r="AP19"/>
    </row>
    <row r="20" spans="2:42" ht="15.75">
      <c r="B20" s="652" t="s">
        <v>337</v>
      </c>
      <c r="C20" s="651"/>
      <c r="D20" s="651"/>
      <c r="E20" s="651">
        <v>5.8601640000000002</v>
      </c>
      <c r="F20" s="651">
        <v>1.4900869999999999</v>
      </c>
      <c r="G20" s="651">
        <v>0</v>
      </c>
      <c r="H20" s="651">
        <v>100.994443</v>
      </c>
      <c r="I20" s="651">
        <v>0.26655099999999998</v>
      </c>
      <c r="J20" s="651">
        <v>36.133000000000003</v>
      </c>
      <c r="K20" s="651"/>
      <c r="L20" s="651"/>
      <c r="M20" s="651">
        <v>4.0000000000000003E-5</v>
      </c>
      <c r="N20" s="651"/>
      <c r="O20" s="651">
        <v>4.4249999999999998</v>
      </c>
      <c r="P20" s="651"/>
      <c r="Q20" s="651"/>
      <c r="R20" s="651"/>
      <c r="S20" s="651"/>
      <c r="T20" s="651"/>
      <c r="U20" s="651"/>
      <c r="V20" s="655">
        <v>149.16928500000003</v>
      </c>
      <c r="W20"/>
      <c r="X20"/>
      <c r="Y20"/>
      <c r="Z20"/>
      <c r="AA20"/>
      <c r="AB20"/>
      <c r="AC20"/>
      <c r="AD20"/>
      <c r="AE20"/>
      <c r="AF20"/>
      <c r="AG20"/>
      <c r="AH20"/>
      <c r="AI20"/>
      <c r="AJ20"/>
      <c r="AK20"/>
      <c r="AL20"/>
      <c r="AM20"/>
      <c r="AN20"/>
      <c r="AO20"/>
      <c r="AP20"/>
    </row>
    <row r="21" spans="2:42" ht="15.75">
      <c r="B21" s="652" t="s">
        <v>308</v>
      </c>
      <c r="C21" s="651"/>
      <c r="D21" s="651"/>
      <c r="E21" s="651"/>
      <c r="F21" s="651">
        <v>0</v>
      </c>
      <c r="G21" s="651"/>
      <c r="H21" s="651"/>
      <c r="I21" s="651">
        <v>0.162296</v>
      </c>
      <c r="J21" s="651">
        <v>0.47499999999999998</v>
      </c>
      <c r="K21" s="651"/>
      <c r="L21" s="651"/>
      <c r="M21" s="651"/>
      <c r="N21" s="651"/>
      <c r="O21" s="651">
        <v>0.51700000000000002</v>
      </c>
      <c r="P21" s="651"/>
      <c r="Q21" s="651"/>
      <c r="R21" s="651"/>
      <c r="S21" s="651"/>
      <c r="T21" s="651"/>
      <c r="U21" s="651"/>
      <c r="V21" s="655">
        <v>1.154296</v>
      </c>
      <c r="W21"/>
      <c r="X21"/>
      <c r="Y21"/>
      <c r="Z21"/>
      <c r="AA21"/>
      <c r="AB21"/>
      <c r="AC21"/>
      <c r="AD21"/>
      <c r="AE21"/>
      <c r="AF21"/>
      <c r="AG21"/>
      <c r="AH21"/>
      <c r="AI21"/>
      <c r="AJ21"/>
      <c r="AK21"/>
      <c r="AL21"/>
      <c r="AM21"/>
      <c r="AN21"/>
      <c r="AO21"/>
      <c r="AP21"/>
    </row>
    <row r="22" spans="2:42" ht="15.75">
      <c r="B22" s="652" t="s">
        <v>314</v>
      </c>
      <c r="C22" s="651"/>
      <c r="D22" s="651"/>
      <c r="E22" s="651"/>
      <c r="F22" s="651">
        <v>0.50555899999999998</v>
      </c>
      <c r="G22" s="651"/>
      <c r="H22" s="651"/>
      <c r="I22" s="651">
        <v>1.942977</v>
      </c>
      <c r="J22" s="651">
        <v>1.6479999999999999</v>
      </c>
      <c r="K22" s="651"/>
      <c r="L22" s="651"/>
      <c r="M22" s="651">
        <v>1.8652999999999999E-2</v>
      </c>
      <c r="N22" s="651"/>
      <c r="O22" s="651">
        <v>5.4610000000000003</v>
      </c>
      <c r="P22" s="651"/>
      <c r="Q22" s="651"/>
      <c r="R22" s="651"/>
      <c r="S22" s="651"/>
      <c r="T22" s="651"/>
      <c r="U22" s="651"/>
      <c r="V22" s="655">
        <v>9.5761889999999994</v>
      </c>
      <c r="W22"/>
      <c r="X22"/>
      <c r="Y22"/>
      <c r="Z22"/>
      <c r="AA22"/>
      <c r="AB22"/>
      <c r="AC22"/>
      <c r="AD22"/>
      <c r="AE22"/>
      <c r="AF22"/>
      <c r="AG22"/>
      <c r="AH22"/>
      <c r="AI22"/>
      <c r="AJ22"/>
      <c r="AK22"/>
      <c r="AL22"/>
      <c r="AM22"/>
      <c r="AN22"/>
      <c r="AO22"/>
      <c r="AP22"/>
    </row>
    <row r="23" spans="2:42" ht="15.75">
      <c r="B23" s="652" t="s">
        <v>332</v>
      </c>
      <c r="C23" s="651"/>
      <c r="D23" s="651">
        <v>0</v>
      </c>
      <c r="E23" s="651"/>
      <c r="F23" s="651">
        <v>5.1573520000000004</v>
      </c>
      <c r="G23" s="651"/>
      <c r="H23" s="651"/>
      <c r="I23" s="651">
        <v>1.29373</v>
      </c>
      <c r="J23" s="651">
        <v>10.295999999999999</v>
      </c>
      <c r="K23" s="651"/>
      <c r="L23" s="651"/>
      <c r="M23" s="651">
        <v>0.40593800000000002</v>
      </c>
      <c r="N23" s="651"/>
      <c r="O23" s="651">
        <v>32.664000000000001</v>
      </c>
      <c r="P23" s="651"/>
      <c r="Q23" s="651"/>
      <c r="R23" s="651"/>
      <c r="S23" s="651"/>
      <c r="T23" s="651"/>
      <c r="U23" s="651"/>
      <c r="V23" s="655">
        <v>49.817019999999999</v>
      </c>
      <c r="W23"/>
      <c r="X23"/>
      <c r="Y23"/>
      <c r="Z23"/>
      <c r="AA23"/>
      <c r="AB23"/>
      <c r="AC23"/>
      <c r="AD23"/>
      <c r="AE23"/>
      <c r="AF23"/>
      <c r="AG23"/>
      <c r="AH23"/>
      <c r="AI23"/>
      <c r="AJ23"/>
      <c r="AK23"/>
      <c r="AL23"/>
      <c r="AM23"/>
      <c r="AN23"/>
      <c r="AO23"/>
      <c r="AP23"/>
    </row>
    <row r="24" spans="2:42" ht="15.75">
      <c r="B24" s="652" t="s">
        <v>331</v>
      </c>
      <c r="C24" s="651"/>
      <c r="D24" s="651"/>
      <c r="E24" s="651"/>
      <c r="F24" s="651">
        <v>2.3273769999999998</v>
      </c>
      <c r="G24" s="651"/>
      <c r="H24" s="651">
        <v>6.2199999999999998E-3</v>
      </c>
      <c r="I24" s="651">
        <v>0.152535</v>
      </c>
      <c r="J24" s="651">
        <v>4.1779999999999999</v>
      </c>
      <c r="K24" s="651"/>
      <c r="L24" s="651"/>
      <c r="M24" s="651">
        <v>0.14721300000000001</v>
      </c>
      <c r="N24" s="651"/>
      <c r="O24" s="651">
        <v>48.554000000000002</v>
      </c>
      <c r="P24" s="651"/>
      <c r="Q24" s="651"/>
      <c r="R24" s="651"/>
      <c r="S24" s="651"/>
      <c r="T24" s="651"/>
      <c r="U24" s="651"/>
      <c r="V24" s="655">
        <v>55.365345000000005</v>
      </c>
      <c r="W24"/>
      <c r="X24"/>
      <c r="Y24"/>
      <c r="Z24"/>
      <c r="AA24"/>
      <c r="AB24"/>
      <c r="AC24"/>
      <c r="AD24"/>
      <c r="AE24"/>
      <c r="AF24"/>
      <c r="AG24"/>
      <c r="AH24"/>
      <c r="AI24"/>
      <c r="AJ24"/>
      <c r="AK24"/>
      <c r="AL24"/>
      <c r="AM24"/>
      <c r="AN24"/>
      <c r="AO24"/>
      <c r="AP24"/>
    </row>
    <row r="25" spans="2:42" ht="15.75">
      <c r="B25" s="652" t="s">
        <v>338</v>
      </c>
      <c r="C25" s="651"/>
      <c r="D25" s="651"/>
      <c r="E25" s="651"/>
      <c r="F25" s="651">
        <v>2.9323039999999998</v>
      </c>
      <c r="G25" s="651">
        <v>65.126006000000004</v>
      </c>
      <c r="H25" s="651">
        <v>2.2635710000000002</v>
      </c>
      <c r="I25" s="651">
        <v>0.88261100000000003</v>
      </c>
      <c r="J25" s="651">
        <v>21.582000000000001</v>
      </c>
      <c r="K25" s="651"/>
      <c r="L25" s="651"/>
      <c r="M25" s="651">
        <v>6.2030000000000002E-3</v>
      </c>
      <c r="N25" s="651"/>
      <c r="O25" s="651">
        <v>115.285</v>
      </c>
      <c r="P25" s="651"/>
      <c r="Q25" s="651"/>
      <c r="R25" s="651"/>
      <c r="S25" s="651"/>
      <c r="T25" s="651"/>
      <c r="U25" s="651">
        <v>0</v>
      </c>
      <c r="V25" s="655">
        <v>208.07769500000001</v>
      </c>
      <c r="W25"/>
      <c r="X25"/>
      <c r="Y25"/>
      <c r="Z25"/>
      <c r="AA25"/>
      <c r="AB25"/>
      <c r="AC25"/>
      <c r="AD25"/>
      <c r="AE25"/>
      <c r="AF25"/>
      <c r="AG25"/>
      <c r="AH25"/>
      <c r="AI25"/>
      <c r="AJ25"/>
      <c r="AK25"/>
      <c r="AL25"/>
      <c r="AM25"/>
      <c r="AN25"/>
      <c r="AO25"/>
      <c r="AP25"/>
    </row>
    <row r="26" spans="2:42" ht="15.75">
      <c r="B26" s="652" t="s">
        <v>334</v>
      </c>
      <c r="C26" s="651"/>
      <c r="D26" s="651"/>
      <c r="E26" s="651"/>
      <c r="F26" s="651">
        <v>3.3719830000000002</v>
      </c>
      <c r="G26" s="651"/>
      <c r="H26" s="651">
        <v>1.9029609999999999</v>
      </c>
      <c r="I26" s="651">
        <v>4.1992229999999999</v>
      </c>
      <c r="J26" s="651">
        <v>17.125</v>
      </c>
      <c r="K26" s="651"/>
      <c r="L26" s="651"/>
      <c r="M26" s="651">
        <v>0.83927700000000005</v>
      </c>
      <c r="N26" s="651"/>
      <c r="O26" s="651">
        <v>66.287999999999997</v>
      </c>
      <c r="P26" s="651"/>
      <c r="Q26" s="651"/>
      <c r="R26" s="651"/>
      <c r="S26" s="651"/>
      <c r="T26" s="651"/>
      <c r="U26" s="651"/>
      <c r="V26" s="655">
        <v>93.726444000000001</v>
      </c>
      <c r="W26"/>
      <c r="X26"/>
      <c r="Y26"/>
      <c r="Z26"/>
      <c r="AA26"/>
      <c r="AB26"/>
      <c r="AC26"/>
      <c r="AD26"/>
      <c r="AE26"/>
      <c r="AF26"/>
      <c r="AG26"/>
      <c r="AH26"/>
      <c r="AI26"/>
      <c r="AJ26"/>
      <c r="AK26"/>
      <c r="AL26"/>
      <c r="AM26"/>
      <c r="AN26"/>
      <c r="AO26"/>
      <c r="AP26"/>
    </row>
    <row r="27" spans="2:42" ht="15.75">
      <c r="B27" s="652" t="s">
        <v>333</v>
      </c>
      <c r="C27" s="651"/>
      <c r="D27" s="651"/>
      <c r="E27" s="651"/>
      <c r="F27" s="651">
        <v>2.2258830000000001</v>
      </c>
      <c r="G27" s="651">
        <v>0</v>
      </c>
      <c r="H27" s="651">
        <v>0</v>
      </c>
      <c r="I27" s="651">
        <v>4.3686129999999999</v>
      </c>
      <c r="J27" s="651">
        <v>36.293999999999997</v>
      </c>
      <c r="K27" s="651"/>
      <c r="L27" s="651"/>
      <c r="M27" s="651">
        <v>9.3198019999999993</v>
      </c>
      <c r="N27" s="651"/>
      <c r="O27" s="651">
        <v>9.2739999999999991</v>
      </c>
      <c r="P27" s="651"/>
      <c r="Q27" s="651"/>
      <c r="R27" s="651"/>
      <c r="S27" s="651"/>
      <c r="T27" s="651"/>
      <c r="U27" s="651"/>
      <c r="V27" s="655">
        <v>61.482298</v>
      </c>
      <c r="W27"/>
      <c r="X27"/>
      <c r="Y27"/>
      <c r="Z27"/>
      <c r="AA27"/>
      <c r="AB27"/>
      <c r="AC27"/>
      <c r="AD27"/>
      <c r="AE27"/>
      <c r="AF27"/>
      <c r="AG27"/>
      <c r="AH27"/>
      <c r="AI27"/>
      <c r="AJ27"/>
      <c r="AK27"/>
      <c r="AL27"/>
      <c r="AM27"/>
      <c r="AN27"/>
      <c r="AO27"/>
      <c r="AP27"/>
    </row>
    <row r="28" spans="2:42" ht="15.75">
      <c r="B28" s="652" t="s">
        <v>329</v>
      </c>
      <c r="C28" s="651"/>
      <c r="D28" s="651">
        <v>4.2556149999999988</v>
      </c>
      <c r="E28" s="651">
        <v>94.208432999999999</v>
      </c>
      <c r="F28" s="651">
        <v>1.0112719999999999</v>
      </c>
      <c r="G28" s="651"/>
      <c r="H28" s="651">
        <v>5.9778859999999998</v>
      </c>
      <c r="I28" s="651">
        <v>35.364891</v>
      </c>
      <c r="J28" s="651">
        <v>376.97500000000002</v>
      </c>
      <c r="K28" s="651"/>
      <c r="L28" s="651">
        <v>0.38100000000000001</v>
      </c>
      <c r="M28" s="651">
        <v>30.583707</v>
      </c>
      <c r="N28" s="651"/>
      <c r="O28" s="651">
        <v>178.715</v>
      </c>
      <c r="P28" s="651">
        <v>0.85200500000000001</v>
      </c>
      <c r="Q28" s="651"/>
      <c r="R28" s="651"/>
      <c r="S28" s="651"/>
      <c r="T28" s="651"/>
      <c r="U28" s="651">
        <v>0</v>
      </c>
      <c r="V28" s="655">
        <v>728.32480899999996</v>
      </c>
      <c r="W28"/>
      <c r="X28"/>
      <c r="Y28"/>
      <c r="Z28"/>
      <c r="AA28"/>
      <c r="AB28"/>
      <c r="AC28"/>
      <c r="AD28"/>
      <c r="AE28"/>
      <c r="AF28"/>
      <c r="AG28"/>
      <c r="AH28"/>
      <c r="AI28"/>
      <c r="AJ28"/>
      <c r="AK28"/>
      <c r="AL28"/>
      <c r="AM28"/>
      <c r="AN28"/>
      <c r="AO28"/>
      <c r="AP28"/>
    </row>
    <row r="29" spans="2:42" ht="15.75">
      <c r="B29" s="652" t="s">
        <v>286</v>
      </c>
      <c r="C29" s="651"/>
      <c r="D29" s="651"/>
      <c r="E29" s="651"/>
      <c r="F29" s="651">
        <v>9.5646999999999996E-2</v>
      </c>
      <c r="G29" s="651"/>
      <c r="H29" s="651"/>
      <c r="I29" s="651">
        <v>0.43508999999999998</v>
      </c>
      <c r="J29" s="651">
        <v>5.117</v>
      </c>
      <c r="K29" s="651"/>
      <c r="L29" s="651"/>
      <c r="M29" s="651"/>
      <c r="N29" s="651"/>
      <c r="O29" s="651">
        <v>110.779</v>
      </c>
      <c r="P29" s="651">
        <v>0</v>
      </c>
      <c r="Q29" s="651"/>
      <c r="R29" s="651"/>
      <c r="S29" s="651"/>
      <c r="T29" s="651"/>
      <c r="U29" s="651"/>
      <c r="V29" s="655">
        <v>116.426737</v>
      </c>
      <c r="W29"/>
      <c r="X29"/>
      <c r="Y29"/>
      <c r="Z29"/>
      <c r="AA29"/>
      <c r="AB29"/>
      <c r="AC29"/>
      <c r="AD29"/>
      <c r="AE29"/>
      <c r="AF29"/>
      <c r="AG29"/>
      <c r="AH29"/>
      <c r="AI29"/>
      <c r="AJ29"/>
      <c r="AK29"/>
      <c r="AL29"/>
      <c r="AM29"/>
      <c r="AN29"/>
      <c r="AO29"/>
      <c r="AP29"/>
    </row>
    <row r="30" spans="2:42" ht="15.75">
      <c r="B30" s="650" t="s">
        <v>299</v>
      </c>
      <c r="C30" s="651"/>
      <c r="D30" s="651"/>
      <c r="E30" s="651"/>
      <c r="F30" s="651"/>
      <c r="G30" s="651"/>
      <c r="H30" s="651"/>
      <c r="I30" s="651">
        <v>4.3962430000000001</v>
      </c>
      <c r="J30" s="651">
        <v>274.64700000000005</v>
      </c>
      <c r="K30" s="651"/>
      <c r="L30" s="651">
        <v>6.8549999999999995</v>
      </c>
      <c r="M30" s="651">
        <v>321.98876200000001</v>
      </c>
      <c r="N30" s="651"/>
      <c r="O30" s="651">
        <v>44.9</v>
      </c>
      <c r="P30" s="651"/>
      <c r="Q30" s="651"/>
      <c r="R30" s="651"/>
      <c r="S30" s="651">
        <v>255.42239699999999</v>
      </c>
      <c r="T30" s="651"/>
      <c r="U30" s="651">
        <v>1.351008</v>
      </c>
      <c r="V30" s="655">
        <v>909.56041000000005</v>
      </c>
      <c r="W30"/>
      <c r="X30"/>
      <c r="Y30"/>
      <c r="Z30"/>
      <c r="AA30"/>
      <c r="AB30"/>
      <c r="AC30"/>
      <c r="AD30"/>
      <c r="AE30"/>
      <c r="AF30"/>
      <c r="AG30"/>
      <c r="AH30"/>
      <c r="AI30"/>
      <c r="AJ30"/>
      <c r="AK30"/>
      <c r="AL30"/>
      <c r="AM30"/>
      <c r="AN30"/>
      <c r="AO30"/>
      <c r="AP30"/>
    </row>
    <row r="31" spans="2:42" ht="15.75">
      <c r="B31" s="652" t="s">
        <v>298</v>
      </c>
      <c r="C31" s="651"/>
      <c r="D31" s="651"/>
      <c r="E31" s="651"/>
      <c r="F31" s="651"/>
      <c r="G31" s="651"/>
      <c r="H31" s="651"/>
      <c r="I31" s="651">
        <v>4.3962430000000001</v>
      </c>
      <c r="J31" s="651">
        <v>50.081000000000003</v>
      </c>
      <c r="K31" s="651"/>
      <c r="L31" s="651">
        <v>2.819</v>
      </c>
      <c r="M31" s="651">
        <v>65.030894000000004</v>
      </c>
      <c r="N31" s="651"/>
      <c r="O31" s="651">
        <v>11.097</v>
      </c>
      <c r="P31" s="651"/>
      <c r="Q31" s="651"/>
      <c r="R31" s="651"/>
      <c r="S31" s="651"/>
      <c r="T31" s="651"/>
      <c r="U31" s="651"/>
      <c r="V31" s="651">
        <v>133.424137</v>
      </c>
      <c r="W31"/>
      <c r="X31"/>
      <c r="Y31"/>
      <c r="Z31"/>
      <c r="AA31"/>
      <c r="AB31"/>
      <c r="AC31"/>
      <c r="AD31"/>
      <c r="AE31"/>
      <c r="AF31"/>
      <c r="AG31"/>
      <c r="AH31"/>
      <c r="AI31"/>
      <c r="AJ31"/>
      <c r="AK31"/>
      <c r="AL31"/>
      <c r="AM31"/>
      <c r="AN31"/>
      <c r="AO31"/>
      <c r="AP31"/>
    </row>
    <row r="32" spans="2:42" ht="15.75">
      <c r="B32" s="652" t="s">
        <v>297</v>
      </c>
      <c r="C32" s="651"/>
      <c r="D32" s="651"/>
      <c r="E32" s="651"/>
      <c r="F32" s="651"/>
      <c r="G32" s="651"/>
      <c r="H32" s="651"/>
      <c r="I32" s="651"/>
      <c r="J32" s="651">
        <v>33.427</v>
      </c>
      <c r="K32" s="651"/>
      <c r="L32" s="651"/>
      <c r="M32" s="651"/>
      <c r="N32" s="651"/>
      <c r="O32" s="651"/>
      <c r="P32" s="651"/>
      <c r="Q32" s="651"/>
      <c r="R32" s="651"/>
      <c r="S32" s="651"/>
      <c r="T32" s="651"/>
      <c r="U32" s="651"/>
      <c r="V32" s="651">
        <v>33.427</v>
      </c>
      <c r="W32"/>
      <c r="X32"/>
      <c r="Y32"/>
      <c r="Z32"/>
      <c r="AA32"/>
      <c r="AB32"/>
      <c r="AC32"/>
      <c r="AD32"/>
      <c r="AE32"/>
      <c r="AF32"/>
      <c r="AG32"/>
      <c r="AH32"/>
      <c r="AI32"/>
      <c r="AJ32"/>
      <c r="AK32"/>
      <c r="AL32"/>
      <c r="AM32"/>
      <c r="AN32"/>
      <c r="AO32"/>
      <c r="AP32"/>
    </row>
    <row r="33" spans="2:42" ht="15.75">
      <c r="B33" s="652" t="s">
        <v>281</v>
      </c>
      <c r="C33" s="651"/>
      <c r="D33" s="651"/>
      <c r="E33" s="651"/>
      <c r="F33" s="651"/>
      <c r="G33" s="651"/>
      <c r="H33" s="651"/>
      <c r="I33" s="651"/>
      <c r="J33" s="651">
        <v>191.13900000000001</v>
      </c>
      <c r="K33" s="651"/>
      <c r="L33" s="651">
        <v>4.0359999999999996</v>
      </c>
      <c r="M33" s="651">
        <v>256.95786800000002</v>
      </c>
      <c r="N33" s="651"/>
      <c r="O33" s="651">
        <v>33.802999999999997</v>
      </c>
      <c r="P33" s="651"/>
      <c r="Q33" s="651"/>
      <c r="R33" s="651"/>
      <c r="S33" s="651">
        <v>255.42239699999999</v>
      </c>
      <c r="T33" s="651"/>
      <c r="U33" s="651">
        <v>1.351008</v>
      </c>
      <c r="V33" s="651">
        <v>742.70927300000005</v>
      </c>
      <c r="W33"/>
      <c r="X33"/>
      <c r="Y33"/>
      <c r="Z33"/>
      <c r="AA33"/>
      <c r="AB33"/>
      <c r="AC33"/>
      <c r="AD33"/>
      <c r="AE33"/>
      <c r="AF33"/>
      <c r="AG33"/>
      <c r="AH33"/>
      <c r="AI33"/>
      <c r="AJ33"/>
      <c r="AK33"/>
      <c r="AL33"/>
      <c r="AM33"/>
      <c r="AN33"/>
      <c r="AO33"/>
      <c r="AP33"/>
    </row>
    <row r="34" spans="2:42" ht="15.75">
      <c r="B34" s="650" t="s">
        <v>303</v>
      </c>
      <c r="C34" s="651">
        <v>0</v>
      </c>
      <c r="D34" s="651"/>
      <c r="E34" s="651">
        <v>338.40859099999994</v>
      </c>
      <c r="F34" s="651">
        <v>408.60652299999998</v>
      </c>
      <c r="G34" s="651"/>
      <c r="H34" s="651"/>
      <c r="I34" s="651">
        <v>24.049492999999998</v>
      </c>
      <c r="J34" s="651"/>
      <c r="K34" s="651">
        <v>6.5296000000000003</v>
      </c>
      <c r="L34" s="651">
        <v>4.7E-2</v>
      </c>
      <c r="M34" s="651"/>
      <c r="N34" s="651"/>
      <c r="O34" s="651">
        <v>1137.5430000000001</v>
      </c>
      <c r="P34" s="651"/>
      <c r="Q34" s="651">
        <v>131.31599900000001</v>
      </c>
      <c r="R34" s="651">
        <v>98.798878999999999</v>
      </c>
      <c r="S34" s="651"/>
      <c r="T34" s="651">
        <v>122.597565</v>
      </c>
      <c r="U34" s="651"/>
      <c r="V34" s="651">
        <v>2267.8966499999997</v>
      </c>
      <c r="W34"/>
      <c r="X34"/>
      <c r="Y34"/>
      <c r="Z34"/>
      <c r="AA34"/>
      <c r="AB34"/>
      <c r="AC34"/>
      <c r="AD34"/>
      <c r="AE34"/>
      <c r="AF34"/>
      <c r="AG34"/>
      <c r="AH34"/>
      <c r="AI34"/>
      <c r="AJ34"/>
      <c r="AK34"/>
      <c r="AL34"/>
      <c r="AM34"/>
      <c r="AN34"/>
      <c r="AO34"/>
      <c r="AP34"/>
    </row>
    <row r="35" spans="2:42" ht="15.75">
      <c r="B35" s="652" t="s">
        <v>325</v>
      </c>
      <c r="C35" s="651"/>
      <c r="D35" s="651"/>
      <c r="E35" s="651">
        <v>298.21721077909376</v>
      </c>
      <c r="F35" s="651"/>
      <c r="G35" s="651"/>
      <c r="H35" s="651"/>
      <c r="I35" s="651"/>
      <c r="J35" s="651"/>
      <c r="K35" s="651"/>
      <c r="L35" s="651"/>
      <c r="M35" s="651"/>
      <c r="N35" s="651"/>
      <c r="O35" s="651"/>
      <c r="P35" s="651"/>
      <c r="Q35" s="651"/>
      <c r="R35" s="651"/>
      <c r="S35" s="651"/>
      <c r="T35" s="651"/>
      <c r="U35" s="651"/>
      <c r="V35" s="651">
        <v>298.21721077909376</v>
      </c>
      <c r="W35"/>
      <c r="X35"/>
      <c r="Y35"/>
      <c r="Z35"/>
      <c r="AA35"/>
      <c r="AB35"/>
      <c r="AC35"/>
      <c r="AD35"/>
      <c r="AE35"/>
      <c r="AF35"/>
      <c r="AG35"/>
      <c r="AH35"/>
      <c r="AI35"/>
      <c r="AJ35"/>
      <c r="AK35"/>
      <c r="AL35"/>
      <c r="AM35"/>
      <c r="AN35"/>
      <c r="AO35"/>
      <c r="AP35"/>
    </row>
    <row r="36" spans="2:42" ht="15.75">
      <c r="B36" s="652" t="s">
        <v>324</v>
      </c>
      <c r="C36" s="651"/>
      <c r="D36" s="651"/>
      <c r="E36" s="651"/>
      <c r="F36" s="651"/>
      <c r="G36" s="651"/>
      <c r="H36" s="651"/>
      <c r="I36" s="651"/>
      <c r="J36" s="651"/>
      <c r="K36" s="651"/>
      <c r="L36" s="651"/>
      <c r="M36" s="651"/>
      <c r="N36" s="651"/>
      <c r="O36" s="651">
        <v>1051.4445238765484</v>
      </c>
      <c r="P36" s="651"/>
      <c r="Q36" s="651"/>
      <c r="R36" s="651"/>
      <c r="S36" s="651"/>
      <c r="T36" s="651"/>
      <c r="U36" s="651"/>
      <c r="V36" s="651">
        <v>1051.4445238765484</v>
      </c>
      <c r="W36"/>
      <c r="X36"/>
      <c r="Y36"/>
      <c r="Z36"/>
      <c r="AA36"/>
      <c r="AB36"/>
      <c r="AC36"/>
      <c r="AD36"/>
      <c r="AE36"/>
      <c r="AF36"/>
      <c r="AG36"/>
      <c r="AH36"/>
      <c r="AI36"/>
      <c r="AJ36"/>
      <c r="AK36"/>
      <c r="AL36"/>
      <c r="AM36"/>
      <c r="AN36"/>
      <c r="AO36"/>
      <c r="AP36"/>
    </row>
    <row r="37" spans="2:42" ht="15.75">
      <c r="B37" s="652" t="s">
        <v>323</v>
      </c>
      <c r="C37" s="651"/>
      <c r="D37" s="651"/>
      <c r="E37" s="651"/>
      <c r="F37" s="651"/>
      <c r="G37" s="651"/>
      <c r="H37" s="651"/>
      <c r="I37" s="651"/>
      <c r="J37" s="651"/>
      <c r="K37" s="651"/>
      <c r="L37" s="651"/>
      <c r="M37" s="651"/>
      <c r="N37" s="651"/>
      <c r="O37" s="651">
        <v>16.284303395455634</v>
      </c>
      <c r="P37" s="651"/>
      <c r="Q37" s="651"/>
      <c r="R37" s="651"/>
      <c r="S37" s="651"/>
      <c r="T37" s="651"/>
      <c r="U37" s="651"/>
      <c r="V37" s="651">
        <v>16.284303395455634</v>
      </c>
      <c r="W37"/>
      <c r="X37"/>
      <c r="Y37"/>
      <c r="Z37"/>
      <c r="AA37"/>
      <c r="AB37"/>
      <c r="AC37"/>
      <c r="AD37"/>
      <c r="AE37"/>
      <c r="AF37"/>
      <c r="AG37"/>
      <c r="AH37"/>
      <c r="AI37"/>
      <c r="AJ37"/>
      <c r="AK37"/>
      <c r="AL37"/>
      <c r="AM37"/>
      <c r="AN37"/>
      <c r="AO37"/>
      <c r="AP37"/>
    </row>
    <row r="38" spans="2:42" ht="15.75">
      <c r="B38" s="652" t="s">
        <v>322</v>
      </c>
      <c r="C38" s="651"/>
      <c r="D38" s="651"/>
      <c r="E38" s="651"/>
      <c r="F38" s="651">
        <v>408.48248020040592</v>
      </c>
      <c r="G38" s="651"/>
      <c r="H38" s="651"/>
      <c r="I38" s="651"/>
      <c r="J38" s="651"/>
      <c r="K38" s="651"/>
      <c r="L38" s="651"/>
      <c r="M38" s="651"/>
      <c r="N38" s="651"/>
      <c r="O38" s="651"/>
      <c r="P38" s="651"/>
      <c r="Q38" s="651"/>
      <c r="R38" s="651"/>
      <c r="S38" s="651"/>
      <c r="T38" s="651"/>
      <c r="U38" s="651"/>
      <c r="V38" s="651">
        <v>408.48248020040592</v>
      </c>
      <c r="W38"/>
      <c r="X38"/>
      <c r="Y38"/>
      <c r="Z38"/>
      <c r="AA38"/>
      <c r="AB38"/>
      <c r="AC38"/>
      <c r="AD38"/>
      <c r="AE38"/>
      <c r="AF38"/>
      <c r="AG38"/>
      <c r="AH38"/>
      <c r="AI38"/>
      <c r="AJ38"/>
      <c r="AK38"/>
      <c r="AL38"/>
      <c r="AM38"/>
      <c r="AN38"/>
      <c r="AO38"/>
      <c r="AP38"/>
    </row>
    <row r="39" spans="2:42" ht="15.75">
      <c r="B39" s="652" t="s">
        <v>320</v>
      </c>
      <c r="C39" s="651">
        <v>0</v>
      </c>
      <c r="D39" s="651"/>
      <c r="E39" s="651"/>
      <c r="F39" s="651"/>
      <c r="G39" s="651"/>
      <c r="H39" s="651"/>
      <c r="I39" s="651"/>
      <c r="J39" s="651"/>
      <c r="K39" s="651"/>
      <c r="L39" s="651"/>
      <c r="M39" s="651"/>
      <c r="N39" s="651"/>
      <c r="O39" s="651"/>
      <c r="P39" s="651"/>
      <c r="Q39" s="651"/>
      <c r="R39" s="651"/>
      <c r="S39" s="651"/>
      <c r="T39" s="651"/>
      <c r="U39" s="651"/>
      <c r="V39" s="651">
        <v>0</v>
      </c>
      <c r="W39"/>
      <c r="X39"/>
      <c r="Y39"/>
      <c r="Z39"/>
      <c r="AA39"/>
      <c r="AB39"/>
      <c r="AC39"/>
      <c r="AD39"/>
      <c r="AE39"/>
      <c r="AF39"/>
      <c r="AG39"/>
      <c r="AH39"/>
      <c r="AI39"/>
      <c r="AJ39"/>
      <c r="AK39"/>
      <c r="AL39"/>
      <c r="AM39"/>
      <c r="AN39"/>
      <c r="AO39"/>
      <c r="AP39"/>
    </row>
    <row r="40" spans="2:42" ht="15.75">
      <c r="B40" s="652" t="s">
        <v>319</v>
      </c>
      <c r="C40" s="651"/>
      <c r="D40" s="651"/>
      <c r="E40" s="651"/>
      <c r="F40" s="651">
        <v>0.12404279959408351</v>
      </c>
      <c r="G40" s="651"/>
      <c r="H40" s="651"/>
      <c r="I40" s="651"/>
      <c r="J40" s="651"/>
      <c r="K40" s="651"/>
      <c r="L40" s="651"/>
      <c r="M40" s="651"/>
      <c r="N40" s="651"/>
      <c r="O40" s="651"/>
      <c r="P40" s="651"/>
      <c r="Q40" s="651"/>
      <c r="R40" s="651"/>
      <c r="S40" s="651"/>
      <c r="T40" s="651"/>
      <c r="U40" s="651"/>
      <c r="V40" s="651">
        <v>0.12404279959408351</v>
      </c>
      <c r="W40"/>
      <c r="X40"/>
      <c r="Y40"/>
      <c r="Z40"/>
      <c r="AA40"/>
      <c r="AB40"/>
      <c r="AC40"/>
      <c r="AD40"/>
      <c r="AE40"/>
      <c r="AF40"/>
      <c r="AG40"/>
      <c r="AH40"/>
      <c r="AI40"/>
      <c r="AJ40"/>
      <c r="AK40"/>
      <c r="AL40"/>
      <c r="AM40"/>
      <c r="AN40"/>
      <c r="AO40"/>
      <c r="AP40"/>
    </row>
    <row r="41" spans="2:42" ht="15.75">
      <c r="B41" s="652" t="s">
        <v>318</v>
      </c>
      <c r="C41" s="651"/>
      <c r="D41" s="651"/>
      <c r="E41" s="651"/>
      <c r="F41" s="651"/>
      <c r="G41" s="651"/>
      <c r="H41" s="651"/>
      <c r="I41" s="651"/>
      <c r="J41" s="651"/>
      <c r="K41" s="651">
        <v>6.5296000000000003</v>
      </c>
      <c r="L41" s="651"/>
      <c r="M41" s="651"/>
      <c r="N41" s="651"/>
      <c r="O41" s="651"/>
      <c r="P41" s="651"/>
      <c r="Q41" s="651"/>
      <c r="R41" s="651"/>
      <c r="S41" s="651"/>
      <c r="T41" s="651"/>
      <c r="U41" s="651"/>
      <c r="V41" s="651">
        <v>6.5296000000000003</v>
      </c>
      <c r="W41"/>
      <c r="X41"/>
      <c r="Y41"/>
      <c r="Z41"/>
      <c r="AA41"/>
      <c r="AB41"/>
      <c r="AC41"/>
      <c r="AD41"/>
      <c r="AE41"/>
      <c r="AF41"/>
      <c r="AG41"/>
      <c r="AH41"/>
      <c r="AI41"/>
      <c r="AJ41"/>
      <c r="AK41"/>
      <c r="AL41"/>
      <c r="AM41"/>
      <c r="AN41"/>
      <c r="AO41"/>
      <c r="AP41"/>
    </row>
    <row r="42" spans="2:42" ht="15.75">
      <c r="B42" s="652" t="s">
        <v>317</v>
      </c>
      <c r="C42" s="651">
        <v>0</v>
      </c>
      <c r="D42" s="651"/>
      <c r="E42" s="651"/>
      <c r="F42" s="651"/>
      <c r="G42" s="651"/>
      <c r="H42" s="651"/>
      <c r="I42" s="651"/>
      <c r="J42" s="651"/>
      <c r="K42" s="651"/>
      <c r="L42" s="651"/>
      <c r="M42" s="651"/>
      <c r="N42" s="651"/>
      <c r="O42" s="651"/>
      <c r="P42" s="651"/>
      <c r="Q42" s="651"/>
      <c r="R42" s="651"/>
      <c r="S42" s="651"/>
      <c r="T42" s="651"/>
      <c r="U42" s="651"/>
      <c r="V42" s="651">
        <v>0</v>
      </c>
      <c r="W42"/>
      <c r="X42"/>
      <c r="Y42"/>
      <c r="Z42"/>
      <c r="AA42"/>
      <c r="AB42"/>
      <c r="AC42"/>
      <c r="AD42"/>
      <c r="AE42"/>
      <c r="AF42"/>
      <c r="AG42"/>
      <c r="AH42"/>
      <c r="AI42"/>
      <c r="AJ42"/>
      <c r="AK42"/>
      <c r="AL42"/>
      <c r="AM42"/>
      <c r="AN42"/>
      <c r="AO42"/>
      <c r="AP42"/>
    </row>
    <row r="43" spans="2:42" ht="15.75">
      <c r="B43" s="652" t="s">
        <v>316</v>
      </c>
      <c r="C43" s="651">
        <v>0</v>
      </c>
      <c r="D43" s="651"/>
      <c r="E43" s="651"/>
      <c r="F43" s="651"/>
      <c r="G43" s="651"/>
      <c r="H43" s="651"/>
      <c r="I43" s="651"/>
      <c r="J43" s="651"/>
      <c r="K43" s="651"/>
      <c r="L43" s="651"/>
      <c r="M43" s="651"/>
      <c r="N43" s="651"/>
      <c r="O43" s="651"/>
      <c r="P43" s="651"/>
      <c r="Q43" s="651"/>
      <c r="R43" s="651"/>
      <c r="S43" s="651"/>
      <c r="T43" s="651"/>
      <c r="U43" s="651"/>
      <c r="V43" s="651">
        <v>0</v>
      </c>
      <c r="W43"/>
      <c r="X43"/>
      <c r="Y43"/>
      <c r="Z43"/>
      <c r="AA43"/>
      <c r="AB43"/>
      <c r="AC43"/>
      <c r="AD43"/>
      <c r="AE43"/>
      <c r="AF43"/>
      <c r="AG43"/>
      <c r="AH43"/>
      <c r="AI43"/>
      <c r="AJ43"/>
      <c r="AK43"/>
      <c r="AL43"/>
      <c r="AM43"/>
      <c r="AN43"/>
      <c r="AO43"/>
      <c r="AP43"/>
    </row>
    <row r="44" spans="2:42" ht="15.75">
      <c r="B44" s="652" t="s">
        <v>315</v>
      </c>
      <c r="C44" s="651"/>
      <c r="D44" s="651"/>
      <c r="E44" s="651"/>
      <c r="F44" s="651"/>
      <c r="G44" s="651"/>
      <c r="H44" s="651"/>
      <c r="I44" s="651"/>
      <c r="J44" s="651"/>
      <c r="K44" s="651"/>
      <c r="L44" s="651"/>
      <c r="M44" s="651"/>
      <c r="N44" s="651"/>
      <c r="O44" s="651"/>
      <c r="P44" s="651"/>
      <c r="Q44" s="651">
        <v>131.31599900000001</v>
      </c>
      <c r="R44" s="651"/>
      <c r="S44" s="651"/>
      <c r="T44" s="651"/>
      <c r="U44" s="651"/>
      <c r="V44" s="651">
        <v>131.31599900000001</v>
      </c>
      <c r="W44"/>
      <c r="X44"/>
      <c r="Y44"/>
      <c r="Z44"/>
      <c r="AA44"/>
      <c r="AB44"/>
      <c r="AC44"/>
      <c r="AD44"/>
      <c r="AE44"/>
      <c r="AF44"/>
      <c r="AG44"/>
      <c r="AH44"/>
      <c r="AI44"/>
      <c r="AJ44"/>
      <c r="AK44"/>
      <c r="AL44"/>
      <c r="AM44"/>
      <c r="AN44"/>
      <c r="AO44"/>
      <c r="AP44"/>
    </row>
    <row r="45" spans="2:42" ht="15.75">
      <c r="B45" s="652" t="s">
        <v>313</v>
      </c>
      <c r="C45" s="651"/>
      <c r="D45" s="651"/>
      <c r="E45" s="651"/>
      <c r="F45" s="651"/>
      <c r="G45" s="651"/>
      <c r="H45" s="651"/>
      <c r="I45" s="651"/>
      <c r="J45" s="651"/>
      <c r="K45" s="651"/>
      <c r="L45" s="651"/>
      <c r="M45" s="651"/>
      <c r="N45" s="651"/>
      <c r="O45" s="651"/>
      <c r="P45" s="651"/>
      <c r="Q45" s="651"/>
      <c r="R45" s="651">
        <v>98.798878999999999</v>
      </c>
      <c r="S45" s="651"/>
      <c r="T45" s="651"/>
      <c r="U45" s="651"/>
      <c r="V45" s="651">
        <v>98.798878999999999</v>
      </c>
      <c r="W45"/>
      <c r="X45"/>
      <c r="Y45"/>
      <c r="Z45"/>
      <c r="AA45"/>
      <c r="AB45"/>
      <c r="AC45"/>
      <c r="AD45"/>
      <c r="AE45"/>
      <c r="AF45"/>
      <c r="AG45"/>
      <c r="AH45"/>
      <c r="AI45"/>
      <c r="AJ45"/>
      <c r="AK45"/>
      <c r="AL45"/>
      <c r="AM45"/>
      <c r="AN45"/>
      <c r="AO45"/>
      <c r="AP45"/>
    </row>
    <row r="46" spans="2:42" ht="15.75">
      <c r="B46" s="652" t="s">
        <v>312</v>
      </c>
      <c r="C46" s="651"/>
      <c r="D46" s="651"/>
      <c r="E46" s="651">
        <v>40.19138022090619</v>
      </c>
      <c r="F46" s="651"/>
      <c r="G46" s="651"/>
      <c r="H46" s="651"/>
      <c r="I46" s="651"/>
      <c r="J46" s="651"/>
      <c r="K46" s="651"/>
      <c r="L46" s="651"/>
      <c r="M46" s="651"/>
      <c r="N46" s="651"/>
      <c r="O46" s="651"/>
      <c r="P46" s="651"/>
      <c r="Q46" s="651"/>
      <c r="R46" s="651"/>
      <c r="S46" s="651"/>
      <c r="T46" s="651"/>
      <c r="U46" s="651"/>
      <c r="V46" s="651">
        <v>40.19138022090619</v>
      </c>
      <c r="W46"/>
      <c r="X46"/>
      <c r="Y46"/>
      <c r="Z46"/>
      <c r="AA46"/>
      <c r="AB46"/>
      <c r="AC46"/>
      <c r="AD46"/>
      <c r="AE46"/>
      <c r="AF46"/>
      <c r="AG46"/>
      <c r="AH46"/>
      <c r="AI46"/>
      <c r="AJ46"/>
      <c r="AK46"/>
      <c r="AL46"/>
      <c r="AM46"/>
      <c r="AN46"/>
      <c r="AO46"/>
      <c r="AP46"/>
    </row>
    <row r="47" spans="2:42" ht="15.75">
      <c r="B47" s="652" t="s">
        <v>311</v>
      </c>
      <c r="C47" s="651"/>
      <c r="D47" s="651"/>
      <c r="E47" s="651"/>
      <c r="F47" s="651"/>
      <c r="G47" s="651"/>
      <c r="H47" s="651"/>
      <c r="I47" s="651"/>
      <c r="J47" s="651"/>
      <c r="K47" s="651"/>
      <c r="L47" s="651"/>
      <c r="M47" s="651"/>
      <c r="N47" s="651"/>
      <c r="O47" s="651"/>
      <c r="P47" s="651"/>
      <c r="Q47" s="651"/>
      <c r="R47" s="651"/>
      <c r="S47" s="651"/>
      <c r="T47" s="651">
        <v>122.597565</v>
      </c>
      <c r="U47" s="651"/>
      <c r="V47" s="651">
        <v>122.597565</v>
      </c>
      <c r="W47"/>
      <c r="X47"/>
      <c r="Y47"/>
      <c r="Z47"/>
      <c r="AA47"/>
      <c r="AB47"/>
      <c r="AC47"/>
      <c r="AD47"/>
      <c r="AE47"/>
      <c r="AF47"/>
      <c r="AG47"/>
      <c r="AH47"/>
      <c r="AI47"/>
      <c r="AJ47"/>
      <c r="AK47"/>
      <c r="AL47"/>
      <c r="AM47"/>
      <c r="AN47"/>
      <c r="AO47"/>
      <c r="AP47"/>
    </row>
    <row r="48" spans="2:42" ht="15.75">
      <c r="B48" s="652" t="s">
        <v>11</v>
      </c>
      <c r="C48" s="651"/>
      <c r="D48" s="651"/>
      <c r="E48" s="651"/>
      <c r="F48" s="651"/>
      <c r="G48" s="651"/>
      <c r="H48" s="651"/>
      <c r="I48" s="651"/>
      <c r="J48" s="651"/>
      <c r="K48" s="651"/>
      <c r="L48" s="651">
        <v>4.7E-2</v>
      </c>
      <c r="M48" s="651"/>
      <c r="N48" s="651"/>
      <c r="O48" s="651"/>
      <c r="P48" s="651"/>
      <c r="Q48" s="651"/>
      <c r="R48" s="651"/>
      <c r="S48" s="651"/>
      <c r="T48" s="651"/>
      <c r="U48" s="651"/>
      <c r="V48" s="651">
        <v>4.7E-2</v>
      </c>
      <c r="W48"/>
      <c r="X48"/>
      <c r="Y48"/>
      <c r="Z48"/>
      <c r="AA48"/>
      <c r="AB48"/>
      <c r="AC48"/>
      <c r="AD48"/>
      <c r="AE48"/>
      <c r="AF48"/>
      <c r="AG48"/>
      <c r="AH48"/>
      <c r="AI48"/>
      <c r="AJ48"/>
      <c r="AK48"/>
      <c r="AL48"/>
      <c r="AM48"/>
      <c r="AN48"/>
      <c r="AO48"/>
      <c r="AP48"/>
    </row>
    <row r="49" spans="2:42" ht="15.75">
      <c r="B49" s="652" t="s">
        <v>310</v>
      </c>
      <c r="C49" s="651"/>
      <c r="D49" s="651"/>
      <c r="E49" s="651"/>
      <c r="F49" s="651"/>
      <c r="G49" s="651"/>
      <c r="H49" s="651"/>
      <c r="I49" s="651">
        <v>24.049492999999998</v>
      </c>
      <c r="J49" s="651"/>
      <c r="K49" s="651"/>
      <c r="L49" s="651"/>
      <c r="M49" s="651"/>
      <c r="N49" s="651"/>
      <c r="O49" s="651"/>
      <c r="P49" s="651"/>
      <c r="Q49" s="651"/>
      <c r="R49" s="651"/>
      <c r="S49" s="651"/>
      <c r="T49" s="651"/>
      <c r="U49" s="651"/>
      <c r="V49" s="651">
        <v>24.049492999999998</v>
      </c>
      <c r="W49"/>
      <c r="X49"/>
      <c r="Y49"/>
      <c r="Z49"/>
      <c r="AA49"/>
      <c r="AB49"/>
      <c r="AC49"/>
      <c r="AD49"/>
      <c r="AE49"/>
      <c r="AF49"/>
      <c r="AG49"/>
      <c r="AH49"/>
      <c r="AI49"/>
      <c r="AJ49"/>
      <c r="AK49"/>
      <c r="AL49"/>
      <c r="AM49"/>
      <c r="AN49"/>
      <c r="AO49"/>
      <c r="AP49"/>
    </row>
    <row r="50" spans="2:42" ht="15.75">
      <c r="B50" s="652" t="s">
        <v>309</v>
      </c>
      <c r="C50" s="651">
        <v>0</v>
      </c>
      <c r="D50" s="651"/>
      <c r="E50" s="651"/>
      <c r="F50" s="651"/>
      <c r="G50" s="651"/>
      <c r="H50" s="651"/>
      <c r="I50" s="651"/>
      <c r="J50" s="651"/>
      <c r="K50" s="651"/>
      <c r="L50" s="651"/>
      <c r="M50" s="651"/>
      <c r="N50" s="651"/>
      <c r="O50" s="651"/>
      <c r="P50" s="651"/>
      <c r="Q50" s="651"/>
      <c r="R50" s="651"/>
      <c r="S50" s="651"/>
      <c r="T50" s="651"/>
      <c r="U50" s="651"/>
      <c r="V50" s="651">
        <v>0</v>
      </c>
      <c r="W50"/>
      <c r="X50"/>
      <c r="Y50"/>
      <c r="Z50"/>
      <c r="AA50"/>
      <c r="AB50"/>
      <c r="AC50"/>
      <c r="AD50"/>
      <c r="AE50"/>
      <c r="AF50"/>
      <c r="AG50"/>
      <c r="AH50"/>
      <c r="AI50"/>
      <c r="AJ50"/>
      <c r="AK50"/>
      <c r="AL50"/>
      <c r="AM50"/>
      <c r="AN50"/>
      <c r="AO50"/>
      <c r="AP50"/>
    </row>
    <row r="51" spans="2:42" ht="15.75">
      <c r="B51" s="652" t="s">
        <v>307</v>
      </c>
      <c r="C51" s="651"/>
      <c r="D51" s="651"/>
      <c r="E51" s="651"/>
      <c r="F51" s="651"/>
      <c r="G51" s="651"/>
      <c r="H51" s="651"/>
      <c r="I51" s="651"/>
      <c r="J51" s="651"/>
      <c r="K51" s="651"/>
      <c r="L51" s="651"/>
      <c r="M51" s="651"/>
      <c r="N51" s="651"/>
      <c r="O51" s="651">
        <v>69.814172727996038</v>
      </c>
      <c r="P51" s="651"/>
      <c r="Q51" s="651"/>
      <c r="R51" s="651"/>
      <c r="S51" s="651"/>
      <c r="T51" s="651"/>
      <c r="U51" s="651"/>
      <c r="V51" s="651">
        <v>69.814172727996038</v>
      </c>
      <c r="W51"/>
      <c r="X51"/>
      <c r="Y51"/>
      <c r="Z51"/>
      <c r="AA51"/>
      <c r="AB51"/>
      <c r="AC51"/>
      <c r="AD51"/>
      <c r="AE51"/>
      <c r="AF51"/>
      <c r="AG51"/>
      <c r="AH51"/>
      <c r="AI51"/>
      <c r="AJ51"/>
      <c r="AK51"/>
      <c r="AL51"/>
      <c r="AM51"/>
      <c r="AN51"/>
      <c r="AO51"/>
      <c r="AP51"/>
    </row>
    <row r="52" spans="2:42" ht="15.75">
      <c r="B52" s="652" t="s">
        <v>306</v>
      </c>
      <c r="C52" s="651">
        <v>0</v>
      </c>
      <c r="D52" s="651"/>
      <c r="E52" s="651"/>
      <c r="F52" s="651"/>
      <c r="G52" s="651"/>
      <c r="H52" s="651"/>
      <c r="I52" s="651"/>
      <c r="J52" s="651"/>
      <c r="K52" s="651"/>
      <c r="L52" s="651"/>
      <c r="M52" s="651"/>
      <c r="N52" s="651"/>
      <c r="O52" s="651"/>
      <c r="P52" s="651"/>
      <c r="Q52" s="651"/>
      <c r="R52" s="651"/>
      <c r="S52" s="651"/>
      <c r="T52" s="651"/>
      <c r="U52" s="651"/>
      <c r="V52" s="651">
        <v>0</v>
      </c>
      <c r="W52"/>
      <c r="X52"/>
      <c r="Y52"/>
      <c r="Z52"/>
      <c r="AA52"/>
      <c r="AB52"/>
      <c r="AC52"/>
      <c r="AD52"/>
      <c r="AE52"/>
      <c r="AF52"/>
      <c r="AG52"/>
      <c r="AH52"/>
      <c r="AI52"/>
      <c r="AJ52"/>
      <c r="AK52"/>
      <c r="AL52"/>
      <c r="AM52"/>
      <c r="AN52"/>
      <c r="AO52"/>
      <c r="AP52"/>
    </row>
    <row r="53" spans="2:42" ht="15.75">
      <c r="B53" s="652" t="s">
        <v>305</v>
      </c>
      <c r="C53" s="651"/>
      <c r="D53" s="651"/>
      <c r="E53" s="651"/>
      <c r="F53" s="651"/>
      <c r="G53" s="651"/>
      <c r="H53" s="651"/>
      <c r="I53" s="651"/>
      <c r="J53" s="651"/>
      <c r="K53" s="651"/>
      <c r="L53" s="651"/>
      <c r="M53" s="651"/>
      <c r="N53" s="651"/>
      <c r="O53" s="651">
        <v>0</v>
      </c>
      <c r="P53" s="651"/>
      <c r="Q53" s="651"/>
      <c r="R53" s="651"/>
      <c r="S53" s="651"/>
      <c r="T53" s="651"/>
      <c r="U53" s="651"/>
      <c r="V53" s="651">
        <v>0</v>
      </c>
      <c r="W53"/>
      <c r="X53"/>
      <c r="Y53"/>
      <c r="Z53"/>
      <c r="AA53"/>
      <c r="AB53"/>
      <c r="AC53"/>
      <c r="AD53"/>
      <c r="AE53"/>
      <c r="AF53"/>
      <c r="AG53"/>
      <c r="AH53"/>
      <c r="AI53"/>
      <c r="AJ53"/>
      <c r="AK53"/>
      <c r="AL53"/>
      <c r="AM53"/>
      <c r="AN53"/>
      <c r="AO53"/>
      <c r="AP53"/>
    </row>
    <row r="54" spans="2:42" ht="15.75">
      <c r="B54" s="652" t="s">
        <v>302</v>
      </c>
      <c r="C54" s="651">
        <v>0</v>
      </c>
      <c r="D54" s="651"/>
      <c r="E54" s="651"/>
      <c r="F54" s="651"/>
      <c r="G54" s="651"/>
      <c r="H54" s="651"/>
      <c r="I54" s="651"/>
      <c r="J54" s="651"/>
      <c r="K54" s="651"/>
      <c r="L54" s="651"/>
      <c r="M54" s="651"/>
      <c r="N54" s="651"/>
      <c r="O54" s="651"/>
      <c r="P54" s="651"/>
      <c r="Q54" s="651"/>
      <c r="R54" s="651"/>
      <c r="S54" s="651"/>
      <c r="T54" s="651"/>
      <c r="U54" s="651"/>
      <c r="V54" s="651">
        <v>0</v>
      </c>
      <c r="W54"/>
      <c r="X54"/>
      <c r="Y54"/>
      <c r="Z54"/>
      <c r="AA54"/>
      <c r="AB54"/>
      <c r="AC54"/>
      <c r="AD54"/>
      <c r="AE54"/>
      <c r="AF54"/>
      <c r="AG54"/>
      <c r="AH54"/>
      <c r="AI54"/>
      <c r="AJ54"/>
      <c r="AK54"/>
      <c r="AL54"/>
      <c r="AM54"/>
      <c r="AN54"/>
      <c r="AO54"/>
      <c r="AP54"/>
    </row>
    <row r="55" spans="2:42" ht="15.75">
      <c r="B55" s="650" t="s">
        <v>48</v>
      </c>
      <c r="C55" s="651"/>
      <c r="D55" s="651"/>
      <c r="E55" s="651"/>
      <c r="F55" s="651">
        <v>8.1303E-2</v>
      </c>
      <c r="G55" s="651"/>
      <c r="H55" s="651"/>
      <c r="I55" s="651">
        <v>603.70249200000001</v>
      </c>
      <c r="J55" s="651">
        <v>4.2269999999999994</v>
      </c>
      <c r="K55" s="651"/>
      <c r="L55" s="651"/>
      <c r="M55" s="651">
        <v>54.098236</v>
      </c>
      <c r="N55" s="651"/>
      <c r="O55" s="651">
        <v>0.86699999999999999</v>
      </c>
      <c r="P55" s="651">
        <v>1471.96045</v>
      </c>
      <c r="Q55" s="651"/>
      <c r="R55" s="651"/>
      <c r="S55" s="651"/>
      <c r="T55" s="651"/>
      <c r="U55" s="651">
        <v>126.329669</v>
      </c>
      <c r="V55" s="651">
        <v>2261.2661499999995</v>
      </c>
      <c r="W55"/>
      <c r="X55"/>
      <c r="Y55"/>
      <c r="Z55"/>
      <c r="AA55"/>
      <c r="AB55"/>
      <c r="AC55"/>
      <c r="AD55"/>
      <c r="AE55"/>
      <c r="AF55"/>
      <c r="AG55"/>
      <c r="AH55"/>
      <c r="AI55"/>
      <c r="AJ55"/>
      <c r="AK55"/>
      <c r="AL55"/>
      <c r="AM55"/>
      <c r="AN55"/>
      <c r="AO55"/>
      <c r="AP55"/>
    </row>
    <row r="56" spans="2:42" ht="15.75">
      <c r="B56" s="652" t="s">
        <v>296</v>
      </c>
      <c r="C56" s="651"/>
      <c r="D56" s="651"/>
      <c r="E56" s="651"/>
      <c r="F56" s="651"/>
      <c r="G56" s="651"/>
      <c r="H56" s="651"/>
      <c r="I56" s="651"/>
      <c r="J56" s="651"/>
      <c r="K56" s="651"/>
      <c r="L56" s="651"/>
      <c r="M56" s="651"/>
      <c r="N56" s="651"/>
      <c r="O56" s="651"/>
      <c r="P56" s="651">
        <v>0.85647499999999999</v>
      </c>
      <c r="Q56" s="651"/>
      <c r="R56" s="651"/>
      <c r="S56" s="651"/>
      <c r="T56" s="651"/>
      <c r="U56" s="651">
        <v>126.329669</v>
      </c>
      <c r="V56" s="651">
        <v>127.186144</v>
      </c>
      <c r="W56"/>
      <c r="X56"/>
      <c r="Y56"/>
      <c r="Z56"/>
      <c r="AA56"/>
      <c r="AB56"/>
      <c r="AC56"/>
      <c r="AD56"/>
      <c r="AE56"/>
      <c r="AF56"/>
      <c r="AG56"/>
      <c r="AH56"/>
      <c r="AI56"/>
      <c r="AJ56"/>
      <c r="AK56"/>
      <c r="AL56"/>
      <c r="AM56"/>
      <c r="AN56"/>
      <c r="AO56"/>
      <c r="AP56"/>
    </row>
    <row r="57" spans="2:42" ht="15.75">
      <c r="B57" s="652" t="s">
        <v>280</v>
      </c>
      <c r="C57" s="651"/>
      <c r="D57" s="651"/>
      <c r="E57" s="651"/>
      <c r="F57" s="651"/>
      <c r="G57" s="651"/>
      <c r="H57" s="651"/>
      <c r="I57" s="651">
        <v>548.57963900000004</v>
      </c>
      <c r="J57" s="651"/>
      <c r="K57" s="651"/>
      <c r="L57" s="651"/>
      <c r="M57" s="651">
        <v>54.098236</v>
      </c>
      <c r="N57" s="651"/>
      <c r="O57" s="651">
        <v>0.86699999999999999</v>
      </c>
      <c r="P57" s="651">
        <v>1471.103975</v>
      </c>
      <c r="Q57" s="651"/>
      <c r="R57" s="651"/>
      <c r="S57" s="651"/>
      <c r="T57" s="651"/>
      <c r="U57" s="651"/>
      <c r="V57" s="651">
        <v>2074.64885</v>
      </c>
      <c r="W57" s="323"/>
      <c r="X57" s="323"/>
      <c r="Y57" s="323"/>
      <c r="Z57" s="323"/>
      <c r="AA57" s="323"/>
      <c r="AB57" s="323"/>
      <c r="AC57" s="323"/>
      <c r="AD57" s="323"/>
      <c r="AE57" s="323"/>
      <c r="AF57" s="323"/>
      <c r="AG57" s="323"/>
      <c r="AH57" s="323"/>
      <c r="AI57" s="323"/>
      <c r="AJ57" s="323"/>
      <c r="AK57" s="323"/>
      <c r="AL57" s="323"/>
      <c r="AM57" s="323"/>
      <c r="AN57" s="323"/>
      <c r="AO57"/>
      <c r="AP57"/>
    </row>
    <row r="58" spans="2:42" ht="15.75">
      <c r="B58" s="652" t="s">
        <v>291</v>
      </c>
      <c r="C58" s="651"/>
      <c r="D58" s="651"/>
      <c r="E58" s="651"/>
      <c r="F58" s="651"/>
      <c r="G58" s="651"/>
      <c r="H58" s="651"/>
      <c r="I58" s="651"/>
      <c r="J58" s="651">
        <v>4.0659999999999998</v>
      </c>
      <c r="K58" s="651"/>
      <c r="L58" s="651"/>
      <c r="M58" s="651"/>
      <c r="N58" s="651"/>
      <c r="O58" s="651"/>
      <c r="P58" s="651"/>
      <c r="Q58" s="651"/>
      <c r="R58" s="651"/>
      <c r="S58" s="651"/>
      <c r="T58" s="651"/>
      <c r="U58" s="651"/>
      <c r="V58" s="651">
        <v>4.0659999999999998</v>
      </c>
      <c r="W58" s="323"/>
      <c r="X58" s="323"/>
      <c r="Y58" s="323"/>
      <c r="Z58" s="323"/>
      <c r="AA58" s="323"/>
      <c r="AB58" s="323"/>
      <c r="AC58" s="323"/>
      <c r="AD58" s="323"/>
      <c r="AE58" s="323"/>
      <c r="AF58" s="323"/>
      <c r="AG58" s="323"/>
      <c r="AH58" s="323"/>
      <c r="AI58" s="323"/>
      <c r="AJ58" s="323"/>
      <c r="AK58" s="323"/>
      <c r="AL58" s="323"/>
      <c r="AM58" s="323"/>
      <c r="AN58" s="323"/>
      <c r="AO58"/>
      <c r="AP58"/>
    </row>
    <row r="59" spans="2:42" ht="15.75">
      <c r="B59" s="652" t="s">
        <v>295</v>
      </c>
      <c r="C59" s="651"/>
      <c r="D59" s="651"/>
      <c r="E59" s="651"/>
      <c r="F59" s="651"/>
      <c r="G59" s="651"/>
      <c r="H59" s="651"/>
      <c r="I59" s="651">
        <v>26.448539</v>
      </c>
      <c r="J59" s="651">
        <v>0.161</v>
      </c>
      <c r="K59" s="651"/>
      <c r="L59" s="651"/>
      <c r="M59" s="651">
        <v>0</v>
      </c>
      <c r="N59" s="651"/>
      <c r="O59" s="651"/>
      <c r="P59" s="651">
        <v>0</v>
      </c>
      <c r="Q59" s="651"/>
      <c r="R59" s="651"/>
      <c r="S59" s="651"/>
      <c r="T59" s="651"/>
      <c r="U59" s="651"/>
      <c r="V59" s="651">
        <v>26.609539000000002</v>
      </c>
      <c r="W59" s="323"/>
      <c r="X59" s="323"/>
      <c r="Y59" s="323"/>
      <c r="Z59" s="323"/>
      <c r="AA59" s="323"/>
      <c r="AB59" s="323"/>
      <c r="AC59" s="323"/>
      <c r="AD59" s="323"/>
      <c r="AE59" s="323"/>
      <c r="AF59" s="323"/>
      <c r="AG59" s="323"/>
      <c r="AH59" s="323"/>
      <c r="AI59" s="323"/>
      <c r="AJ59" s="323"/>
      <c r="AK59" s="323"/>
      <c r="AL59" s="323"/>
      <c r="AM59" s="323"/>
      <c r="AN59" s="323"/>
      <c r="AO59"/>
      <c r="AP59"/>
    </row>
    <row r="60" spans="2:42" ht="15.75">
      <c r="B60" s="652" t="s">
        <v>292</v>
      </c>
      <c r="C60" s="651"/>
      <c r="D60" s="651"/>
      <c r="E60" s="651"/>
      <c r="F60" s="651">
        <v>8.1303E-2</v>
      </c>
      <c r="G60" s="651"/>
      <c r="H60" s="651"/>
      <c r="I60" s="651">
        <v>28.674313999999999</v>
      </c>
      <c r="J60" s="651"/>
      <c r="K60" s="651"/>
      <c r="L60" s="651"/>
      <c r="M60" s="651"/>
      <c r="N60" s="651"/>
      <c r="O60" s="651"/>
      <c r="P60" s="651"/>
      <c r="Q60" s="651"/>
      <c r="R60" s="651"/>
      <c r="S60" s="651"/>
      <c r="T60" s="651"/>
      <c r="U60" s="651"/>
      <c r="V60" s="651">
        <v>28.755616999999997</v>
      </c>
      <c r="W60" s="323"/>
      <c r="X60" s="323"/>
      <c r="Y60" s="323"/>
      <c r="Z60" s="323"/>
      <c r="AA60" s="323"/>
      <c r="AB60" s="323"/>
      <c r="AC60" s="323"/>
      <c r="AD60" s="323"/>
      <c r="AE60" s="323"/>
      <c r="AF60" s="323"/>
      <c r="AG60" s="323"/>
      <c r="AH60" s="323"/>
      <c r="AI60" s="323"/>
      <c r="AJ60" s="323"/>
      <c r="AK60" s="323"/>
      <c r="AL60" s="323"/>
      <c r="AM60" s="323"/>
      <c r="AN60" s="323"/>
      <c r="AO60"/>
      <c r="AP60"/>
    </row>
    <row r="61" spans="2:42" ht="15.75">
      <c r="B61" s="650" t="s">
        <v>46</v>
      </c>
      <c r="C61" s="651">
        <v>0</v>
      </c>
      <c r="D61" s="651">
        <v>63.782443000000001</v>
      </c>
      <c r="E61" s="651">
        <v>438.47718799999996</v>
      </c>
      <c r="F61" s="651">
        <v>434.04825899999997</v>
      </c>
      <c r="G61" s="651">
        <v>68.652737999999999</v>
      </c>
      <c r="H61" s="651">
        <v>111.145081</v>
      </c>
      <c r="I61" s="651">
        <v>812.22862199999997</v>
      </c>
      <c r="J61" s="651">
        <v>846.505</v>
      </c>
      <c r="K61" s="651">
        <v>6.5296000000000003</v>
      </c>
      <c r="L61" s="651">
        <v>7.2829999999999995</v>
      </c>
      <c r="M61" s="651">
        <v>426.08409399999999</v>
      </c>
      <c r="N61" s="651">
        <v>301.95241099999998</v>
      </c>
      <c r="O61" s="651">
        <v>2332.9719553876394</v>
      </c>
      <c r="P61" s="651">
        <v>1472.812455</v>
      </c>
      <c r="Q61" s="651">
        <v>131.31599900000001</v>
      </c>
      <c r="R61" s="651">
        <v>98.798878999999999</v>
      </c>
      <c r="S61" s="651">
        <v>255.42239699999999</v>
      </c>
      <c r="T61" s="651">
        <v>122.597565</v>
      </c>
      <c r="U61" s="651">
        <v>127.688801</v>
      </c>
      <c r="V61" s="651">
        <v>8058.2964873876399</v>
      </c>
      <c r="W61" s="323"/>
      <c r="X61" s="323"/>
      <c r="Y61" s="323"/>
      <c r="Z61" s="323"/>
      <c r="AA61" s="323"/>
      <c r="AB61" s="323"/>
      <c r="AC61" s="323"/>
      <c r="AD61" s="323"/>
      <c r="AE61" s="323"/>
      <c r="AF61" s="323"/>
      <c r="AG61" s="323"/>
      <c r="AH61" s="323"/>
      <c r="AI61" s="323"/>
      <c r="AJ61" s="323"/>
      <c r="AK61" s="323"/>
      <c r="AL61" s="323"/>
      <c r="AM61" s="323"/>
      <c r="AN61" s="323"/>
      <c r="AO61"/>
      <c r="AP61"/>
    </row>
    <row r="62" spans="2:42" ht="15.75">
      <c r="B62"/>
      <c r="C62"/>
      <c r="D62"/>
      <c r="E62"/>
      <c r="F62"/>
      <c r="G62"/>
      <c r="H62"/>
      <c r="I62"/>
      <c r="J62"/>
      <c r="K62"/>
      <c r="L62"/>
      <c r="M62"/>
      <c r="N62"/>
      <c r="O62"/>
      <c r="P62"/>
      <c r="Q62"/>
      <c r="R62"/>
      <c r="S62"/>
      <c r="T62"/>
      <c r="U62"/>
      <c r="V62" s="323"/>
      <c r="W62" s="323"/>
      <c r="X62" s="323"/>
      <c r="Y62" s="323"/>
      <c r="Z62" s="323"/>
      <c r="AA62" s="323"/>
      <c r="AB62" s="323"/>
      <c r="AC62" s="323"/>
      <c r="AD62" s="323"/>
      <c r="AE62" s="323"/>
      <c r="AF62" s="323"/>
      <c r="AG62" s="323"/>
      <c r="AH62" s="323"/>
      <c r="AI62" s="323"/>
      <c r="AJ62" s="323"/>
      <c r="AK62" s="323"/>
      <c r="AL62" s="323"/>
      <c r="AM62" s="323"/>
      <c r="AN62" s="323"/>
      <c r="AO62"/>
      <c r="AP62"/>
    </row>
    <row r="63" spans="2:42" ht="15.75">
      <c r="B63"/>
      <c r="C63"/>
      <c r="D63"/>
      <c r="E63"/>
      <c r="F63"/>
      <c r="G63"/>
      <c r="H63"/>
      <c r="I63"/>
      <c r="J63"/>
      <c r="K63"/>
      <c r="L63"/>
      <c r="M63"/>
      <c r="N63"/>
      <c r="O63"/>
      <c r="P63"/>
      <c r="Q63"/>
      <c r="R63"/>
      <c r="S63"/>
      <c r="T63"/>
      <c r="U63"/>
    </row>
    <row r="64" spans="2:42" ht="15.75">
      <c r="B64"/>
      <c r="C64"/>
      <c r="D64"/>
      <c r="E64"/>
      <c r="F64"/>
      <c r="G64"/>
      <c r="H64"/>
      <c r="I64"/>
      <c r="J64"/>
      <c r="K64"/>
      <c r="L64"/>
      <c r="M64"/>
      <c r="N64"/>
      <c r="O64"/>
      <c r="P64"/>
      <c r="Q64"/>
      <c r="R64"/>
      <c r="S64"/>
      <c r="T64"/>
      <c r="U64"/>
    </row>
    <row r="65" spans="2:21" ht="15.75">
      <c r="B65"/>
      <c r="C65"/>
      <c r="D65"/>
      <c r="E65"/>
      <c r="F65"/>
      <c r="G65"/>
      <c r="H65"/>
      <c r="I65"/>
      <c r="J65"/>
      <c r="K65"/>
      <c r="L65"/>
      <c r="M65"/>
      <c r="N65"/>
      <c r="O65"/>
      <c r="P65"/>
      <c r="Q65"/>
      <c r="R65"/>
      <c r="S65"/>
      <c r="T65"/>
      <c r="U65"/>
    </row>
    <row r="66" spans="2:21" ht="15.75">
      <c r="B66"/>
      <c r="C66"/>
      <c r="D66"/>
      <c r="E66"/>
      <c r="F66"/>
      <c r="G66"/>
      <c r="H66"/>
      <c r="I66"/>
      <c r="J66"/>
      <c r="K66"/>
      <c r="L66"/>
      <c r="M66"/>
      <c r="N66"/>
      <c r="O66"/>
      <c r="P66"/>
      <c r="Q66"/>
      <c r="R66"/>
      <c r="S66"/>
      <c r="T66"/>
      <c r="U66"/>
    </row>
    <row r="67" spans="2:21" ht="15.75">
      <c r="B67"/>
      <c r="C67"/>
      <c r="D67"/>
      <c r="E67"/>
      <c r="F67"/>
      <c r="G67"/>
      <c r="H67"/>
      <c r="I67"/>
      <c r="J67"/>
      <c r="K67"/>
      <c r="L67"/>
      <c r="M67"/>
      <c r="N67"/>
      <c r="O67"/>
      <c r="P67"/>
      <c r="Q67"/>
      <c r="R67"/>
      <c r="S67"/>
      <c r="T67"/>
      <c r="U67"/>
    </row>
    <row r="68" spans="2:21" ht="15.75">
      <c r="B68"/>
      <c r="C68"/>
      <c r="D68"/>
      <c r="E68"/>
      <c r="F68"/>
      <c r="G68"/>
      <c r="H68"/>
      <c r="I68"/>
      <c r="J68"/>
      <c r="K68"/>
      <c r="L68"/>
      <c r="M68"/>
      <c r="N68"/>
      <c r="O68"/>
      <c r="P68"/>
      <c r="Q68"/>
      <c r="R68"/>
      <c r="S68"/>
      <c r="T68"/>
      <c r="U68"/>
    </row>
    <row r="69" spans="2:21" ht="15.75">
      <c r="B69"/>
      <c r="C69"/>
      <c r="D69"/>
      <c r="E69"/>
      <c r="F69"/>
      <c r="G69"/>
      <c r="H69"/>
      <c r="I69"/>
      <c r="J69"/>
      <c r="K69"/>
      <c r="L69"/>
      <c r="M69"/>
      <c r="N69"/>
      <c r="O69"/>
      <c r="P69"/>
      <c r="Q69"/>
      <c r="R69"/>
      <c r="S69"/>
      <c r="T69"/>
      <c r="U69"/>
    </row>
    <row r="70" spans="2:21" ht="15.75">
      <c r="B70"/>
      <c r="C70"/>
      <c r="D70"/>
      <c r="E70"/>
      <c r="F70"/>
      <c r="G70"/>
      <c r="H70"/>
      <c r="I70"/>
      <c r="J70"/>
      <c r="K70"/>
      <c r="L70"/>
      <c r="M70"/>
      <c r="N70"/>
      <c r="O70"/>
      <c r="P70"/>
      <c r="Q70"/>
      <c r="R70"/>
      <c r="S70"/>
      <c r="T70"/>
      <c r="U70"/>
    </row>
    <row r="71" spans="2:21" ht="15.75">
      <c r="B71"/>
      <c r="C71"/>
      <c r="D71"/>
      <c r="E71"/>
      <c r="F71"/>
      <c r="G71"/>
      <c r="H71"/>
      <c r="I71"/>
      <c r="J71"/>
      <c r="K71"/>
      <c r="L71"/>
      <c r="M71"/>
      <c r="N71"/>
      <c r="O71"/>
      <c r="P71"/>
      <c r="Q71"/>
      <c r="R71"/>
      <c r="S71"/>
      <c r="T71"/>
      <c r="U71"/>
    </row>
    <row r="72" spans="2:21" ht="15.75">
      <c r="B72"/>
      <c r="C72"/>
      <c r="D72"/>
      <c r="E72"/>
      <c r="F72"/>
      <c r="G72"/>
      <c r="H72"/>
      <c r="I72"/>
      <c r="J72"/>
      <c r="K72"/>
      <c r="L72"/>
      <c r="M72"/>
      <c r="N72"/>
      <c r="O72"/>
      <c r="P72"/>
      <c r="Q72"/>
      <c r="R72"/>
      <c r="S72"/>
      <c r="T72"/>
      <c r="U72"/>
    </row>
    <row r="73" spans="2:21" ht="15.75">
      <c r="B73"/>
      <c r="C73"/>
      <c r="D73"/>
      <c r="E73"/>
      <c r="F73"/>
      <c r="G73"/>
      <c r="H73"/>
      <c r="I73"/>
      <c r="J73"/>
      <c r="K73"/>
      <c r="L73"/>
      <c r="M73"/>
      <c r="N73"/>
      <c r="O73"/>
      <c r="P73"/>
      <c r="Q73"/>
      <c r="R73"/>
      <c r="S73"/>
      <c r="T73"/>
      <c r="U73"/>
    </row>
    <row r="74" spans="2:21" ht="15.75">
      <c r="B74"/>
      <c r="C74"/>
      <c r="D74"/>
      <c r="E74"/>
      <c r="F74"/>
      <c r="G74"/>
      <c r="H74"/>
      <c r="I74"/>
      <c r="J74"/>
      <c r="K74"/>
      <c r="L74"/>
      <c r="M74"/>
      <c r="N74"/>
      <c r="O74"/>
      <c r="P74"/>
      <c r="Q74"/>
      <c r="R74"/>
      <c r="S74"/>
      <c r="T74"/>
      <c r="U74"/>
    </row>
    <row r="75" spans="2:21" ht="15.75">
      <c r="B75"/>
      <c r="C75"/>
      <c r="D75"/>
      <c r="E75"/>
      <c r="F75"/>
      <c r="G75"/>
      <c r="H75"/>
      <c r="I75"/>
      <c r="J75"/>
      <c r="K75"/>
      <c r="L75"/>
      <c r="M75"/>
      <c r="N75"/>
      <c r="O75"/>
      <c r="P75"/>
      <c r="Q75"/>
      <c r="R75"/>
      <c r="S75"/>
      <c r="T75"/>
      <c r="U75"/>
    </row>
    <row r="76" spans="2:21" ht="15.75">
      <c r="B76"/>
      <c r="C76"/>
      <c r="D76"/>
      <c r="E76"/>
      <c r="F76"/>
      <c r="G76"/>
      <c r="H76"/>
      <c r="I76"/>
      <c r="J76"/>
      <c r="K76"/>
      <c r="L76"/>
      <c r="M76"/>
      <c r="N76"/>
      <c r="O76"/>
      <c r="P76"/>
      <c r="Q76"/>
      <c r="R76"/>
      <c r="S76"/>
      <c r="T76"/>
      <c r="U76"/>
    </row>
    <row r="77" spans="2:21" ht="15.75">
      <c r="B77"/>
      <c r="C77"/>
      <c r="D77"/>
      <c r="E77"/>
      <c r="F77"/>
      <c r="G77"/>
      <c r="H77"/>
      <c r="I77"/>
      <c r="J77"/>
      <c r="K77"/>
      <c r="L77"/>
      <c r="M77"/>
      <c r="N77"/>
      <c r="O77"/>
      <c r="P77"/>
      <c r="Q77"/>
      <c r="R77"/>
      <c r="S77"/>
      <c r="T77"/>
      <c r="U77"/>
    </row>
    <row r="78" spans="2:21" ht="15.75">
      <c r="B78"/>
      <c r="C78"/>
      <c r="D78"/>
      <c r="E78"/>
      <c r="F78"/>
      <c r="G78"/>
      <c r="H78"/>
      <c r="I78"/>
      <c r="J78"/>
      <c r="K78"/>
      <c r="L78"/>
      <c r="M78"/>
      <c r="N78"/>
      <c r="O78"/>
      <c r="P78"/>
      <c r="Q78"/>
      <c r="R78"/>
      <c r="S78"/>
      <c r="T78"/>
      <c r="U78"/>
    </row>
    <row r="79" spans="2:21" ht="15.75">
      <c r="B79"/>
      <c r="C79"/>
      <c r="D79"/>
      <c r="E79"/>
      <c r="F79"/>
      <c r="G79"/>
      <c r="H79"/>
      <c r="I79"/>
      <c r="J79"/>
      <c r="K79"/>
      <c r="L79"/>
      <c r="M79"/>
      <c r="N79"/>
      <c r="O79"/>
      <c r="P79"/>
      <c r="Q79"/>
      <c r="R79"/>
      <c r="S79"/>
      <c r="T79"/>
      <c r="U79"/>
    </row>
    <row r="80" spans="2:21" ht="15.75">
      <c r="B80"/>
      <c r="C80"/>
      <c r="D80"/>
      <c r="E80"/>
      <c r="F80"/>
      <c r="G80"/>
      <c r="H80"/>
      <c r="I80"/>
      <c r="J80"/>
      <c r="K80"/>
      <c r="L80"/>
      <c r="M80"/>
      <c r="N80"/>
      <c r="O80"/>
      <c r="P80"/>
      <c r="Q80"/>
      <c r="R80"/>
      <c r="S80"/>
      <c r="T80"/>
      <c r="U80"/>
    </row>
    <row r="81" spans="2:21" ht="15.75">
      <c r="B81"/>
      <c r="C81"/>
      <c r="D81"/>
      <c r="E81"/>
      <c r="F81"/>
      <c r="G81"/>
      <c r="H81"/>
      <c r="I81"/>
      <c r="J81"/>
      <c r="K81"/>
      <c r="L81"/>
      <c r="M81"/>
      <c r="N81"/>
      <c r="O81"/>
      <c r="P81"/>
      <c r="Q81"/>
      <c r="R81"/>
      <c r="S81"/>
      <c r="T81"/>
      <c r="U81"/>
    </row>
    <row r="82" spans="2:21" ht="15.75">
      <c r="B82"/>
      <c r="C82"/>
      <c r="D82"/>
      <c r="E82"/>
      <c r="F82"/>
      <c r="G82"/>
      <c r="H82"/>
      <c r="I82"/>
      <c r="J82"/>
      <c r="K82"/>
      <c r="L82"/>
      <c r="M82"/>
      <c r="N82"/>
      <c r="O82"/>
      <c r="P82"/>
      <c r="Q82"/>
      <c r="R82"/>
      <c r="S82"/>
      <c r="T82"/>
      <c r="U82"/>
    </row>
    <row r="83" spans="2:21" ht="15.75">
      <c r="B83"/>
      <c r="C83"/>
      <c r="D83"/>
      <c r="E83"/>
      <c r="F83"/>
      <c r="G83"/>
      <c r="H83"/>
      <c r="I83"/>
      <c r="J83"/>
      <c r="K83"/>
      <c r="L83"/>
      <c r="M83"/>
      <c r="N83"/>
      <c r="O83"/>
      <c r="P83"/>
      <c r="Q83"/>
      <c r="R83"/>
      <c r="S83"/>
      <c r="T83"/>
      <c r="U83"/>
    </row>
    <row r="84" spans="2:21" ht="15.75">
      <c r="B84"/>
      <c r="C84"/>
      <c r="D84"/>
      <c r="E84"/>
      <c r="F84"/>
      <c r="G84"/>
      <c r="H84"/>
      <c r="I84"/>
      <c r="J84"/>
      <c r="K84"/>
      <c r="L84"/>
      <c r="M84"/>
      <c r="N84"/>
      <c r="O84"/>
      <c r="P84"/>
      <c r="Q84"/>
      <c r="R84"/>
      <c r="S84"/>
      <c r="T84"/>
      <c r="U84"/>
    </row>
    <row r="85" spans="2:21" ht="15.75">
      <c r="B85"/>
      <c r="C85"/>
      <c r="D85"/>
      <c r="E85"/>
      <c r="F85"/>
      <c r="G85"/>
      <c r="H85"/>
      <c r="I85"/>
      <c r="J85"/>
      <c r="K85"/>
      <c r="L85"/>
      <c r="M85"/>
      <c r="N85"/>
      <c r="O85"/>
      <c r="P85"/>
      <c r="Q85"/>
      <c r="R85"/>
      <c r="S85"/>
      <c r="T85"/>
      <c r="U85"/>
    </row>
    <row r="86" spans="2:21" ht="15.75">
      <c r="B86"/>
      <c r="C86"/>
      <c r="D86"/>
      <c r="E86"/>
      <c r="F86"/>
      <c r="G86"/>
      <c r="H86"/>
      <c r="I86"/>
      <c r="J86"/>
      <c r="K86"/>
      <c r="L86"/>
      <c r="M86"/>
      <c r="N86"/>
      <c r="O86"/>
      <c r="P86"/>
      <c r="Q86"/>
      <c r="R86"/>
      <c r="S86"/>
      <c r="T86"/>
      <c r="U86"/>
    </row>
    <row r="87" spans="2:21" ht="15.75">
      <c r="B87"/>
      <c r="C87"/>
      <c r="D87"/>
      <c r="E87"/>
      <c r="F87"/>
      <c r="G87"/>
      <c r="H87"/>
      <c r="I87"/>
      <c r="J87"/>
      <c r="K87"/>
      <c r="L87"/>
      <c r="M87"/>
      <c r="N87"/>
      <c r="O87"/>
      <c r="P87"/>
      <c r="Q87"/>
      <c r="R87"/>
      <c r="S87"/>
      <c r="T87"/>
      <c r="U87"/>
    </row>
    <row r="88" spans="2:21" ht="15.75">
      <c r="B88"/>
      <c r="C88"/>
      <c r="D88"/>
      <c r="E88"/>
      <c r="F88"/>
      <c r="G88"/>
      <c r="H88"/>
      <c r="I88"/>
      <c r="J88"/>
      <c r="K88"/>
      <c r="L88"/>
      <c r="M88"/>
      <c r="N88"/>
      <c r="O88"/>
      <c r="P88"/>
      <c r="Q88"/>
      <c r="R88"/>
      <c r="S88"/>
      <c r="T88"/>
      <c r="U88"/>
    </row>
    <row r="89" spans="2:21" ht="15.75">
      <c r="B89"/>
      <c r="C89"/>
      <c r="D89"/>
      <c r="E89"/>
      <c r="F89"/>
      <c r="G89"/>
      <c r="H89"/>
      <c r="I89"/>
      <c r="J89"/>
      <c r="K89"/>
      <c r="L89"/>
      <c r="M89"/>
      <c r="N89"/>
      <c r="O89"/>
      <c r="P89"/>
      <c r="Q89"/>
      <c r="R89"/>
      <c r="S89"/>
      <c r="T89"/>
      <c r="U89"/>
    </row>
    <row r="90" spans="2:21" ht="15.75">
      <c r="B90"/>
      <c r="C90"/>
      <c r="D90"/>
      <c r="E90"/>
      <c r="F90"/>
      <c r="G90"/>
      <c r="H90"/>
      <c r="I90"/>
      <c r="J90"/>
      <c r="K90"/>
      <c r="L90"/>
      <c r="M90"/>
      <c r="N90"/>
      <c r="O90"/>
      <c r="P90"/>
      <c r="Q90"/>
      <c r="R90"/>
      <c r="S90"/>
      <c r="T90"/>
      <c r="U90"/>
    </row>
    <row r="91" spans="2:21" ht="15.75">
      <c r="B91"/>
      <c r="C91"/>
      <c r="D91"/>
      <c r="E91"/>
      <c r="F91"/>
      <c r="G91"/>
      <c r="H91"/>
      <c r="I91"/>
      <c r="J91"/>
      <c r="K91"/>
      <c r="L91"/>
      <c r="M91"/>
      <c r="N91"/>
      <c r="O91"/>
      <c r="P91"/>
      <c r="Q91"/>
      <c r="R91"/>
      <c r="S91"/>
      <c r="T91"/>
      <c r="U91"/>
    </row>
    <row r="92" spans="2:21" ht="15.75">
      <c r="B92"/>
      <c r="C92"/>
      <c r="D92"/>
      <c r="E92"/>
      <c r="F92"/>
      <c r="G92"/>
      <c r="H92"/>
      <c r="I92"/>
      <c r="J92"/>
      <c r="K92"/>
      <c r="L92"/>
      <c r="M92"/>
      <c r="N92"/>
      <c r="O92"/>
      <c r="P92"/>
      <c r="Q92"/>
      <c r="R92"/>
      <c r="S92"/>
      <c r="T92"/>
      <c r="U92"/>
    </row>
    <row r="93" spans="2:21" ht="15.75">
      <c r="B93"/>
      <c r="C93"/>
      <c r="D93"/>
      <c r="E93"/>
      <c r="F93"/>
      <c r="G93"/>
      <c r="H93"/>
      <c r="I93"/>
      <c r="J93"/>
      <c r="K93"/>
      <c r="L93"/>
      <c r="M93"/>
      <c r="N93"/>
      <c r="O93"/>
      <c r="P93"/>
      <c r="Q93"/>
      <c r="R93"/>
      <c r="S93"/>
      <c r="T93"/>
      <c r="U93"/>
    </row>
    <row r="94" spans="2:21" ht="15.75">
      <c r="B94"/>
      <c r="C94"/>
      <c r="D94"/>
      <c r="E94"/>
      <c r="F94"/>
      <c r="G94"/>
      <c r="H94"/>
      <c r="I94"/>
      <c r="J94"/>
      <c r="K94"/>
      <c r="L94"/>
      <c r="M94"/>
      <c r="N94"/>
      <c r="O94"/>
      <c r="P94"/>
      <c r="Q94"/>
      <c r="R94"/>
      <c r="S94"/>
      <c r="T94"/>
      <c r="U94"/>
    </row>
    <row r="95" spans="2:21" ht="15.75">
      <c r="B95"/>
      <c r="C95"/>
      <c r="D95"/>
      <c r="E95"/>
      <c r="F95"/>
      <c r="G95"/>
      <c r="H95"/>
      <c r="I95"/>
      <c r="J95"/>
      <c r="K95"/>
      <c r="L95"/>
      <c r="M95"/>
      <c r="N95"/>
      <c r="O95"/>
      <c r="P95"/>
      <c r="Q95"/>
      <c r="R95"/>
      <c r="S95"/>
      <c r="T95"/>
      <c r="U95"/>
    </row>
    <row r="96" spans="2:21" ht="15.75">
      <c r="B96"/>
      <c r="C96"/>
      <c r="D96"/>
      <c r="E96"/>
      <c r="F96"/>
      <c r="G96"/>
      <c r="H96"/>
      <c r="I96"/>
      <c r="J96"/>
      <c r="K96"/>
      <c r="L96"/>
      <c r="M96"/>
      <c r="N96"/>
      <c r="O96"/>
      <c r="P96"/>
      <c r="Q96"/>
      <c r="R96"/>
      <c r="S96"/>
      <c r="T96"/>
      <c r="U96"/>
    </row>
    <row r="97" spans="2:21" ht="15.75">
      <c r="B97"/>
      <c r="C97"/>
      <c r="D97"/>
      <c r="E97"/>
      <c r="F97"/>
      <c r="G97"/>
      <c r="H97"/>
      <c r="I97"/>
      <c r="J97"/>
      <c r="K97"/>
      <c r="L97"/>
      <c r="M97"/>
      <c r="N97"/>
      <c r="O97"/>
      <c r="P97"/>
      <c r="Q97"/>
      <c r="R97"/>
      <c r="S97"/>
      <c r="T97"/>
      <c r="U97"/>
    </row>
    <row r="98" spans="2:21" ht="15.75">
      <c r="B98"/>
      <c r="C98"/>
      <c r="D98"/>
      <c r="E98"/>
      <c r="F98"/>
      <c r="G98"/>
      <c r="H98"/>
      <c r="I98"/>
      <c r="J98"/>
      <c r="K98"/>
      <c r="L98"/>
      <c r="M98"/>
      <c r="N98"/>
      <c r="O98"/>
      <c r="P98"/>
      <c r="Q98"/>
      <c r="R98"/>
      <c r="S98"/>
      <c r="T98"/>
      <c r="U98"/>
    </row>
    <row r="99" spans="2:21" ht="15.75">
      <c r="B99"/>
      <c r="C99"/>
      <c r="D99"/>
      <c r="E99"/>
      <c r="F99"/>
      <c r="G99"/>
      <c r="H99"/>
      <c r="I99"/>
      <c r="J99"/>
      <c r="K99"/>
      <c r="L99"/>
      <c r="M99"/>
      <c r="N99"/>
      <c r="O99"/>
      <c r="P99"/>
      <c r="Q99"/>
      <c r="R99"/>
      <c r="S99"/>
      <c r="T99"/>
      <c r="U99"/>
    </row>
    <row r="100" spans="2:21" ht="15.75">
      <c r="B100"/>
      <c r="C100"/>
      <c r="D100"/>
      <c r="E100"/>
      <c r="F100"/>
      <c r="G100"/>
      <c r="H100"/>
      <c r="I100"/>
      <c r="J100"/>
      <c r="K100"/>
      <c r="L100"/>
      <c r="M100"/>
      <c r="N100"/>
      <c r="O100"/>
      <c r="P100"/>
      <c r="Q100"/>
      <c r="R100"/>
      <c r="S100"/>
      <c r="T100"/>
      <c r="U100"/>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B1:L36"/>
  <sheetViews>
    <sheetView topLeftCell="B1" zoomScale="110" zoomScaleNormal="110" workbookViewId="0">
      <selection activeCell="B27" sqref="B27"/>
    </sheetView>
  </sheetViews>
  <sheetFormatPr baseColWidth="10" defaultColWidth="11" defaultRowHeight="12.75"/>
  <cols>
    <col min="1" max="1" width="3.125" style="184" customWidth="1"/>
    <col min="2" max="2" width="71.625" style="184" customWidth="1"/>
    <col min="3" max="3" width="17" style="184" customWidth="1"/>
    <col min="4" max="4" width="16.375" style="184" customWidth="1"/>
    <col min="5" max="5" width="16.125" style="184" customWidth="1"/>
    <col min="6" max="6" width="17.125" style="228" customWidth="1"/>
    <col min="7" max="7" width="21.625" style="228" customWidth="1"/>
    <col min="8" max="8" width="14.125" style="228" customWidth="1"/>
    <col min="9" max="9" width="11" style="184" bestFit="1" customWidth="1"/>
    <col min="10" max="10" width="32.875" style="184" bestFit="1" customWidth="1"/>
    <col min="11" max="16384" width="11" style="184"/>
  </cols>
  <sheetData>
    <row r="1" spans="2:9">
      <c r="F1" s="227"/>
      <c r="G1" s="227"/>
      <c r="H1" s="227"/>
    </row>
    <row r="2" spans="2:9">
      <c r="B2" s="687" t="s">
        <v>402</v>
      </c>
      <c r="C2" s="687"/>
      <c r="D2" s="687"/>
      <c r="E2" s="687"/>
      <c r="F2" s="687"/>
      <c r="G2" s="687"/>
    </row>
    <row r="3" spans="2:9">
      <c r="B3" s="687"/>
      <c r="C3" s="687"/>
      <c r="D3" s="687"/>
      <c r="E3" s="687"/>
      <c r="F3" s="687"/>
      <c r="G3" s="687"/>
    </row>
    <row r="4" spans="2:9">
      <c r="B4" s="687"/>
      <c r="C4" s="687"/>
      <c r="D4" s="687"/>
      <c r="E4" s="687"/>
      <c r="F4" s="687"/>
      <c r="G4" s="687"/>
    </row>
    <row r="5" spans="2:9" ht="13.5" thickBot="1"/>
    <row r="6" spans="2:9" ht="27" thickTop="1" thickBot="1">
      <c r="B6" s="229" t="s">
        <v>403</v>
      </c>
      <c r="C6" s="230" t="s">
        <v>404</v>
      </c>
      <c r="D6" s="231" t="s">
        <v>405</v>
      </c>
      <c r="E6" s="232" t="s">
        <v>406</v>
      </c>
      <c r="F6" s="231" t="s">
        <v>407</v>
      </c>
      <c r="G6" s="233" t="s">
        <v>408</v>
      </c>
      <c r="H6" s="233" t="s">
        <v>409</v>
      </c>
      <c r="I6" s="233" t="s">
        <v>409</v>
      </c>
    </row>
    <row r="7" spans="2:9">
      <c r="B7" s="234" t="s">
        <v>325</v>
      </c>
      <c r="C7" s="235">
        <v>31628.117609000001</v>
      </c>
      <c r="D7" s="236">
        <v>7.2999999999999995E-2</v>
      </c>
      <c r="E7" s="236">
        <f>1-D7</f>
        <v>0.92700000000000005</v>
      </c>
      <c r="F7" s="237">
        <f>+C7*E7</f>
        <v>29319.265023543001</v>
      </c>
      <c r="G7" s="238">
        <f>+C7-F7</f>
        <v>2308.8525854569998</v>
      </c>
      <c r="H7" s="238">
        <f t="shared" ref="H7:H24" si="0">G7*$C$36</f>
        <v>8.3118693076451997</v>
      </c>
      <c r="I7" s="239">
        <f>H7/$H$27</f>
        <v>0.20861233875219762</v>
      </c>
    </row>
    <row r="8" spans="2:9">
      <c r="B8" s="234" t="s">
        <v>324</v>
      </c>
      <c r="C8" s="235">
        <v>143666.33110380071</v>
      </c>
      <c r="D8" s="236">
        <v>2.5861901411314371E-2</v>
      </c>
      <c r="E8" s="236">
        <f t="shared" ref="E8:E24" si="1">1-D8</f>
        <v>0.97413809858868561</v>
      </c>
      <c r="F8" s="237">
        <f t="shared" ref="F8:F24" si="2">+C8*E8</f>
        <v>139950.84661266897</v>
      </c>
      <c r="G8" s="238">
        <f t="shared" ref="G8:G24" si="3">+C8-F8</f>
        <v>3715.4844911317341</v>
      </c>
      <c r="H8" s="238">
        <f t="shared" si="0"/>
        <v>13.375744168074242</v>
      </c>
      <c r="I8" s="239">
        <f t="shared" ref="I8:I26" si="4">H8/$H$27</f>
        <v>0.33570610535063333</v>
      </c>
    </row>
    <row r="9" spans="2:9">
      <c r="B9" s="234" t="s">
        <v>323</v>
      </c>
      <c r="C9" s="235">
        <v>2225.04</v>
      </c>
      <c r="D9" s="236">
        <v>2.5861901411314371E-2</v>
      </c>
      <c r="E9" s="236">
        <f t="shared" si="1"/>
        <v>0.97413809858868561</v>
      </c>
      <c r="F9" s="237">
        <f t="shared" si="2"/>
        <v>2167.4962348837689</v>
      </c>
      <c r="G9" s="238">
        <f t="shared" si="3"/>
        <v>57.543765116231043</v>
      </c>
      <c r="H9" s="238">
        <f t="shared" si="0"/>
        <v>0.20715755441843176</v>
      </c>
      <c r="I9" s="239">
        <f t="shared" si="4"/>
        <v>5.1992662923207016E-3</v>
      </c>
    </row>
    <row r="10" spans="2:9">
      <c r="B10" s="234" t="s">
        <v>322</v>
      </c>
      <c r="C10" s="235">
        <v>2226.4822350999998</v>
      </c>
      <c r="D10" s="236">
        <v>2.9740162682396501E-2</v>
      </c>
      <c r="E10" s="236">
        <f t="shared" si="1"/>
        <v>0.97025983731760346</v>
      </c>
      <c r="F10" s="237">
        <f t="shared" si="2"/>
        <v>2160.2662912186597</v>
      </c>
      <c r="G10" s="238">
        <f t="shared" si="3"/>
        <v>66.215943881340081</v>
      </c>
      <c r="H10" s="238">
        <f t="shared" si="0"/>
        <v>0.23837739797282428</v>
      </c>
      <c r="I10" s="239">
        <f t="shared" si="4"/>
        <v>5.9828258429225232E-3</v>
      </c>
    </row>
    <row r="11" spans="2:9">
      <c r="B11" s="234" t="s">
        <v>320</v>
      </c>
      <c r="C11" s="235">
        <v>146.55527493</v>
      </c>
      <c r="D11" s="236">
        <v>2.9740162682396501E-2</v>
      </c>
      <c r="E11" s="236">
        <f t="shared" si="1"/>
        <v>0.97025983731760346</v>
      </c>
      <c r="F11" s="237">
        <f t="shared" si="2"/>
        <v>142.19669721161844</v>
      </c>
      <c r="G11" s="238">
        <f t="shared" si="3"/>
        <v>4.3585777183815537</v>
      </c>
      <c r="H11" s="238">
        <f t="shared" si="0"/>
        <v>1.5690879786173593E-2</v>
      </c>
      <c r="I11" s="239">
        <f t="shared" si="4"/>
        <v>3.9381166956781752E-4</v>
      </c>
    </row>
    <row r="12" spans="2:9">
      <c r="B12" s="234" t="s">
        <v>319</v>
      </c>
      <c r="C12" s="235">
        <v>0.67610999999999999</v>
      </c>
      <c r="D12" s="236">
        <v>2.9740162682396501E-2</v>
      </c>
      <c r="E12" s="236">
        <f t="shared" si="1"/>
        <v>0.97025983731760346</v>
      </c>
      <c r="F12" s="237">
        <f t="shared" si="2"/>
        <v>0.65600237860880484</v>
      </c>
      <c r="G12" s="238">
        <f t="shared" si="3"/>
        <v>2.0107621391195152E-2</v>
      </c>
      <c r="H12" s="238">
        <f t="shared" si="0"/>
        <v>7.2387437008302548E-5</v>
      </c>
      <c r="I12" s="239">
        <f t="shared" si="4"/>
        <v>1.8167889763003928E-6</v>
      </c>
    </row>
    <row r="13" spans="2:9">
      <c r="B13" s="234" t="s">
        <v>318</v>
      </c>
      <c r="C13" s="235">
        <v>4184.54396131469</v>
      </c>
      <c r="D13" s="236">
        <v>0.01</v>
      </c>
      <c r="E13" s="236">
        <f t="shared" si="1"/>
        <v>0.99</v>
      </c>
      <c r="F13" s="237">
        <f t="shared" si="2"/>
        <v>4142.6985217015426</v>
      </c>
      <c r="G13" s="238">
        <f t="shared" si="3"/>
        <v>41.845439613147391</v>
      </c>
      <c r="H13" s="238">
        <f t="shared" si="0"/>
        <v>0.1506435826073306</v>
      </c>
      <c r="I13" s="239">
        <f t="shared" si="4"/>
        <v>3.7808715371426254E-3</v>
      </c>
    </row>
    <row r="14" spans="2:9">
      <c r="B14" s="234" t="s">
        <v>410</v>
      </c>
      <c r="C14" s="235">
        <v>0.57368375000000005</v>
      </c>
      <c r="D14" s="236">
        <v>0.01</v>
      </c>
      <c r="E14" s="236">
        <f t="shared" si="1"/>
        <v>0.99</v>
      </c>
      <c r="F14" s="237">
        <f t="shared" si="2"/>
        <v>0.56794691250000007</v>
      </c>
      <c r="G14" s="238">
        <f t="shared" si="3"/>
        <v>5.7368374999999805E-3</v>
      </c>
      <c r="H14" s="238">
        <f t="shared" si="0"/>
        <v>2.0652614999999929E-5</v>
      </c>
      <c r="I14" s="239">
        <f t="shared" si="4"/>
        <v>5.1834192250061914E-7</v>
      </c>
    </row>
    <row r="15" spans="2:9">
      <c r="B15" s="234" t="s">
        <v>316</v>
      </c>
      <c r="C15" s="235">
        <v>0</v>
      </c>
      <c r="D15" s="236"/>
      <c r="E15" s="236"/>
      <c r="F15" s="237"/>
      <c r="G15" s="238"/>
      <c r="H15" s="238">
        <f t="shared" si="0"/>
        <v>0</v>
      </c>
      <c r="I15" s="239">
        <f t="shared" si="4"/>
        <v>0</v>
      </c>
    </row>
    <row r="16" spans="2:9">
      <c r="B16" s="234" t="s">
        <v>315</v>
      </c>
      <c r="C16" s="235">
        <v>6069.7173049999992</v>
      </c>
      <c r="D16" s="236">
        <v>5.0999999999999997E-2</v>
      </c>
      <c r="E16" s="236">
        <f t="shared" si="1"/>
        <v>0.94899999999999995</v>
      </c>
      <c r="F16" s="237">
        <f t="shared" si="2"/>
        <v>5760.1617224449992</v>
      </c>
      <c r="G16" s="238">
        <f t="shared" si="3"/>
        <v>309.555582555</v>
      </c>
      <c r="H16" s="238">
        <f t="shared" si="0"/>
        <v>1.1144000971979999</v>
      </c>
      <c r="I16" s="239">
        <f t="shared" si="4"/>
        <v>2.7969353460396668E-2</v>
      </c>
    </row>
    <row r="17" spans="2:12">
      <c r="B17" s="234" t="s">
        <v>313</v>
      </c>
      <c r="C17" s="235">
        <v>28029.136878310001</v>
      </c>
      <c r="D17" s="236">
        <v>8.0000000000000002E-3</v>
      </c>
      <c r="E17" s="236">
        <f t="shared" si="1"/>
        <v>0.99199999999999999</v>
      </c>
      <c r="F17" s="237">
        <f t="shared" si="2"/>
        <v>27804.90378328352</v>
      </c>
      <c r="G17" s="238">
        <f t="shared" si="3"/>
        <v>224.23309502648044</v>
      </c>
      <c r="H17" s="238">
        <f t="shared" si="0"/>
        <v>0.80723914209532954</v>
      </c>
      <c r="I17" s="239">
        <f t="shared" si="4"/>
        <v>2.0260189270532813E-2</v>
      </c>
    </row>
    <row r="18" spans="2:12">
      <c r="B18" s="234" t="s">
        <v>312</v>
      </c>
      <c r="C18" s="235">
        <v>4262.59</v>
      </c>
      <c r="D18" s="236">
        <v>7.2999999999999995E-2</v>
      </c>
      <c r="E18" s="236">
        <f t="shared" si="1"/>
        <v>0.92700000000000005</v>
      </c>
      <c r="F18" s="237">
        <f t="shared" si="2"/>
        <v>3951.4209300000002</v>
      </c>
      <c r="G18" s="238">
        <f t="shared" si="3"/>
        <v>311.16906999999992</v>
      </c>
      <c r="H18" s="238">
        <f t="shared" si="0"/>
        <v>1.1202086519999996</v>
      </c>
      <c r="I18" s="239">
        <f t="shared" si="4"/>
        <v>2.8115137297601723E-2</v>
      </c>
    </row>
    <row r="19" spans="2:12">
      <c r="B19" s="234" t="s">
        <v>311</v>
      </c>
      <c r="C19" s="235">
        <v>11799.869613499986</v>
      </c>
      <c r="D19" s="236">
        <v>3.5000000000000003E-2</v>
      </c>
      <c r="E19" s="236">
        <f t="shared" si="1"/>
        <v>0.96499999999999997</v>
      </c>
      <c r="F19" s="237">
        <f t="shared" si="2"/>
        <v>11386.874177027486</v>
      </c>
      <c r="G19" s="238">
        <f t="shared" si="3"/>
        <v>412.99543647249993</v>
      </c>
      <c r="H19" s="238">
        <f t="shared" si="0"/>
        <v>1.4867835713009998</v>
      </c>
      <c r="I19" s="239">
        <f t="shared" si="4"/>
        <v>3.7315480615432925E-2</v>
      </c>
    </row>
    <row r="20" spans="2:12">
      <c r="B20" s="234" t="s">
        <v>11</v>
      </c>
      <c r="C20" s="235">
        <v>19.492261200000002</v>
      </c>
      <c r="D20" s="236">
        <v>1.9E-2</v>
      </c>
      <c r="E20" s="236">
        <f t="shared" si="1"/>
        <v>0.98099999999999998</v>
      </c>
      <c r="F20" s="237">
        <f t="shared" si="2"/>
        <v>19.1219082372</v>
      </c>
      <c r="G20" s="238">
        <f t="shared" si="3"/>
        <v>0.37035296280000196</v>
      </c>
      <c r="H20" s="238">
        <f t="shared" si="0"/>
        <v>1.333270666080007E-3</v>
      </c>
      <c r="I20" s="239">
        <f t="shared" si="4"/>
        <v>3.3462594459326056E-5</v>
      </c>
    </row>
    <row r="21" spans="2:12">
      <c r="B21" s="234" t="s">
        <v>310</v>
      </c>
      <c r="C21" s="235">
        <v>51376.688963899986</v>
      </c>
      <c r="D21" s="236">
        <v>6.5000000000000002E-2</v>
      </c>
      <c r="E21" s="236">
        <f t="shared" si="1"/>
        <v>0.93500000000000005</v>
      </c>
      <c r="F21" s="237">
        <f t="shared" si="2"/>
        <v>48037.204181246489</v>
      </c>
      <c r="G21" s="238">
        <f t="shared" si="3"/>
        <v>3339.4847826534969</v>
      </c>
      <c r="H21" s="238">
        <f t="shared" si="0"/>
        <v>12.022145217552589</v>
      </c>
      <c r="I21" s="239">
        <f t="shared" si="4"/>
        <v>0.30173330905785317</v>
      </c>
    </row>
    <row r="22" spans="2:12">
      <c r="B22" s="234" t="s">
        <v>309</v>
      </c>
      <c r="C22" s="235">
        <v>1154.1326420000003</v>
      </c>
      <c r="D22" s="236">
        <v>6.5000000000000002E-2</v>
      </c>
      <c r="E22" s="236">
        <f t="shared" si="1"/>
        <v>0.93500000000000005</v>
      </c>
      <c r="F22" s="237">
        <f t="shared" si="2"/>
        <v>1079.1140202700003</v>
      </c>
      <c r="G22" s="238">
        <f t="shared" si="3"/>
        <v>75.01862172999995</v>
      </c>
      <c r="H22" s="238">
        <f t="shared" si="0"/>
        <v>0.27006703822799982</v>
      </c>
      <c r="I22" s="239">
        <f t="shared" si="4"/>
        <v>6.7781764100647837E-3</v>
      </c>
    </row>
    <row r="23" spans="2:12">
      <c r="B23" s="234" t="s">
        <v>307</v>
      </c>
      <c r="C23" s="235">
        <v>9539.2061369999992</v>
      </c>
      <c r="D23" s="236">
        <v>2.1000000000000001E-2</v>
      </c>
      <c r="E23" s="236">
        <f t="shared" si="1"/>
        <v>0.97899999999999998</v>
      </c>
      <c r="F23" s="237">
        <f t="shared" si="2"/>
        <v>9338.8828081229985</v>
      </c>
      <c r="G23" s="238">
        <f t="shared" si="3"/>
        <v>200.32332887700068</v>
      </c>
      <c r="H23" s="238">
        <f t="shared" si="0"/>
        <v>0.72116398395720238</v>
      </c>
      <c r="I23" s="239">
        <f t="shared" si="4"/>
        <v>1.8099864151952826E-2</v>
      </c>
    </row>
    <row r="24" spans="2:12">
      <c r="B24" s="234" t="s">
        <v>306</v>
      </c>
      <c r="C24" s="235">
        <v>9.2086000000000006</v>
      </c>
      <c r="D24" s="236">
        <v>2.1000000000000001E-2</v>
      </c>
      <c r="E24" s="236">
        <f t="shared" si="1"/>
        <v>0.97899999999999998</v>
      </c>
      <c r="F24" s="237">
        <f t="shared" si="2"/>
        <v>9.0152194000000012</v>
      </c>
      <c r="G24" s="238">
        <f t="shared" si="3"/>
        <v>0.19338059999999935</v>
      </c>
      <c r="H24" s="240">
        <f t="shared" si="0"/>
        <v>6.961701599999976E-4</v>
      </c>
      <c r="I24" s="239">
        <f t="shared" si="4"/>
        <v>1.7472566022363929E-5</v>
      </c>
    </row>
    <row r="25" spans="2:12">
      <c r="B25" s="234" t="s">
        <v>305</v>
      </c>
      <c r="C25" s="235"/>
      <c r="D25" s="241"/>
      <c r="E25" s="241"/>
      <c r="F25" s="237"/>
      <c r="G25" s="238"/>
      <c r="H25" s="238"/>
      <c r="I25" s="239">
        <f t="shared" si="4"/>
        <v>0</v>
      </c>
    </row>
    <row r="26" spans="2:12">
      <c r="B26" s="242" t="s">
        <v>302</v>
      </c>
      <c r="C26" s="243"/>
      <c r="D26" s="244"/>
      <c r="E26" s="244"/>
      <c r="F26" s="245"/>
      <c r="G26" s="246"/>
      <c r="H26" s="246"/>
      <c r="I26" s="239">
        <f t="shared" si="4"/>
        <v>0</v>
      </c>
    </row>
    <row r="27" spans="2:12" ht="13.5" thickBot="1">
      <c r="B27" s="247" t="s">
        <v>372</v>
      </c>
      <c r="C27" s="248">
        <v>296338.36237880541</v>
      </c>
      <c r="D27" s="244"/>
      <c r="E27" s="244"/>
      <c r="F27" s="249">
        <f>+SUM(F7:F26)</f>
        <v>285270.69208055135</v>
      </c>
      <c r="G27" s="250">
        <f>+C27-F27</f>
        <v>11067.670298254059</v>
      </c>
      <c r="H27" s="250">
        <f>SUM(H7:H26)</f>
        <v>39.843613073714408</v>
      </c>
      <c r="I27" s="251">
        <f>SUM(I7:I26)</f>
        <v>1</v>
      </c>
    </row>
    <row r="28" spans="2:12" ht="13.5" thickTop="1">
      <c r="H28" s="252">
        <f>H27/10</f>
        <v>3.984361307371441</v>
      </c>
    </row>
    <row r="29" spans="2:12" ht="48" customHeight="1">
      <c r="B29" s="253" t="s">
        <v>411</v>
      </c>
      <c r="G29" s="254">
        <v>1387.2729999999999</v>
      </c>
      <c r="I29" s="255"/>
      <c r="K29" s="255"/>
      <c r="L29" s="255"/>
    </row>
    <row r="30" spans="2:12" ht="58.5" customHeight="1">
      <c r="B30" s="253" t="s">
        <v>412</v>
      </c>
      <c r="G30" s="256">
        <v>132.14400000000001</v>
      </c>
    </row>
    <row r="31" spans="2:12">
      <c r="B31" s="253" t="s">
        <v>413</v>
      </c>
      <c r="G31" s="254">
        <f>(G27*1000000)</f>
        <v>11067670298.254059</v>
      </c>
    </row>
    <row r="32" spans="2:12">
      <c r="B32" s="253" t="s">
        <v>414</v>
      </c>
      <c r="G32" s="257">
        <f>(G29/G31)*1000000</f>
        <v>0.12534462652170297</v>
      </c>
    </row>
    <row r="33" spans="2:7">
      <c r="B33" s="253" t="s">
        <v>415</v>
      </c>
      <c r="G33" s="258">
        <f>G32*100</f>
        <v>12.534462652170298</v>
      </c>
    </row>
    <row r="35" spans="2:7">
      <c r="B35" s="259" t="s">
        <v>394</v>
      </c>
      <c r="C35" s="260"/>
      <c r="D35" s="261"/>
    </row>
    <row r="36" spans="2:7">
      <c r="B36" s="262" t="s">
        <v>395</v>
      </c>
      <c r="C36" s="263">
        <v>3.5999999999999999E-3</v>
      </c>
      <c r="D36" s="264" t="s">
        <v>390</v>
      </c>
    </row>
  </sheetData>
  <mergeCells count="1">
    <mergeCell ref="B2:G4"/>
  </mergeCell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1:W119"/>
  <sheetViews>
    <sheetView topLeftCell="C80" zoomScale="80" zoomScaleNormal="80" workbookViewId="0">
      <selection activeCell="C113" sqref="C113"/>
    </sheetView>
  </sheetViews>
  <sheetFormatPr baseColWidth="10" defaultColWidth="42.875" defaultRowHeight="15.75"/>
  <cols>
    <col min="1" max="1" width="3.125" customWidth="1"/>
    <col min="2" max="2" width="19.875" customWidth="1"/>
    <col min="8" max="8" width="13.125" customWidth="1"/>
    <col min="11" max="16" width="20.375" customWidth="1"/>
    <col min="18" max="23" width="15.375" customWidth="1"/>
    <col min="24" max="24" width="28.875" customWidth="1"/>
  </cols>
  <sheetData>
    <row r="1" spans="2:23" ht="16.5" thickBot="1">
      <c r="K1" s="3" t="s">
        <v>598</v>
      </c>
      <c r="L1" s="3"/>
      <c r="M1" s="3"/>
      <c r="N1" s="3"/>
      <c r="O1" s="3"/>
    </row>
    <row r="2" spans="2:23">
      <c r="B2" s="694" t="s">
        <v>561</v>
      </c>
      <c r="C2" s="695"/>
      <c r="D2" s="695"/>
      <c r="E2" s="695"/>
      <c r="F2" s="695"/>
      <c r="G2" s="696"/>
      <c r="H2" s="3" t="s">
        <v>560</v>
      </c>
      <c r="I2" s="3" t="s">
        <v>562</v>
      </c>
      <c r="K2" s="3" t="s">
        <v>599</v>
      </c>
      <c r="L2" s="3"/>
      <c r="M2" s="3"/>
      <c r="N2" s="3"/>
      <c r="O2" s="3"/>
    </row>
    <row r="3" spans="2:23">
      <c r="B3" s="697"/>
      <c r="C3" s="692"/>
      <c r="D3" s="692"/>
      <c r="E3" s="692"/>
      <c r="F3" s="692"/>
      <c r="G3" s="698"/>
      <c r="H3" s="3"/>
    </row>
    <row r="4" spans="2:23">
      <c r="B4" s="195"/>
      <c r="C4" s="7"/>
      <c r="D4" s="7" t="s">
        <v>383</v>
      </c>
      <c r="E4" s="7" t="s">
        <v>384</v>
      </c>
      <c r="F4" s="7" t="s">
        <v>172</v>
      </c>
      <c r="G4" s="196" t="s">
        <v>386</v>
      </c>
      <c r="H4" s="3"/>
      <c r="M4" t="s">
        <v>600</v>
      </c>
    </row>
    <row r="5" spans="2:23">
      <c r="B5" s="197" t="s">
        <v>218</v>
      </c>
      <c r="C5" s="198" t="s">
        <v>313</v>
      </c>
      <c r="D5" s="199">
        <f>D39+D56+D73+D90</f>
        <v>0</v>
      </c>
      <c r="E5" s="199">
        <f>E39+E56+E73+E90</f>
        <v>0</v>
      </c>
      <c r="F5" s="199">
        <f>F39+F56+F73+F90</f>
        <v>0.68662517550491398</v>
      </c>
      <c r="G5" s="200">
        <f>G39+G56+G73+G90</f>
        <v>0</v>
      </c>
      <c r="H5" s="353">
        <f>SUM(D5:G5)</f>
        <v>0.68662517550491398</v>
      </c>
      <c r="K5" t="s">
        <v>601</v>
      </c>
      <c r="L5" t="s">
        <v>390</v>
      </c>
      <c r="M5">
        <v>2013</v>
      </c>
      <c r="N5">
        <v>2014</v>
      </c>
      <c r="O5">
        <v>2015</v>
      </c>
      <c r="P5">
        <v>2016</v>
      </c>
    </row>
    <row r="6" spans="2:23">
      <c r="B6" s="197" t="s">
        <v>219</v>
      </c>
      <c r="C6" s="198" t="s">
        <v>318</v>
      </c>
      <c r="D6" s="199">
        <f t="shared" ref="D6:G15" si="0">D40+D57+D74+D91</f>
        <v>0</v>
      </c>
      <c r="E6" s="199">
        <f t="shared" si="0"/>
        <v>0</v>
      </c>
      <c r="F6" s="199">
        <f t="shared" si="0"/>
        <v>2.9019148936170212E-2</v>
      </c>
      <c r="G6" s="200">
        <f t="shared" si="0"/>
        <v>0</v>
      </c>
      <c r="H6" s="353">
        <f t="shared" ref="H6:H16" si="1">SUM(D6:G6)</f>
        <v>2.9019148936170212E-2</v>
      </c>
      <c r="K6" s="3" t="s">
        <v>621</v>
      </c>
      <c r="L6" s="3"/>
      <c r="M6" s="3">
        <f>M7-M16</f>
        <v>2504.0419999999999</v>
      </c>
      <c r="N6" s="3">
        <f t="shared" ref="N6:P6" si="2">N7-N16</f>
        <v>2423.5410000000002</v>
      </c>
      <c r="O6" s="3">
        <f t="shared" si="2"/>
        <v>2367.5339999999997</v>
      </c>
      <c r="P6" s="3">
        <f t="shared" si="2"/>
        <v>2846.9079999999999</v>
      </c>
      <c r="R6" s="3" t="s">
        <v>625</v>
      </c>
      <c r="S6" t="s">
        <v>419</v>
      </c>
      <c r="T6" t="s">
        <v>384</v>
      </c>
      <c r="U6" t="s">
        <v>379</v>
      </c>
      <c r="V6" t="s">
        <v>386</v>
      </c>
      <c r="W6" t="s">
        <v>7</v>
      </c>
    </row>
    <row r="7" spans="2:23">
      <c r="B7" s="197" t="s">
        <v>171</v>
      </c>
      <c r="C7" s="198" t="s">
        <v>315</v>
      </c>
      <c r="D7" s="199">
        <f t="shared" si="0"/>
        <v>0</v>
      </c>
      <c r="E7" s="199">
        <f t="shared" si="0"/>
        <v>0</v>
      </c>
      <c r="F7" s="199">
        <f t="shared" si="0"/>
        <v>1.6847488929690031</v>
      </c>
      <c r="G7" s="200">
        <f t="shared" si="0"/>
        <v>0</v>
      </c>
      <c r="H7" s="353">
        <f t="shared" si="1"/>
        <v>1.6847488929690031</v>
      </c>
      <c r="K7" t="s">
        <v>7</v>
      </c>
      <c r="M7">
        <v>2562.6120000000001</v>
      </c>
      <c r="N7">
        <v>2491.69</v>
      </c>
      <c r="O7">
        <v>2435.9389999999999</v>
      </c>
      <c r="P7">
        <v>2917.317</v>
      </c>
      <c r="R7" t="s">
        <v>622</v>
      </c>
      <c r="S7" s="322">
        <f>SUM(M8,M13:M14,M17:M19)</f>
        <v>828.16600000000005</v>
      </c>
      <c r="T7" s="322">
        <f>M15</f>
        <v>1303.69</v>
      </c>
      <c r="U7" s="322">
        <f>SUM(M9:M12)</f>
        <v>372.18700000000001</v>
      </c>
      <c r="V7" s="322">
        <f>M16</f>
        <v>58.57</v>
      </c>
      <c r="W7" s="322">
        <f>SUM(S7:V7)</f>
        <v>2562.6130000000003</v>
      </c>
    </row>
    <row r="8" spans="2:23">
      <c r="B8" s="197" t="s">
        <v>11</v>
      </c>
      <c r="C8" s="198" t="s">
        <v>11</v>
      </c>
      <c r="D8" s="199">
        <f t="shared" si="0"/>
        <v>0</v>
      </c>
      <c r="E8" s="199">
        <f t="shared" si="0"/>
        <v>0</v>
      </c>
      <c r="F8" s="199">
        <f t="shared" si="0"/>
        <v>4.569967959102855E-5</v>
      </c>
      <c r="G8" s="200">
        <f t="shared" si="0"/>
        <v>0</v>
      </c>
      <c r="H8" s="353">
        <f t="shared" si="1"/>
        <v>4.569967959102855E-5</v>
      </c>
      <c r="K8" t="s">
        <v>287</v>
      </c>
      <c r="M8">
        <v>339.90100000000001</v>
      </c>
      <c r="N8">
        <v>357.93799999999999</v>
      </c>
      <c r="O8">
        <v>362.94400000000002</v>
      </c>
      <c r="P8">
        <v>372.851</v>
      </c>
      <c r="R8" t="s">
        <v>623</v>
      </c>
      <c r="S8" s="322">
        <f>D34</f>
        <v>8266.3185281942533</v>
      </c>
      <c r="T8" s="322">
        <f t="shared" ref="T8:V8" si="3">E34</f>
        <v>1360.9236506602961</v>
      </c>
      <c r="U8" s="322">
        <f t="shared" si="3"/>
        <v>27.737020971806533</v>
      </c>
      <c r="V8" s="322">
        <f t="shared" si="3"/>
        <v>126.45347756049459</v>
      </c>
      <c r="W8" s="322">
        <f>SUM(S8:V8)</f>
        <v>9781.4326773868506</v>
      </c>
    </row>
    <row r="9" spans="2:23" ht="47.25">
      <c r="B9" s="197" t="s">
        <v>220</v>
      </c>
      <c r="C9" s="198" t="s">
        <v>548</v>
      </c>
      <c r="D9" s="199">
        <f t="shared" si="0"/>
        <v>425.34769185223041</v>
      </c>
      <c r="E9" s="199">
        <f t="shared" si="0"/>
        <v>172.79084386292621</v>
      </c>
      <c r="F9" s="199">
        <f t="shared" si="0"/>
        <v>3.2855209547467332</v>
      </c>
      <c r="G9" s="200">
        <f t="shared" si="0"/>
        <v>0</v>
      </c>
      <c r="H9" s="353">
        <f t="shared" si="1"/>
        <v>601.42405666990339</v>
      </c>
      <c r="K9" s="5" t="s">
        <v>237</v>
      </c>
      <c r="L9" s="5"/>
      <c r="M9" s="5">
        <v>122.598</v>
      </c>
      <c r="N9">
        <v>100.596</v>
      </c>
      <c r="O9">
        <v>120.407</v>
      </c>
      <c r="P9">
        <v>109.95399999999999</v>
      </c>
      <c r="R9" s="323" t="s">
        <v>624</v>
      </c>
      <c r="S9" s="322">
        <f>D17</f>
        <v>455.61392134351217</v>
      </c>
      <c r="T9" s="322">
        <f t="shared" ref="T9:V9" si="4">E17</f>
        <v>1228.461661992482</v>
      </c>
      <c r="U9" s="322">
        <f t="shared" si="4"/>
        <v>24.684593251971059</v>
      </c>
      <c r="V9" s="322">
        <f t="shared" si="4"/>
        <v>126.45347756049459</v>
      </c>
      <c r="W9" s="322">
        <f>SUM(S9:V9)</f>
        <v>1835.2136541484599</v>
      </c>
    </row>
    <row r="10" spans="2:23" ht="31.5">
      <c r="B10" s="197" t="s">
        <v>365</v>
      </c>
      <c r="C10" s="198" t="s">
        <v>549</v>
      </c>
      <c r="D10" s="199">
        <f t="shared" si="0"/>
        <v>0</v>
      </c>
      <c r="E10" s="199">
        <f t="shared" si="0"/>
        <v>0</v>
      </c>
      <c r="F10" s="199">
        <f t="shared" si="0"/>
        <v>0</v>
      </c>
      <c r="G10" s="200">
        <f t="shared" si="0"/>
        <v>126.45347756049459</v>
      </c>
      <c r="H10" s="353">
        <f t="shared" si="1"/>
        <v>126.45347756049459</v>
      </c>
      <c r="K10" s="5" t="s">
        <v>236</v>
      </c>
      <c r="L10" s="5"/>
      <c r="M10" s="5">
        <v>100.877</v>
      </c>
      <c r="N10">
        <v>140.01400000000001</v>
      </c>
      <c r="O10">
        <v>111.21</v>
      </c>
      <c r="P10">
        <v>110.51</v>
      </c>
    </row>
    <row r="11" spans="2:23" ht="31.5">
      <c r="B11" s="197" t="s">
        <v>550</v>
      </c>
      <c r="C11" s="198" t="s">
        <v>551</v>
      </c>
      <c r="D11" s="199">
        <f t="shared" si="0"/>
        <v>0</v>
      </c>
      <c r="E11" s="199">
        <f t="shared" si="0"/>
        <v>0</v>
      </c>
      <c r="F11" s="199">
        <f t="shared" si="0"/>
        <v>0</v>
      </c>
      <c r="G11" s="200">
        <f t="shared" si="0"/>
        <v>0</v>
      </c>
      <c r="H11" s="353">
        <f t="shared" si="1"/>
        <v>0</v>
      </c>
      <c r="K11" s="5" t="s">
        <v>235</v>
      </c>
      <c r="L11" s="5"/>
      <c r="M11" s="5">
        <v>131.316</v>
      </c>
      <c r="N11">
        <v>129.87799999999999</v>
      </c>
      <c r="O11">
        <v>134.53</v>
      </c>
      <c r="P11">
        <v>132.595</v>
      </c>
      <c r="R11" s="3" t="s">
        <v>626</v>
      </c>
    </row>
    <row r="12" spans="2:23">
      <c r="B12" s="197" t="s">
        <v>187</v>
      </c>
      <c r="C12" s="198" t="s">
        <v>311</v>
      </c>
      <c r="D12" s="199">
        <f t="shared" si="0"/>
        <v>0</v>
      </c>
      <c r="E12" s="199">
        <f t="shared" si="0"/>
        <v>0</v>
      </c>
      <c r="F12" s="199">
        <f t="shared" si="0"/>
        <v>1.2193623501458042</v>
      </c>
      <c r="G12" s="200">
        <f t="shared" si="0"/>
        <v>0</v>
      </c>
      <c r="H12" s="353">
        <f t="shared" si="1"/>
        <v>1.2193623501458042</v>
      </c>
      <c r="K12" s="5" t="s">
        <v>602</v>
      </c>
      <c r="L12" s="5"/>
      <c r="M12" s="5">
        <v>17.396000000000001</v>
      </c>
      <c r="N12">
        <v>25.731000000000002</v>
      </c>
      <c r="O12">
        <v>34.078000000000003</v>
      </c>
      <c r="P12">
        <v>40.182000000000002</v>
      </c>
      <c r="R12" t="s">
        <v>622</v>
      </c>
      <c r="S12" s="324">
        <f>'Step1-V1'!AA$26/S7</f>
        <v>98.584463742776208</v>
      </c>
      <c r="T12" s="324">
        <f>'Step1-V1'!AB$26/T7</f>
        <v>23.149025855903062</v>
      </c>
      <c r="U12" s="324">
        <f>'Step1-V1'!AC$26/U7</f>
        <v>3.7273547974539678</v>
      </c>
      <c r="W12" s="325">
        <f>'Step1-V1'!AD$26/W7</f>
        <v>44.177847969272875</v>
      </c>
    </row>
    <row r="13" spans="2:23">
      <c r="B13" s="197" t="s">
        <v>222</v>
      </c>
      <c r="C13" s="198" t="s">
        <v>552</v>
      </c>
      <c r="D13" s="199">
        <f t="shared" si="0"/>
        <v>0.42469153683000005</v>
      </c>
      <c r="E13" s="199">
        <f t="shared" si="0"/>
        <v>0</v>
      </c>
      <c r="F13" s="199">
        <f t="shared" si="0"/>
        <v>7.0185735896605115</v>
      </c>
      <c r="G13" s="200">
        <f t="shared" si="0"/>
        <v>0</v>
      </c>
      <c r="H13" s="353">
        <f t="shared" si="1"/>
        <v>7.4432651264905116</v>
      </c>
      <c r="K13" t="s">
        <v>3</v>
      </c>
      <c r="M13">
        <v>27.908999999999999</v>
      </c>
      <c r="N13">
        <v>17.806000000000001</v>
      </c>
      <c r="O13">
        <v>20.702000000000002</v>
      </c>
      <c r="P13">
        <v>28.701000000000001</v>
      </c>
      <c r="R13" t="s">
        <v>623</v>
      </c>
      <c r="S13" s="324">
        <f>'Step1-V1'!AA$26/S8</f>
        <v>9.8767426783195713</v>
      </c>
      <c r="T13" s="324">
        <f>'Step1-V1'!AB$26/T8</f>
        <v>22.175493462428896</v>
      </c>
      <c r="U13" s="324">
        <f>'Step1-V1'!AC$26/U8</f>
        <v>50.015212571317669</v>
      </c>
      <c r="W13" s="325">
        <f>'Step1-V1'!AD$26/W8</f>
        <v>11.574043522254961</v>
      </c>
    </row>
    <row r="14" spans="2:23" ht="47.25">
      <c r="B14" s="197" t="s">
        <v>224</v>
      </c>
      <c r="C14" s="198" t="s">
        <v>553</v>
      </c>
      <c r="D14" s="199">
        <f t="shared" si="0"/>
        <v>2.4576099507015003</v>
      </c>
      <c r="E14" s="199">
        <f t="shared" si="0"/>
        <v>1046.2725649654919</v>
      </c>
      <c r="F14" s="199">
        <f t="shared" si="0"/>
        <v>4.9129150880224657</v>
      </c>
      <c r="G14" s="200">
        <f t="shared" si="0"/>
        <v>0</v>
      </c>
      <c r="H14" s="353">
        <f t="shared" si="1"/>
        <v>1053.6430900042158</v>
      </c>
      <c r="K14" t="s">
        <v>229</v>
      </c>
      <c r="M14">
        <v>413.71800000000002</v>
      </c>
      <c r="N14">
        <v>258.52100000000002</v>
      </c>
      <c r="O14">
        <v>248.40299999999999</v>
      </c>
      <c r="P14">
        <v>273.29599999999999</v>
      </c>
      <c r="R14" s="323" t="s">
        <v>624</v>
      </c>
      <c r="S14" s="324">
        <f>'Step1-V1'!AA$26/S9</f>
        <v>179.19623869096819</v>
      </c>
      <c r="T14" s="324">
        <f>'Step1-V1'!AB$26/T9</f>
        <v>24.566622184312784</v>
      </c>
      <c r="U14" s="324">
        <f>'Step1-V1'!AC$26/U9</f>
        <v>56.199953786527409</v>
      </c>
      <c r="W14" s="325">
        <f>'Step1-V1'!AD$26/W9</f>
        <v>61.688036846375859</v>
      </c>
    </row>
    <row r="15" spans="2:23">
      <c r="B15" s="197" t="s">
        <v>223</v>
      </c>
      <c r="C15" s="198" t="s">
        <v>322</v>
      </c>
      <c r="D15" s="199">
        <f t="shared" si="0"/>
        <v>1.6295219483878611</v>
      </c>
      <c r="E15" s="199">
        <f t="shared" si="0"/>
        <v>2.4140196014628277</v>
      </c>
      <c r="F15" s="199">
        <f t="shared" si="0"/>
        <v>0.18264935738200672</v>
      </c>
      <c r="G15" s="200">
        <f t="shared" si="0"/>
        <v>0</v>
      </c>
      <c r="H15" s="353">
        <f t="shared" si="1"/>
        <v>4.2261909072326951</v>
      </c>
      <c r="K15" t="s">
        <v>282</v>
      </c>
      <c r="M15">
        <v>1303.69</v>
      </c>
      <c r="N15">
        <v>1342.0840000000001</v>
      </c>
      <c r="O15">
        <v>1284.9970000000001</v>
      </c>
      <c r="P15">
        <v>1734.6220000000001</v>
      </c>
    </row>
    <row r="16" spans="2:23" ht="16.5" thickBot="1">
      <c r="B16" s="201" t="s">
        <v>221</v>
      </c>
      <c r="C16" s="202" t="s">
        <v>554</v>
      </c>
      <c r="D16" s="203">
        <f>D50+D67+D84+D101</f>
        <v>25.754406055362452</v>
      </c>
      <c r="E16" s="203">
        <f>E50+E67+E84+E101</f>
        <v>6.9842335626009442</v>
      </c>
      <c r="F16" s="203">
        <f>F50+F67+F84+F101</f>
        <v>5.6651329949238587</v>
      </c>
      <c r="G16" s="204">
        <f>G50+G67+G84+G101</f>
        <v>0</v>
      </c>
      <c r="H16" s="353">
        <f t="shared" si="1"/>
        <v>38.403772612887252</v>
      </c>
      <c r="K16" t="s">
        <v>271</v>
      </c>
      <c r="M16">
        <v>58.57</v>
      </c>
      <c r="N16">
        <v>68.149000000000001</v>
      </c>
      <c r="O16">
        <v>68.405000000000001</v>
      </c>
      <c r="P16">
        <v>70.409000000000006</v>
      </c>
      <c r="R16" s="3"/>
    </row>
    <row r="17" spans="2:16">
      <c r="B17" s="3"/>
      <c r="C17" s="3" t="s">
        <v>7</v>
      </c>
      <c r="D17" s="225">
        <f>SUM(D5:D16)</f>
        <v>455.61392134351217</v>
      </c>
      <c r="E17" s="225">
        <f t="shared" ref="E17:G17" si="5">SUM(E5:E16)</f>
        <v>1228.461661992482</v>
      </c>
      <c r="F17" s="225">
        <f t="shared" si="5"/>
        <v>24.684593251971059</v>
      </c>
      <c r="G17" s="225">
        <f t="shared" si="5"/>
        <v>126.45347756049459</v>
      </c>
      <c r="H17" s="353">
        <f>SUM(D17:G17)</f>
        <v>1835.2136541484599</v>
      </c>
      <c r="I17" s="265">
        <f>H17-G17</f>
        <v>1708.7601765879654</v>
      </c>
      <c r="K17" t="s">
        <v>231</v>
      </c>
      <c r="M17">
        <v>36.118000000000002</v>
      </c>
      <c r="N17">
        <v>38.997999999999998</v>
      </c>
      <c r="O17">
        <v>39.341000000000001</v>
      </c>
      <c r="P17">
        <v>34.911999999999999</v>
      </c>
    </row>
    <row r="18" spans="2:16" ht="16.5" thickBot="1">
      <c r="K18" t="s">
        <v>294</v>
      </c>
      <c r="M18">
        <v>5.5449999999999999</v>
      </c>
      <c r="N18">
        <v>5.1390000000000002</v>
      </c>
      <c r="O18">
        <v>5.093</v>
      </c>
      <c r="P18">
        <v>3.6</v>
      </c>
    </row>
    <row r="19" spans="2:16">
      <c r="B19" s="694" t="s">
        <v>547</v>
      </c>
      <c r="C19" s="695"/>
      <c r="D19" s="695"/>
      <c r="E19" s="695"/>
      <c r="F19" s="695"/>
      <c r="G19" s="696"/>
      <c r="H19" s="3" t="s">
        <v>560</v>
      </c>
      <c r="K19" t="s">
        <v>279</v>
      </c>
      <c r="M19">
        <v>4.9749999999999996</v>
      </c>
      <c r="N19">
        <v>6.835</v>
      </c>
      <c r="O19">
        <v>5.8289999999999997</v>
      </c>
      <c r="P19">
        <v>5.6859999999999999</v>
      </c>
    </row>
    <row r="20" spans="2:16">
      <c r="B20" s="697"/>
      <c r="C20" s="692"/>
      <c r="D20" s="692"/>
      <c r="E20" s="692"/>
      <c r="F20" s="692"/>
      <c r="G20" s="698"/>
      <c r="H20" s="3"/>
    </row>
    <row r="21" spans="2:16">
      <c r="B21" s="195"/>
      <c r="C21" s="7"/>
      <c r="D21" s="7" t="s">
        <v>383</v>
      </c>
      <c r="E21" s="7" t="s">
        <v>384</v>
      </c>
      <c r="F21" s="7" t="s">
        <v>172</v>
      </c>
      <c r="G21" s="196" t="s">
        <v>386</v>
      </c>
      <c r="H21" s="3"/>
      <c r="K21" s="3" t="s">
        <v>603</v>
      </c>
      <c r="M21">
        <v>1617.7819999999999</v>
      </c>
      <c r="N21">
        <v>1493.0830000000001</v>
      </c>
      <c r="O21">
        <v>1480.5329999999999</v>
      </c>
      <c r="P21">
        <v>1623.079</v>
      </c>
    </row>
    <row r="22" spans="2:16">
      <c r="B22" s="197" t="s">
        <v>218</v>
      </c>
      <c r="C22" s="198" t="s">
        <v>313</v>
      </c>
      <c r="D22" s="199">
        <f t="shared" ref="D22:G33" si="6">+D39+D56+D73+D90+D107</f>
        <v>1.0732627E-2</v>
      </c>
      <c r="E22" s="199">
        <f t="shared" si="6"/>
        <v>7.5585340099100008E-4</v>
      </c>
      <c r="F22" s="199">
        <f t="shared" si="6"/>
        <v>0.70319009381862674</v>
      </c>
      <c r="G22" s="200">
        <f t="shared" si="6"/>
        <v>0</v>
      </c>
      <c r="H22" s="225">
        <f>SUM(D22:G22)</f>
        <v>0.71467857421961778</v>
      </c>
      <c r="K22" t="s">
        <v>287</v>
      </c>
      <c r="M22">
        <v>338.40899999999999</v>
      </c>
      <c r="N22">
        <v>356.84199999999998</v>
      </c>
      <c r="O22">
        <v>362.45499999999998</v>
      </c>
      <c r="P22">
        <v>372.851</v>
      </c>
    </row>
    <row r="23" spans="2:16">
      <c r="B23" s="197" t="s">
        <v>219</v>
      </c>
      <c r="C23" s="198" t="s">
        <v>318</v>
      </c>
      <c r="D23" s="199">
        <f t="shared" si="6"/>
        <v>0</v>
      </c>
      <c r="E23" s="199">
        <f t="shared" si="6"/>
        <v>0.16280829636500002</v>
      </c>
      <c r="F23" s="199">
        <f t="shared" si="6"/>
        <v>8.9485473593260617E-2</v>
      </c>
      <c r="G23" s="200">
        <f t="shared" si="6"/>
        <v>0</v>
      </c>
      <c r="H23" s="225">
        <f t="shared" ref="H23:H34" si="7">SUM(D23:G23)</f>
        <v>0.25229376995826064</v>
      </c>
      <c r="K23" t="s">
        <v>604</v>
      </c>
      <c r="M23">
        <v>122.598</v>
      </c>
      <c r="N23">
        <v>100.596</v>
      </c>
      <c r="O23">
        <v>120.407</v>
      </c>
      <c r="P23">
        <v>109.95399999999999</v>
      </c>
    </row>
    <row r="24" spans="2:16">
      <c r="B24" s="197" t="s">
        <v>171</v>
      </c>
      <c r="C24" s="198" t="s">
        <v>315</v>
      </c>
      <c r="D24" s="199">
        <f t="shared" si="6"/>
        <v>0</v>
      </c>
      <c r="E24" s="199">
        <f t="shared" si="6"/>
        <v>0</v>
      </c>
      <c r="F24" s="199">
        <f t="shared" si="6"/>
        <v>1.6847488929690031</v>
      </c>
      <c r="G24" s="200">
        <f t="shared" si="6"/>
        <v>0</v>
      </c>
      <c r="H24" s="225">
        <f t="shared" si="7"/>
        <v>1.6847488929690031</v>
      </c>
      <c r="K24" t="s">
        <v>605</v>
      </c>
      <c r="M24">
        <v>98.799000000000007</v>
      </c>
      <c r="N24">
        <v>137.321</v>
      </c>
      <c r="O24">
        <v>108.459</v>
      </c>
      <c r="P24">
        <v>104.898</v>
      </c>
    </row>
    <row r="25" spans="2:16">
      <c r="B25" s="197" t="s">
        <v>11</v>
      </c>
      <c r="C25" s="198" t="s">
        <v>11</v>
      </c>
      <c r="D25" s="199">
        <f t="shared" si="6"/>
        <v>0</v>
      </c>
      <c r="E25" s="199">
        <f t="shared" si="6"/>
        <v>0</v>
      </c>
      <c r="F25" s="199">
        <f t="shared" si="6"/>
        <v>4.569967959102855E-5</v>
      </c>
      <c r="G25" s="200">
        <f t="shared" si="6"/>
        <v>0</v>
      </c>
      <c r="H25" s="225">
        <f t="shared" si="7"/>
        <v>4.569967959102855E-5</v>
      </c>
      <c r="K25" t="s">
        <v>606</v>
      </c>
      <c r="M25">
        <v>131.316</v>
      </c>
      <c r="N25">
        <v>129.87799999999999</v>
      </c>
      <c r="O25">
        <v>133.684</v>
      </c>
      <c r="P25">
        <v>130.10400000000001</v>
      </c>
    </row>
    <row r="26" spans="2:16" ht="47.25">
      <c r="B26" s="197" t="s">
        <v>220</v>
      </c>
      <c r="C26" s="198" t="s">
        <v>548</v>
      </c>
      <c r="D26" s="199">
        <f t="shared" si="6"/>
        <v>425.34769185223041</v>
      </c>
      <c r="E26" s="199">
        <f t="shared" si="6"/>
        <v>172.79084386292621</v>
      </c>
      <c r="F26" s="199">
        <f t="shared" si="6"/>
        <v>3.2855209547467332</v>
      </c>
      <c r="G26" s="200">
        <f t="shared" si="6"/>
        <v>0</v>
      </c>
      <c r="H26" s="225">
        <f t="shared" si="7"/>
        <v>601.42405666990339</v>
      </c>
      <c r="K26" t="s">
        <v>233</v>
      </c>
      <c r="M26">
        <v>0.68300000000000005</v>
      </c>
      <c r="N26">
        <v>0.76600000000000001</v>
      </c>
      <c r="O26">
        <v>0.73099999999999998</v>
      </c>
      <c r="P26">
        <v>0.67300000000000004</v>
      </c>
    </row>
    <row r="27" spans="2:16" ht="31.5">
      <c r="B27" s="197" t="s">
        <v>365</v>
      </c>
      <c r="C27" s="198" t="s">
        <v>549</v>
      </c>
      <c r="D27" s="199">
        <f t="shared" si="6"/>
        <v>0</v>
      </c>
      <c r="E27" s="199">
        <f t="shared" si="6"/>
        <v>0</v>
      </c>
      <c r="F27" s="199">
        <f t="shared" si="6"/>
        <v>0</v>
      </c>
      <c r="G27" s="200">
        <f t="shared" si="6"/>
        <v>126.45347756049459</v>
      </c>
      <c r="H27" s="225">
        <f t="shared" si="7"/>
        <v>126.45347756049459</v>
      </c>
      <c r="K27" t="s">
        <v>11</v>
      </c>
      <c r="M27">
        <v>4.7E-2</v>
      </c>
      <c r="N27">
        <v>4.5999999999999999E-2</v>
      </c>
      <c r="O27">
        <v>4.5999999999999999E-2</v>
      </c>
      <c r="P27">
        <v>4.3999999999999997E-2</v>
      </c>
    </row>
    <row r="28" spans="2:16" ht="31.5">
      <c r="B28" s="197" t="s">
        <v>550</v>
      </c>
      <c r="C28" s="198" t="s">
        <v>551</v>
      </c>
      <c r="D28" s="199">
        <f t="shared" si="6"/>
        <v>0</v>
      </c>
      <c r="E28" s="199">
        <f t="shared" si="6"/>
        <v>0</v>
      </c>
      <c r="F28" s="199">
        <f t="shared" si="6"/>
        <v>0</v>
      </c>
      <c r="G28" s="200">
        <f t="shared" si="6"/>
        <v>0</v>
      </c>
      <c r="H28" s="225">
        <f t="shared" si="7"/>
        <v>0</v>
      </c>
      <c r="K28" t="s">
        <v>3</v>
      </c>
      <c r="M28">
        <v>22.146000000000001</v>
      </c>
      <c r="N28">
        <v>11.878</v>
      </c>
      <c r="O28">
        <v>13.599</v>
      </c>
      <c r="P28">
        <v>17.960999999999999</v>
      </c>
    </row>
    <row r="29" spans="2:16">
      <c r="B29" s="197" t="s">
        <v>187</v>
      </c>
      <c r="C29" s="198" t="s">
        <v>311</v>
      </c>
      <c r="D29" s="199">
        <f t="shared" si="6"/>
        <v>0</v>
      </c>
      <c r="E29" s="199">
        <f t="shared" si="6"/>
        <v>0</v>
      </c>
      <c r="F29" s="199">
        <f t="shared" si="6"/>
        <v>1.2193623501458042</v>
      </c>
      <c r="G29" s="200">
        <f t="shared" si="6"/>
        <v>0</v>
      </c>
      <c r="H29" s="225">
        <f t="shared" si="7"/>
        <v>1.2193623501458042</v>
      </c>
      <c r="K29" t="s">
        <v>229</v>
      </c>
      <c r="M29">
        <v>408.60700000000003</v>
      </c>
      <c r="N29">
        <v>254.76400000000001</v>
      </c>
      <c r="O29">
        <v>246.292</v>
      </c>
      <c r="P29">
        <v>269.44299999999998</v>
      </c>
    </row>
    <row r="30" spans="2:16">
      <c r="B30" s="197" t="s">
        <v>222</v>
      </c>
      <c r="C30" s="198" t="s">
        <v>552</v>
      </c>
      <c r="D30" s="199">
        <f t="shared" si="6"/>
        <v>39.620127741280001</v>
      </c>
      <c r="E30" s="199">
        <f t="shared" si="6"/>
        <v>0</v>
      </c>
      <c r="F30" s="199">
        <f t="shared" si="6"/>
        <v>8.5788572776037739</v>
      </c>
      <c r="G30" s="200">
        <f t="shared" si="6"/>
        <v>0</v>
      </c>
      <c r="H30" s="225">
        <f t="shared" si="7"/>
        <v>48.198985018883775</v>
      </c>
      <c r="K30" t="s">
        <v>282</v>
      </c>
      <c r="M30">
        <v>495.17899999999997</v>
      </c>
      <c r="N30">
        <v>500.99099999999999</v>
      </c>
      <c r="O30">
        <v>494.86099999999999</v>
      </c>
      <c r="P30">
        <v>617.15099999999995</v>
      </c>
    </row>
    <row r="31" spans="2:16">
      <c r="B31" s="197" t="s">
        <v>224</v>
      </c>
      <c r="C31" s="198" t="s">
        <v>553</v>
      </c>
      <c r="D31" s="199">
        <f t="shared" si="6"/>
        <v>1047.6329542632072</v>
      </c>
      <c r="E31" s="199">
        <f t="shared" si="6"/>
        <v>1166.051506823201</v>
      </c>
      <c r="F31" s="199">
        <f t="shared" si="6"/>
        <v>6.250987546718509</v>
      </c>
      <c r="G31" s="200">
        <f t="shared" si="6"/>
        <v>0</v>
      </c>
      <c r="H31" s="225">
        <f t="shared" si="7"/>
        <v>2219.9354486331267</v>
      </c>
    </row>
    <row r="32" spans="2:16">
      <c r="B32" s="197" t="s">
        <v>223</v>
      </c>
      <c r="C32" s="198" t="s">
        <v>322</v>
      </c>
      <c r="D32" s="199">
        <f t="shared" si="6"/>
        <v>4.7884678503006866</v>
      </c>
      <c r="E32" s="199">
        <f t="shared" si="6"/>
        <v>5.6297529951740577</v>
      </c>
      <c r="F32" s="199">
        <f t="shared" si="6"/>
        <v>0.24262173570471976</v>
      </c>
      <c r="G32" s="200">
        <f t="shared" si="6"/>
        <v>0</v>
      </c>
      <c r="H32" s="225">
        <f t="shared" si="7"/>
        <v>10.660842581179464</v>
      </c>
      <c r="K32" s="3" t="s">
        <v>607</v>
      </c>
      <c r="M32">
        <v>650.11500000000001</v>
      </c>
      <c r="N32">
        <v>659.62800000000004</v>
      </c>
      <c r="O32">
        <v>597.41200000000003</v>
      </c>
      <c r="P32">
        <v>690.35500000000002</v>
      </c>
    </row>
    <row r="33" spans="2:16" ht="16.5" thickBot="1">
      <c r="B33" s="201" t="s">
        <v>221</v>
      </c>
      <c r="C33" s="202" t="s">
        <v>554</v>
      </c>
      <c r="D33" s="203">
        <f t="shared" si="6"/>
        <v>6748.9185538602351</v>
      </c>
      <c r="E33" s="203">
        <f t="shared" si="6"/>
        <v>16.287982829228618</v>
      </c>
      <c r="F33" s="203">
        <f t="shared" si="6"/>
        <v>5.6822009468265122</v>
      </c>
      <c r="G33" s="204">
        <f t="shared" si="6"/>
        <v>0</v>
      </c>
      <c r="H33" s="225">
        <f t="shared" si="7"/>
        <v>6770.8887376362909</v>
      </c>
      <c r="K33" t="s">
        <v>3</v>
      </c>
      <c r="M33">
        <v>1.9039999999999999</v>
      </c>
      <c r="N33">
        <v>1.1359999999999999</v>
      </c>
      <c r="O33">
        <v>2.2389999999999999</v>
      </c>
      <c r="P33">
        <v>3.7610000000000001</v>
      </c>
    </row>
    <row r="34" spans="2:16">
      <c r="C34" s="63" t="s">
        <v>7</v>
      </c>
      <c r="D34" s="225">
        <f>SUM(D22:D33)</f>
        <v>8266.3185281942533</v>
      </c>
      <c r="E34" s="225">
        <f t="shared" ref="E34:G34" si="8">SUM(E22:E33)</f>
        <v>1360.9236506602961</v>
      </c>
      <c r="F34" s="225">
        <f t="shared" si="8"/>
        <v>27.737020971806533</v>
      </c>
      <c r="G34" s="225">
        <f t="shared" si="8"/>
        <v>126.45347756049459</v>
      </c>
      <c r="H34" s="225">
        <f t="shared" si="7"/>
        <v>9781.4326773868506</v>
      </c>
      <c r="K34" t="s">
        <v>282</v>
      </c>
      <c r="M34">
        <v>642.36400000000003</v>
      </c>
      <c r="N34">
        <v>651.78</v>
      </c>
      <c r="O34">
        <v>587.31100000000004</v>
      </c>
      <c r="P34">
        <v>678.404</v>
      </c>
    </row>
    <row r="35" spans="2:16">
      <c r="K35" t="s">
        <v>233</v>
      </c>
      <c r="M35">
        <v>5.8470000000000004</v>
      </c>
      <c r="N35">
        <v>6.7119999999999997</v>
      </c>
      <c r="O35">
        <v>7.8620000000000001</v>
      </c>
      <c r="P35">
        <v>8.19</v>
      </c>
    </row>
    <row r="36" spans="2:16">
      <c r="B36" s="688" t="s">
        <v>555</v>
      </c>
      <c r="C36" s="689"/>
      <c r="D36" s="689"/>
      <c r="E36" s="689"/>
      <c r="F36" s="689"/>
      <c r="G36" s="690"/>
      <c r="H36" s="3" t="s">
        <v>560</v>
      </c>
    </row>
    <row r="37" spans="2:16">
      <c r="B37" s="691"/>
      <c r="C37" s="692"/>
      <c r="D37" s="692"/>
      <c r="E37" s="692"/>
      <c r="F37" s="692"/>
      <c r="G37" s="693"/>
      <c r="H37" s="3"/>
      <c r="K37" s="3" t="s">
        <v>608</v>
      </c>
      <c r="M37">
        <v>294.71600000000001</v>
      </c>
      <c r="N37">
        <v>338.98</v>
      </c>
      <c r="O37">
        <v>357.99400000000003</v>
      </c>
      <c r="P37">
        <v>597.72299999999996</v>
      </c>
    </row>
    <row r="38" spans="2:16">
      <c r="B38" s="205"/>
      <c r="C38" s="7"/>
      <c r="D38" s="7" t="s">
        <v>383</v>
      </c>
      <c r="E38" s="7" t="s">
        <v>384</v>
      </c>
      <c r="F38" s="7" t="s">
        <v>172</v>
      </c>
      <c r="G38" s="206" t="s">
        <v>386</v>
      </c>
      <c r="H38" s="3"/>
      <c r="K38" t="s">
        <v>238</v>
      </c>
      <c r="M38">
        <v>1.492</v>
      </c>
      <c r="N38">
        <v>1.0960000000000001</v>
      </c>
      <c r="O38">
        <v>0.48899999999999999</v>
      </c>
      <c r="P38">
        <v>0</v>
      </c>
    </row>
    <row r="39" spans="2:16">
      <c r="B39" s="207" t="s">
        <v>218</v>
      </c>
      <c r="C39" s="198" t="s">
        <v>313</v>
      </c>
      <c r="D39" s="199">
        <v>0</v>
      </c>
      <c r="E39" s="199">
        <v>0</v>
      </c>
      <c r="F39" s="199">
        <f>+[1]OPERACIONES!D25</f>
        <v>0.68662517550491398</v>
      </c>
      <c r="G39" s="208">
        <v>0</v>
      </c>
      <c r="H39" s="225">
        <f>SUM(D39:G39)</f>
        <v>0.68662517550491398</v>
      </c>
      <c r="K39" t="s">
        <v>236</v>
      </c>
      <c r="M39">
        <v>2.0779999999999998</v>
      </c>
      <c r="N39">
        <v>2.6930000000000001</v>
      </c>
      <c r="O39">
        <v>2.7509999999999999</v>
      </c>
      <c r="P39">
        <v>3.214</v>
      </c>
    </row>
    <row r="40" spans="2:16">
      <c r="B40" s="207" t="s">
        <v>219</v>
      </c>
      <c r="C40" s="198" t="s">
        <v>318</v>
      </c>
      <c r="D40" s="199">
        <v>0</v>
      </c>
      <c r="E40" s="199">
        <v>0</v>
      </c>
      <c r="F40" s="199">
        <f>+[1]OPERACIONES!D23</f>
        <v>7.655578356193975E-4</v>
      </c>
      <c r="G40" s="208">
        <v>0</v>
      </c>
      <c r="H40" s="225">
        <f t="shared" ref="H40:H51" si="9">SUM(D40:G40)</f>
        <v>7.655578356193975E-4</v>
      </c>
      <c r="K40" t="s">
        <v>233</v>
      </c>
      <c r="M40">
        <v>8.5340000000000007</v>
      </c>
      <c r="N40">
        <v>15.657</v>
      </c>
      <c r="O40">
        <v>22.888999999999999</v>
      </c>
      <c r="P40">
        <v>28.498000000000001</v>
      </c>
    </row>
    <row r="41" spans="2:16">
      <c r="B41" s="207" t="s">
        <v>171</v>
      </c>
      <c r="C41" s="198" t="s">
        <v>315</v>
      </c>
      <c r="D41" s="199">
        <v>0</v>
      </c>
      <c r="E41" s="199">
        <v>0</v>
      </c>
      <c r="F41" s="199">
        <f>+[1]OPERACIONES!D24</f>
        <v>1.6847488929690031</v>
      </c>
      <c r="G41" s="208">
        <v>0</v>
      </c>
      <c r="H41" s="225">
        <f t="shared" si="9"/>
        <v>1.6847488929690031</v>
      </c>
      <c r="K41" t="s">
        <v>271</v>
      </c>
      <c r="M41">
        <v>58.57</v>
      </c>
      <c r="N41">
        <v>68.149000000000001</v>
      </c>
      <c r="O41">
        <v>68.405000000000001</v>
      </c>
      <c r="P41">
        <v>70.263999999999996</v>
      </c>
    </row>
    <row r="42" spans="2:16">
      <c r="B42" s="207" t="s">
        <v>11</v>
      </c>
      <c r="C42" s="198" t="s">
        <v>11</v>
      </c>
      <c r="D42" s="199">
        <v>0</v>
      </c>
      <c r="E42" s="199">
        <v>0</v>
      </c>
      <c r="F42" s="199">
        <f>+[1]OPERACIONES!D27</f>
        <v>4.569967959102855E-5</v>
      </c>
      <c r="G42" s="208">
        <v>0</v>
      </c>
      <c r="H42" s="225">
        <f t="shared" si="9"/>
        <v>4.569967959102855E-5</v>
      </c>
      <c r="K42" t="s">
        <v>11</v>
      </c>
      <c r="M42">
        <v>0.313</v>
      </c>
      <c r="N42">
        <v>0.625</v>
      </c>
      <c r="O42">
        <v>0.68200000000000005</v>
      </c>
      <c r="P42">
        <v>0.86399999999999999</v>
      </c>
    </row>
    <row r="43" spans="2:16" ht="47.25">
      <c r="B43" s="207" t="s">
        <v>220</v>
      </c>
      <c r="C43" s="198" t="s">
        <v>548</v>
      </c>
      <c r="D43" s="199">
        <v>0</v>
      </c>
      <c r="E43" s="199">
        <v>0</v>
      </c>
      <c r="F43" s="199">
        <v>0</v>
      </c>
      <c r="G43" s="208">
        <v>0</v>
      </c>
      <c r="H43" s="225">
        <f t="shared" si="9"/>
        <v>0</v>
      </c>
      <c r="K43" t="s">
        <v>609</v>
      </c>
      <c r="M43">
        <v>1.972</v>
      </c>
      <c r="N43">
        <v>1.9259999999999999</v>
      </c>
      <c r="O43">
        <v>1.8680000000000001</v>
      </c>
      <c r="P43">
        <v>1.9119999999999999</v>
      </c>
    </row>
    <row r="44" spans="2:16" ht="31.5">
      <c r="B44" s="207" t="s">
        <v>365</v>
      </c>
      <c r="C44" s="198" t="s">
        <v>549</v>
      </c>
      <c r="D44" s="199">
        <v>0</v>
      </c>
      <c r="E44" s="199">
        <v>0</v>
      </c>
      <c r="F44" s="199">
        <v>0</v>
      </c>
      <c r="G44" s="208">
        <v>0</v>
      </c>
      <c r="H44" s="225">
        <f t="shared" si="9"/>
        <v>0</v>
      </c>
      <c r="K44" t="s">
        <v>235</v>
      </c>
      <c r="M44">
        <v>0</v>
      </c>
      <c r="N44">
        <v>0</v>
      </c>
      <c r="O44">
        <v>0.84599999999999997</v>
      </c>
      <c r="P44">
        <v>2.4910000000000001</v>
      </c>
    </row>
    <row r="45" spans="2:16" ht="31.5">
      <c r="B45" s="207" t="s">
        <v>550</v>
      </c>
      <c r="C45" s="198" t="s">
        <v>551</v>
      </c>
      <c r="D45" s="199">
        <v>0</v>
      </c>
      <c r="E45" s="199">
        <v>0</v>
      </c>
      <c r="F45" s="199">
        <v>0</v>
      </c>
      <c r="G45" s="208">
        <v>0</v>
      </c>
      <c r="H45" s="225">
        <f t="shared" si="9"/>
        <v>0</v>
      </c>
      <c r="K45" t="s">
        <v>231</v>
      </c>
      <c r="M45">
        <v>36.118000000000002</v>
      </c>
      <c r="N45">
        <v>38.997999999999998</v>
      </c>
      <c r="O45">
        <v>39.341000000000001</v>
      </c>
      <c r="P45">
        <v>34.911999999999999</v>
      </c>
    </row>
    <row r="46" spans="2:16">
      <c r="B46" s="207" t="s">
        <v>187</v>
      </c>
      <c r="C46" s="198" t="s">
        <v>311</v>
      </c>
      <c r="D46" s="199">
        <v>0</v>
      </c>
      <c r="E46" s="199">
        <v>0</v>
      </c>
      <c r="F46" s="199">
        <f>+[1]OPERACIONES!D26</f>
        <v>1.2193623501458042</v>
      </c>
      <c r="G46" s="208">
        <v>0</v>
      </c>
      <c r="H46" s="225">
        <f t="shared" si="9"/>
        <v>1.2193623501458042</v>
      </c>
      <c r="K46" t="s">
        <v>294</v>
      </c>
      <c r="M46">
        <v>5.5449999999999999</v>
      </c>
      <c r="N46">
        <v>5.1390000000000002</v>
      </c>
      <c r="O46">
        <v>5.093</v>
      </c>
      <c r="P46">
        <v>3.6</v>
      </c>
    </row>
    <row r="47" spans="2:16">
      <c r="B47" s="207" t="s">
        <v>222</v>
      </c>
      <c r="C47" s="198" t="s">
        <v>552</v>
      </c>
      <c r="D47" s="199">
        <f>+[1]OPERACIONES!H20</f>
        <v>0.42469153683000005</v>
      </c>
      <c r="E47" s="199">
        <v>0</v>
      </c>
      <c r="F47" s="199">
        <f>+[1]OPERACIONES!D20</f>
        <v>7.0185735896605115</v>
      </c>
      <c r="G47" s="208">
        <v>0</v>
      </c>
      <c r="H47" s="225">
        <f t="shared" si="9"/>
        <v>7.4432651264905116</v>
      </c>
      <c r="K47" t="s">
        <v>3</v>
      </c>
      <c r="M47">
        <v>3.859</v>
      </c>
      <c r="N47">
        <v>4.7919999999999998</v>
      </c>
      <c r="O47">
        <v>4.8639999999999999</v>
      </c>
      <c r="P47">
        <v>6.681</v>
      </c>
    </row>
    <row r="48" spans="2:16">
      <c r="B48" s="207" t="s">
        <v>224</v>
      </c>
      <c r="C48" s="198" t="s">
        <v>553</v>
      </c>
      <c r="D48" s="199">
        <f>+[1]OPERACIONES!F21</f>
        <v>0.88616855770150027</v>
      </c>
      <c r="E48" s="199">
        <f>+[1]OPERACIONES!E21</f>
        <v>448.63824087212868</v>
      </c>
      <c r="F48" s="199">
        <f>+[1]OPERACIONES!D21</f>
        <v>4.9129150880224657</v>
      </c>
      <c r="G48" s="208">
        <v>0</v>
      </c>
      <c r="H48" s="225">
        <f t="shared" si="9"/>
        <v>454.43732451785269</v>
      </c>
      <c r="K48" t="s">
        <v>229</v>
      </c>
      <c r="M48">
        <v>5.1120000000000001</v>
      </c>
      <c r="N48">
        <v>3.7570000000000001</v>
      </c>
      <c r="O48">
        <v>2.1120000000000001</v>
      </c>
      <c r="P48">
        <v>3.8530000000000002</v>
      </c>
    </row>
    <row r="49" spans="2:16">
      <c r="B49" s="207" t="s">
        <v>223</v>
      </c>
      <c r="C49" s="198" t="s">
        <v>322</v>
      </c>
      <c r="D49" s="199">
        <f>+[1]OPERACIONES!F22+[1]OPERACIONES!G22</f>
        <v>1.6295219483878611</v>
      </c>
      <c r="E49" s="199">
        <f>+[1]OPERACIONES!E22</f>
        <v>2.4140196014628277</v>
      </c>
      <c r="F49" s="199">
        <f>+[1]OPERACIONES!D22</f>
        <v>0.18264935738200672</v>
      </c>
      <c r="G49" s="208">
        <v>0</v>
      </c>
      <c r="H49" s="225">
        <f t="shared" si="9"/>
        <v>4.2261909072326951</v>
      </c>
      <c r="K49" t="s">
        <v>282</v>
      </c>
      <c r="M49">
        <v>166.14699999999999</v>
      </c>
      <c r="N49">
        <v>189.31299999999999</v>
      </c>
      <c r="O49">
        <v>202.82499999999999</v>
      </c>
      <c r="P49">
        <v>435.74900000000002</v>
      </c>
    </row>
    <row r="50" spans="2:16">
      <c r="B50" s="209" t="s">
        <v>221</v>
      </c>
      <c r="C50" s="210" t="s">
        <v>554</v>
      </c>
      <c r="D50" s="211">
        <f>+[1]OPERACIONES!F29+[1]OPERACIONES!G29</f>
        <v>25.754406055362452</v>
      </c>
      <c r="E50" s="211">
        <f>+[1]OPERACIONES!E29</f>
        <v>6.9842335626009442</v>
      </c>
      <c r="F50" s="211">
        <f>+[1]OPERACIONES!D29</f>
        <v>5.6651329949238587</v>
      </c>
      <c r="G50" s="212">
        <v>0</v>
      </c>
      <c r="H50" s="225">
        <f t="shared" si="9"/>
        <v>38.403772612887252</v>
      </c>
      <c r="K50" t="s">
        <v>610</v>
      </c>
      <c r="M50">
        <v>4.9749999999999996</v>
      </c>
      <c r="N50">
        <v>6.835</v>
      </c>
      <c r="O50">
        <v>5.8289999999999997</v>
      </c>
      <c r="P50">
        <v>5.6859999999999999</v>
      </c>
    </row>
    <row r="51" spans="2:16">
      <c r="C51" s="63" t="s">
        <v>7</v>
      </c>
      <c r="D51" s="225">
        <f>SUM(D39:D50)</f>
        <v>28.694788098281812</v>
      </c>
      <c r="E51" s="225">
        <f t="shared" ref="E51:G51" si="10">SUM(E39:E50)</f>
        <v>458.03649403619244</v>
      </c>
      <c r="F51" s="225">
        <f t="shared" si="10"/>
        <v>21.370818706123774</v>
      </c>
      <c r="G51" s="225">
        <f t="shared" si="10"/>
        <v>0</v>
      </c>
      <c r="H51" s="225">
        <f t="shared" si="9"/>
        <v>508.10210084059804</v>
      </c>
    </row>
    <row r="52" spans="2:16">
      <c r="K52" s="3" t="s">
        <v>611</v>
      </c>
      <c r="M52">
        <v>0</v>
      </c>
      <c r="N52">
        <v>0</v>
      </c>
      <c r="O52">
        <v>0</v>
      </c>
      <c r="P52">
        <v>6.16</v>
      </c>
    </row>
    <row r="53" spans="2:16">
      <c r="B53" s="688" t="s">
        <v>556</v>
      </c>
      <c r="C53" s="689"/>
      <c r="D53" s="689"/>
      <c r="E53" s="689"/>
      <c r="F53" s="689"/>
      <c r="G53" s="690"/>
      <c r="H53" s="3" t="s">
        <v>560</v>
      </c>
      <c r="K53" t="s">
        <v>236</v>
      </c>
      <c r="M53">
        <v>0</v>
      </c>
      <c r="N53">
        <v>0</v>
      </c>
      <c r="O53">
        <v>0</v>
      </c>
      <c r="P53">
        <v>2.3980000000000001</v>
      </c>
    </row>
    <row r="54" spans="2:16">
      <c r="B54" s="691"/>
      <c r="C54" s="692"/>
      <c r="D54" s="692"/>
      <c r="E54" s="692"/>
      <c r="F54" s="692"/>
      <c r="G54" s="693"/>
      <c r="H54" s="3"/>
      <c r="K54" t="s">
        <v>271</v>
      </c>
      <c r="M54">
        <v>0</v>
      </c>
      <c r="N54">
        <v>0</v>
      </c>
      <c r="O54">
        <v>0</v>
      </c>
      <c r="P54">
        <v>0.14499999999999999</v>
      </c>
    </row>
    <row r="55" spans="2:16">
      <c r="B55" s="205"/>
      <c r="C55" s="7"/>
      <c r="D55" s="7" t="s">
        <v>383</v>
      </c>
      <c r="E55" s="7" t="s">
        <v>384</v>
      </c>
      <c r="F55" s="7" t="s">
        <v>172</v>
      </c>
      <c r="G55" s="206" t="s">
        <v>386</v>
      </c>
      <c r="H55" s="3"/>
      <c r="K55" t="s">
        <v>3</v>
      </c>
      <c r="M55">
        <v>0</v>
      </c>
      <c r="N55">
        <v>0</v>
      </c>
      <c r="O55">
        <v>0</v>
      </c>
      <c r="P55">
        <v>0.29899999999999999</v>
      </c>
    </row>
    <row r="56" spans="2:16">
      <c r="B56" s="207" t="s">
        <v>218</v>
      </c>
      <c r="C56" s="198" t="s">
        <v>313</v>
      </c>
      <c r="D56" s="199">
        <v>0</v>
      </c>
      <c r="E56" s="199">
        <v>0</v>
      </c>
      <c r="F56" s="199">
        <v>0</v>
      </c>
      <c r="G56" s="208">
        <v>0</v>
      </c>
      <c r="H56" s="225">
        <f>SUM(D56:G56)</f>
        <v>0</v>
      </c>
      <c r="K56" t="s">
        <v>10</v>
      </c>
      <c r="M56">
        <v>0</v>
      </c>
      <c r="N56">
        <v>0</v>
      </c>
      <c r="O56">
        <v>0</v>
      </c>
      <c r="P56">
        <v>3.3180000000000001</v>
      </c>
    </row>
    <row r="57" spans="2:16">
      <c r="B57" s="207" t="s">
        <v>219</v>
      </c>
      <c r="C57" s="198" t="s">
        <v>318</v>
      </c>
      <c r="D57" s="199">
        <v>0</v>
      </c>
      <c r="E57" s="199">
        <v>0</v>
      </c>
      <c r="F57" s="199">
        <f>+[1]OPERACIONES!D44</f>
        <v>2.8253591100550816E-2</v>
      </c>
      <c r="G57" s="208">
        <v>0</v>
      </c>
      <c r="H57" s="225">
        <f t="shared" ref="H57:H68" si="11">SUM(D57:G57)</f>
        <v>2.8253591100550816E-2</v>
      </c>
    </row>
    <row r="58" spans="2:16">
      <c r="B58" s="207" t="s">
        <v>171</v>
      </c>
      <c r="C58" s="198" t="s">
        <v>315</v>
      </c>
      <c r="D58" s="199">
        <v>0</v>
      </c>
      <c r="E58" s="199">
        <v>0</v>
      </c>
      <c r="F58" s="199">
        <v>0</v>
      </c>
      <c r="G58" s="208">
        <v>0</v>
      </c>
      <c r="H58" s="225">
        <f t="shared" si="11"/>
        <v>0</v>
      </c>
      <c r="K58" s="3" t="s">
        <v>612</v>
      </c>
      <c r="M58">
        <v>1069.625</v>
      </c>
      <c r="N58">
        <v>1091.9369999999999</v>
      </c>
      <c r="O58">
        <v>1117.259</v>
      </c>
      <c r="P58">
        <v>1153.241</v>
      </c>
    </row>
    <row r="59" spans="2:16">
      <c r="B59" s="207" t="s">
        <v>11</v>
      </c>
      <c r="C59" s="198" t="s">
        <v>11</v>
      </c>
      <c r="D59" s="199">
        <v>0</v>
      </c>
      <c r="E59" s="199">
        <v>0</v>
      </c>
      <c r="F59" s="199">
        <v>0</v>
      </c>
      <c r="G59" s="208">
        <v>0</v>
      </c>
      <c r="H59" s="225">
        <f t="shared" si="11"/>
        <v>0</v>
      </c>
      <c r="K59" t="s">
        <v>613</v>
      </c>
      <c r="M59">
        <v>621.96199999999999</v>
      </c>
      <c r="N59">
        <v>621.149</v>
      </c>
      <c r="O59">
        <v>619.14300000000003</v>
      </c>
      <c r="P59">
        <v>628.98500000000001</v>
      </c>
    </row>
    <row r="60" spans="2:16" ht="47.25">
      <c r="B60" s="207" t="s">
        <v>220</v>
      </c>
      <c r="C60" s="198" t="s">
        <v>548</v>
      </c>
      <c r="D60" s="199">
        <v>0</v>
      </c>
      <c r="E60" s="199">
        <v>0</v>
      </c>
      <c r="F60" s="199">
        <v>0</v>
      </c>
      <c r="G60" s="208">
        <v>0</v>
      </c>
      <c r="H60" s="225">
        <f t="shared" si="11"/>
        <v>0</v>
      </c>
      <c r="K60" t="s">
        <v>614</v>
      </c>
      <c r="M60">
        <v>309.04399999999998</v>
      </c>
      <c r="N60">
        <v>315.34699999999998</v>
      </c>
      <c r="O60">
        <v>325.76799999999997</v>
      </c>
      <c r="P60">
        <v>325.18599999999998</v>
      </c>
    </row>
    <row r="61" spans="2:16" ht="31.5">
      <c r="B61" s="207" t="s">
        <v>365</v>
      </c>
      <c r="C61" s="198" t="s">
        <v>549</v>
      </c>
      <c r="D61" s="199">
        <v>0</v>
      </c>
      <c r="E61" s="199">
        <v>0</v>
      </c>
      <c r="F61" s="199">
        <v>0</v>
      </c>
      <c r="G61" s="208">
        <v>0</v>
      </c>
      <c r="H61" s="225">
        <f t="shared" si="11"/>
        <v>0</v>
      </c>
      <c r="K61" t="s">
        <v>615</v>
      </c>
      <c r="M61">
        <v>138.619</v>
      </c>
      <c r="N61">
        <v>155.441</v>
      </c>
      <c r="O61">
        <v>172.34800000000001</v>
      </c>
      <c r="P61">
        <v>195.816</v>
      </c>
    </row>
    <row r="62" spans="2:16" ht="31.5">
      <c r="B62" s="207" t="s">
        <v>550</v>
      </c>
      <c r="C62" s="198" t="s">
        <v>551</v>
      </c>
      <c r="D62" s="199">
        <v>0</v>
      </c>
      <c r="E62" s="199">
        <v>0</v>
      </c>
      <c r="F62" s="199">
        <v>0</v>
      </c>
      <c r="G62" s="208">
        <v>0</v>
      </c>
      <c r="H62" s="225">
        <f t="shared" si="11"/>
        <v>0</v>
      </c>
      <c r="K62" t="s">
        <v>616</v>
      </c>
      <c r="M62" t="s">
        <v>228</v>
      </c>
      <c r="N62" t="s">
        <v>228</v>
      </c>
      <c r="O62" t="s">
        <v>228</v>
      </c>
      <c r="P62">
        <v>3.254</v>
      </c>
    </row>
    <row r="63" spans="2:16">
      <c r="B63" s="207" t="s">
        <v>187</v>
      </c>
      <c r="C63" s="198" t="s">
        <v>311</v>
      </c>
      <c r="D63" s="199">
        <v>0</v>
      </c>
      <c r="E63" s="199">
        <v>0</v>
      </c>
      <c r="F63" s="199">
        <v>0</v>
      </c>
      <c r="G63" s="208">
        <v>0</v>
      </c>
      <c r="H63" s="225">
        <f t="shared" si="11"/>
        <v>0</v>
      </c>
    </row>
    <row r="64" spans="2:16">
      <c r="B64" s="207" t="s">
        <v>222</v>
      </c>
      <c r="C64" s="198" t="s">
        <v>552</v>
      </c>
      <c r="D64" s="199">
        <v>0</v>
      </c>
      <c r="E64" s="199">
        <v>0</v>
      </c>
      <c r="F64" s="199">
        <v>0</v>
      </c>
      <c r="G64" s="208">
        <v>0</v>
      </c>
      <c r="H64" s="225">
        <f t="shared" si="11"/>
        <v>0</v>
      </c>
      <c r="K64" t="s">
        <v>272</v>
      </c>
    </row>
    <row r="65" spans="2:11">
      <c r="B65" s="207" t="s">
        <v>224</v>
      </c>
      <c r="C65" s="198" t="s">
        <v>553</v>
      </c>
      <c r="D65" s="199">
        <f>+[1]OPERACIONES!G43</f>
        <v>1.5714413930000002</v>
      </c>
      <c r="E65" s="199">
        <f>+[1]OPERACIONES!E43</f>
        <v>597.63432409336326</v>
      </c>
      <c r="F65" s="199">
        <v>0</v>
      </c>
      <c r="G65" s="208">
        <v>0</v>
      </c>
      <c r="H65" s="225">
        <f t="shared" si="11"/>
        <v>599.20576548636325</v>
      </c>
      <c r="K65" t="s">
        <v>617</v>
      </c>
    </row>
    <row r="66" spans="2:11">
      <c r="B66" s="207" t="s">
        <v>223</v>
      </c>
      <c r="C66" s="198" t="s">
        <v>322</v>
      </c>
      <c r="D66" s="199">
        <v>0</v>
      </c>
      <c r="E66" s="199">
        <v>0</v>
      </c>
      <c r="F66" s="199">
        <v>0</v>
      </c>
      <c r="G66" s="208">
        <v>0</v>
      </c>
      <c r="H66" s="225">
        <f t="shared" si="11"/>
        <v>0</v>
      </c>
      <c r="K66" t="s">
        <v>618</v>
      </c>
    </row>
    <row r="67" spans="2:11">
      <c r="B67" s="209" t="s">
        <v>221</v>
      </c>
      <c r="C67" s="210" t="s">
        <v>554</v>
      </c>
      <c r="D67" s="211">
        <v>0</v>
      </c>
      <c r="E67" s="211">
        <v>0</v>
      </c>
      <c r="F67" s="211">
        <v>0</v>
      </c>
      <c r="G67" s="212">
        <v>0</v>
      </c>
      <c r="H67" s="225">
        <f t="shared" si="11"/>
        <v>0</v>
      </c>
      <c r="K67" t="s">
        <v>619</v>
      </c>
    </row>
    <row r="68" spans="2:11">
      <c r="C68" s="63" t="s">
        <v>7</v>
      </c>
      <c r="D68" s="225">
        <f>SUM(D56:D67)</f>
        <v>1.5714413930000002</v>
      </c>
      <c r="E68" s="225">
        <f t="shared" ref="E68:G68" si="12">SUM(E56:E67)</f>
        <v>597.63432409336326</v>
      </c>
      <c r="F68" s="225">
        <f t="shared" si="12"/>
        <v>2.8253591100550816E-2</v>
      </c>
      <c r="G68" s="225">
        <f t="shared" si="12"/>
        <v>0</v>
      </c>
      <c r="H68" s="225">
        <f t="shared" si="11"/>
        <v>599.23401907746381</v>
      </c>
    </row>
    <row r="69" spans="2:11">
      <c r="K69" t="s">
        <v>620</v>
      </c>
    </row>
    <row r="70" spans="2:11">
      <c r="B70" s="688" t="s">
        <v>557</v>
      </c>
      <c r="C70" s="689"/>
      <c r="D70" s="689"/>
      <c r="E70" s="689"/>
      <c r="F70" s="689"/>
      <c r="G70" s="690"/>
      <c r="H70" s="3" t="s">
        <v>560</v>
      </c>
    </row>
    <row r="71" spans="2:11">
      <c r="B71" s="691"/>
      <c r="C71" s="692"/>
      <c r="D71" s="692"/>
      <c r="E71" s="692"/>
      <c r="F71" s="692"/>
      <c r="G71" s="693"/>
      <c r="H71" s="3"/>
    </row>
    <row r="72" spans="2:11">
      <c r="B72" s="205"/>
      <c r="C72" s="7"/>
      <c r="D72" s="7" t="s">
        <v>383</v>
      </c>
      <c r="E72" s="7" t="s">
        <v>384</v>
      </c>
      <c r="F72" s="7" t="s">
        <v>172</v>
      </c>
      <c r="G72" s="206" t="s">
        <v>386</v>
      </c>
      <c r="H72" s="3"/>
    </row>
    <row r="73" spans="2:11">
      <c r="B73" s="207" t="s">
        <v>218</v>
      </c>
      <c r="C73" s="198" t="s">
        <v>313</v>
      </c>
      <c r="D73" s="199">
        <v>0</v>
      </c>
      <c r="E73" s="199">
        <v>0</v>
      </c>
      <c r="F73" s="199">
        <v>0</v>
      </c>
      <c r="G73" s="208">
        <v>0</v>
      </c>
      <c r="H73" s="225">
        <f>SUM(D73:G73)</f>
        <v>0</v>
      </c>
    </row>
    <row r="74" spans="2:11">
      <c r="B74" s="207" t="s">
        <v>219</v>
      </c>
      <c r="C74" s="198" t="s">
        <v>318</v>
      </c>
      <c r="D74" s="199">
        <v>0</v>
      </c>
      <c r="E74" s="199">
        <v>0</v>
      </c>
      <c r="F74" s="199">
        <v>0</v>
      </c>
      <c r="G74" s="208">
        <v>0</v>
      </c>
      <c r="H74" s="225">
        <f t="shared" ref="H74:H85" si="13">SUM(D74:G74)</f>
        <v>0</v>
      </c>
    </row>
    <row r="75" spans="2:11">
      <c r="B75" s="207" t="s">
        <v>171</v>
      </c>
      <c r="C75" s="198" t="s">
        <v>315</v>
      </c>
      <c r="D75" s="199">
        <v>0</v>
      </c>
      <c r="E75" s="199">
        <v>0</v>
      </c>
      <c r="F75" s="199">
        <v>0</v>
      </c>
      <c r="G75" s="208">
        <v>0</v>
      </c>
      <c r="H75" s="225">
        <f t="shared" si="13"/>
        <v>0</v>
      </c>
    </row>
    <row r="76" spans="2:11">
      <c r="B76" s="207" t="s">
        <v>11</v>
      </c>
      <c r="C76" s="198" t="s">
        <v>11</v>
      </c>
      <c r="D76" s="199">
        <v>0</v>
      </c>
      <c r="E76" s="199">
        <v>0</v>
      </c>
      <c r="F76" s="199">
        <v>0</v>
      </c>
      <c r="G76" s="208">
        <v>0</v>
      </c>
      <c r="H76" s="225">
        <f t="shared" si="13"/>
        <v>0</v>
      </c>
    </row>
    <row r="77" spans="2:11" ht="47.25">
      <c r="B77" s="207" t="s">
        <v>220</v>
      </c>
      <c r="C77" s="198" t="s">
        <v>548</v>
      </c>
      <c r="D77" s="199">
        <f>+[1]OPERACIONES!F61+[1]OPERACIONES!G61+[1]OPERACIONES!I61+[1]OPERACIONES!R61+[1]OPERACIONES!T61</f>
        <v>425.34769185223041</v>
      </c>
      <c r="E77" s="199">
        <f>+[1]OPERACIONES!E61</f>
        <v>172.79084386292621</v>
      </c>
      <c r="F77" s="199">
        <f>+[1]OPERACIONES!D61</f>
        <v>3.2855209547467332</v>
      </c>
      <c r="G77" s="208">
        <v>0</v>
      </c>
      <c r="H77" s="225">
        <f t="shared" si="13"/>
        <v>601.42405666990339</v>
      </c>
    </row>
    <row r="78" spans="2:11" ht="31.5">
      <c r="B78" s="207" t="s">
        <v>365</v>
      </c>
      <c r="C78" s="198" t="s">
        <v>549</v>
      </c>
      <c r="D78" s="199">
        <v>0</v>
      </c>
      <c r="E78" s="199">
        <v>0</v>
      </c>
      <c r="F78" s="199">
        <v>0</v>
      </c>
      <c r="G78" s="208">
        <v>0</v>
      </c>
      <c r="H78" s="225">
        <f t="shared" si="13"/>
        <v>0</v>
      </c>
    </row>
    <row r="79" spans="2:11" ht="31.5">
      <c r="B79" s="207" t="s">
        <v>550</v>
      </c>
      <c r="C79" s="198" t="s">
        <v>551</v>
      </c>
      <c r="D79" s="199">
        <v>0</v>
      </c>
      <c r="E79" s="199">
        <v>0</v>
      </c>
      <c r="F79" s="199">
        <v>0</v>
      </c>
      <c r="G79" s="208">
        <v>0</v>
      </c>
      <c r="H79" s="225">
        <f t="shared" si="13"/>
        <v>0</v>
      </c>
    </row>
    <row r="80" spans="2:11">
      <c r="B80" s="207" t="s">
        <v>187</v>
      </c>
      <c r="C80" s="198" t="s">
        <v>311</v>
      </c>
      <c r="D80" s="199">
        <v>0</v>
      </c>
      <c r="E80" s="199">
        <v>0</v>
      </c>
      <c r="F80" s="199">
        <v>0</v>
      </c>
      <c r="G80" s="208">
        <v>0</v>
      </c>
      <c r="H80" s="225">
        <f t="shared" si="13"/>
        <v>0</v>
      </c>
    </row>
    <row r="81" spans="2:8">
      <c r="B81" s="207" t="s">
        <v>222</v>
      </c>
      <c r="C81" s="198" t="s">
        <v>552</v>
      </c>
      <c r="D81" s="199">
        <v>0</v>
      </c>
      <c r="E81" s="199">
        <v>0</v>
      </c>
      <c r="F81" s="199">
        <v>0</v>
      </c>
      <c r="G81" s="208">
        <v>0</v>
      </c>
      <c r="H81" s="225">
        <f t="shared" si="13"/>
        <v>0</v>
      </c>
    </row>
    <row r="82" spans="2:8">
      <c r="B82" s="207" t="s">
        <v>224</v>
      </c>
      <c r="C82" s="198" t="s">
        <v>553</v>
      </c>
      <c r="D82" s="199">
        <v>0</v>
      </c>
      <c r="E82" s="199">
        <v>0</v>
      </c>
      <c r="F82" s="199">
        <v>0</v>
      </c>
      <c r="G82" s="208">
        <v>0</v>
      </c>
      <c r="H82" s="225">
        <f t="shared" si="13"/>
        <v>0</v>
      </c>
    </row>
    <row r="83" spans="2:8">
      <c r="B83" s="207" t="s">
        <v>223</v>
      </c>
      <c r="C83" s="198" t="s">
        <v>322</v>
      </c>
      <c r="D83" s="199">
        <v>0</v>
      </c>
      <c r="E83" s="199">
        <v>0</v>
      </c>
      <c r="F83" s="199">
        <v>0</v>
      </c>
      <c r="G83" s="208">
        <v>0</v>
      </c>
      <c r="H83" s="225">
        <f t="shared" si="13"/>
        <v>0</v>
      </c>
    </row>
    <row r="84" spans="2:8">
      <c r="B84" s="209" t="s">
        <v>221</v>
      </c>
      <c r="C84" s="210" t="s">
        <v>554</v>
      </c>
      <c r="D84" s="211">
        <v>0</v>
      </c>
      <c r="E84" s="211">
        <v>0</v>
      </c>
      <c r="F84" s="211">
        <v>0</v>
      </c>
      <c r="G84" s="212">
        <v>0</v>
      </c>
      <c r="H84" s="225">
        <f t="shared" si="13"/>
        <v>0</v>
      </c>
    </row>
    <row r="85" spans="2:8">
      <c r="C85" s="63" t="s">
        <v>7</v>
      </c>
      <c r="D85" s="225">
        <f>SUM(D73:D84)</f>
        <v>425.34769185223041</v>
      </c>
      <c r="E85" s="225">
        <f t="shared" ref="E85:G85" si="14">SUM(E73:E84)</f>
        <v>172.79084386292621</v>
      </c>
      <c r="F85" s="225">
        <f t="shared" si="14"/>
        <v>3.2855209547467332</v>
      </c>
      <c r="G85" s="225">
        <f t="shared" si="14"/>
        <v>0</v>
      </c>
      <c r="H85" s="225">
        <f t="shared" si="13"/>
        <v>601.42405666990339</v>
      </c>
    </row>
    <row r="87" spans="2:8">
      <c r="B87" s="688" t="s">
        <v>558</v>
      </c>
      <c r="C87" s="689"/>
      <c r="D87" s="689"/>
      <c r="E87" s="689"/>
      <c r="F87" s="689"/>
      <c r="G87" s="690"/>
      <c r="H87" s="3" t="s">
        <v>560</v>
      </c>
    </row>
    <row r="88" spans="2:8">
      <c r="B88" s="691"/>
      <c r="C88" s="692"/>
      <c r="D88" s="692"/>
      <c r="E88" s="692"/>
      <c r="F88" s="692"/>
      <c r="G88" s="693"/>
      <c r="H88" s="3"/>
    </row>
    <row r="89" spans="2:8">
      <c r="B89" s="205"/>
      <c r="C89" s="7"/>
      <c r="D89" s="7" t="s">
        <v>383</v>
      </c>
      <c r="E89" s="7" t="s">
        <v>384</v>
      </c>
      <c r="F89" s="7" t="s">
        <v>172</v>
      </c>
      <c r="G89" s="206" t="s">
        <v>386</v>
      </c>
      <c r="H89" s="3"/>
    </row>
    <row r="90" spans="2:8">
      <c r="B90" s="207" t="s">
        <v>218</v>
      </c>
      <c r="C90" s="198" t="s">
        <v>313</v>
      </c>
      <c r="D90" s="199">
        <v>0</v>
      </c>
      <c r="E90" s="199">
        <v>0</v>
      </c>
      <c r="F90" s="199">
        <v>0</v>
      </c>
      <c r="G90" s="208">
        <v>0</v>
      </c>
      <c r="H90" s="225">
        <f>SUM(D90:G90)</f>
        <v>0</v>
      </c>
    </row>
    <row r="91" spans="2:8">
      <c r="B91" s="207" t="s">
        <v>219</v>
      </c>
      <c r="C91" s="198" t="s">
        <v>318</v>
      </c>
      <c r="D91" s="199">
        <v>0</v>
      </c>
      <c r="E91" s="199">
        <v>0</v>
      </c>
      <c r="F91" s="199">
        <v>0</v>
      </c>
      <c r="G91" s="208">
        <v>0</v>
      </c>
      <c r="H91" s="225">
        <f t="shared" ref="H91:H102" si="15">SUM(D91:G91)</f>
        <v>0</v>
      </c>
    </row>
    <row r="92" spans="2:8">
      <c r="B92" s="207" t="s">
        <v>171</v>
      </c>
      <c r="C92" s="198" t="s">
        <v>315</v>
      </c>
      <c r="D92" s="199">
        <v>0</v>
      </c>
      <c r="E92" s="199">
        <v>0</v>
      </c>
      <c r="F92" s="199">
        <v>0</v>
      </c>
      <c r="G92" s="208">
        <v>0</v>
      </c>
      <c r="H92" s="225">
        <f t="shared" si="15"/>
        <v>0</v>
      </c>
    </row>
    <row r="93" spans="2:8">
      <c r="B93" s="207" t="s">
        <v>11</v>
      </c>
      <c r="C93" s="198" t="s">
        <v>11</v>
      </c>
      <c r="D93" s="199">
        <v>0</v>
      </c>
      <c r="E93" s="199">
        <v>0</v>
      </c>
      <c r="F93" s="199">
        <v>0</v>
      </c>
      <c r="G93" s="208">
        <v>0</v>
      </c>
      <c r="H93" s="225">
        <f t="shared" si="15"/>
        <v>0</v>
      </c>
    </row>
    <row r="94" spans="2:8" ht="47.25">
      <c r="B94" s="207" t="s">
        <v>220</v>
      </c>
      <c r="C94" s="198" t="s">
        <v>548</v>
      </c>
      <c r="D94" s="199">
        <f>+[1]OPERACIONES!F78+[1]OPERACIONES!G78+[1]OPERACIONES!I78+[1]OPERACIONES!R78+[1]OPERACIONES!T78</f>
        <v>0</v>
      </c>
      <c r="E94" s="199">
        <f>+[1]OPERACIONES!E78</f>
        <v>0</v>
      </c>
      <c r="F94" s="199">
        <f>+[1]OPERACIONES!D78</f>
        <v>0</v>
      </c>
      <c r="G94" s="208">
        <v>0</v>
      </c>
      <c r="H94" s="225">
        <f t="shared" si="15"/>
        <v>0</v>
      </c>
    </row>
    <row r="95" spans="2:8" ht="31.5">
      <c r="B95" s="207" t="s">
        <v>365</v>
      </c>
      <c r="C95" s="198" t="s">
        <v>549</v>
      </c>
      <c r="D95" s="199">
        <v>0</v>
      </c>
      <c r="E95" s="199">
        <v>0</v>
      </c>
      <c r="F95" s="199">
        <v>0</v>
      </c>
      <c r="G95" s="208">
        <f>+SUM([1]OPERACIONES!E117:E132,[1]OPERACIONES!E134:E141,[1]OPERACIONES!E143,[1]OPERACIONES!E145:E146,[1]OPERACIONES!E148:E149,[1]OPERACIONES!E151:E155,[1]OPERACIONES!F117:F132,[1]OPERACIONES!G117:G132,[1]OPERACIONES!H117:H132,[1]OPERACIONES!I117:I132,[1]OPERACIONES!J117:J132,[1]OPERACIONES!F134:F141,[1]OPERACIONES!G134:G141,[1]OPERACIONES!H134:H141,[1]OPERACIONES!I134:I141,[1]OPERACIONES!J134:J141,[1]OPERACIONES!J143,[1]OPERACIONES!I143,[1]OPERACIONES!H143,[1]OPERACIONES!G143,[1]OPERACIONES!F143,[1]OPERACIONES!F145:F146,[1]OPERACIONES!G145:G146,[1]OPERACIONES!H145:H146,[1]OPERACIONES!I145:I146,[1]OPERACIONES!J145:J146,[1]OPERACIONES!J148:J149,[1]OPERACIONES!I148:I149,[1]OPERACIONES!H148:H149,[1]OPERACIONES!G148:G149,[1]OPERACIONES!F148:F149,[1]OPERACIONES!F151:F155,[1]OPERACIONES!G151:G155,[1]OPERACIONES!H151:H155,[1]OPERACIONES!I151:I155,[1]OPERACIONES!J151:J155)</f>
        <v>126.45347756049459</v>
      </c>
      <c r="H95" s="225">
        <f t="shared" si="15"/>
        <v>126.45347756049459</v>
      </c>
    </row>
    <row r="96" spans="2:8" ht="31.5">
      <c r="B96" s="207" t="s">
        <v>550</v>
      </c>
      <c r="C96" s="198" t="s">
        <v>551</v>
      </c>
      <c r="D96" s="199">
        <v>0</v>
      </c>
      <c r="E96" s="199">
        <v>0</v>
      </c>
      <c r="F96" s="199">
        <v>0</v>
      </c>
      <c r="G96" s="208">
        <v>0</v>
      </c>
      <c r="H96" s="225">
        <f t="shared" si="15"/>
        <v>0</v>
      </c>
    </row>
    <row r="97" spans="2:8">
      <c r="B97" s="207" t="s">
        <v>187</v>
      </c>
      <c r="C97" s="198" t="s">
        <v>311</v>
      </c>
      <c r="D97" s="199">
        <v>0</v>
      </c>
      <c r="E97" s="199">
        <v>0</v>
      </c>
      <c r="F97" s="199">
        <v>0</v>
      </c>
      <c r="G97" s="208">
        <v>0</v>
      </c>
      <c r="H97" s="225">
        <f t="shared" si="15"/>
        <v>0</v>
      </c>
    </row>
    <row r="98" spans="2:8">
      <c r="B98" s="207" t="s">
        <v>222</v>
      </c>
      <c r="C98" s="198" t="s">
        <v>552</v>
      </c>
      <c r="D98" s="199">
        <v>0</v>
      </c>
      <c r="E98" s="199">
        <v>0</v>
      </c>
      <c r="F98" s="199">
        <v>0</v>
      </c>
      <c r="G98" s="208">
        <v>0</v>
      </c>
      <c r="H98" s="225">
        <f t="shared" si="15"/>
        <v>0</v>
      </c>
    </row>
    <row r="99" spans="2:8">
      <c r="B99" s="207" t="s">
        <v>224</v>
      </c>
      <c r="C99" s="198" t="s">
        <v>553</v>
      </c>
      <c r="D99" s="199">
        <v>0</v>
      </c>
      <c r="E99" s="199">
        <v>0</v>
      </c>
      <c r="F99" s="199">
        <v>0</v>
      </c>
      <c r="G99" s="208">
        <v>0</v>
      </c>
      <c r="H99" s="225">
        <f t="shared" si="15"/>
        <v>0</v>
      </c>
    </row>
    <row r="100" spans="2:8">
      <c r="B100" s="207" t="s">
        <v>223</v>
      </c>
      <c r="C100" s="198" t="s">
        <v>322</v>
      </c>
      <c r="D100" s="199">
        <v>0</v>
      </c>
      <c r="E100" s="199">
        <v>0</v>
      </c>
      <c r="F100" s="199">
        <v>0</v>
      </c>
      <c r="G100" s="208">
        <v>0</v>
      </c>
      <c r="H100" s="225">
        <f t="shared" si="15"/>
        <v>0</v>
      </c>
    </row>
    <row r="101" spans="2:8">
      <c r="B101" s="209" t="s">
        <v>221</v>
      </c>
      <c r="C101" s="210" t="s">
        <v>554</v>
      </c>
      <c r="D101" s="211">
        <v>0</v>
      </c>
      <c r="E101" s="211">
        <v>0</v>
      </c>
      <c r="F101" s="211">
        <v>0</v>
      </c>
      <c r="G101" s="212">
        <v>0</v>
      </c>
      <c r="H101" s="225">
        <f t="shared" si="15"/>
        <v>0</v>
      </c>
    </row>
    <row r="102" spans="2:8">
      <c r="C102" s="63" t="s">
        <v>7</v>
      </c>
      <c r="D102" s="225">
        <f>SUM(D90:D101)</f>
        <v>0</v>
      </c>
      <c r="E102" s="225">
        <f t="shared" ref="E102:G102" si="16">SUM(E90:E101)</f>
        <v>0</v>
      </c>
      <c r="F102" s="225">
        <f t="shared" si="16"/>
        <v>0</v>
      </c>
      <c r="G102" s="225">
        <f t="shared" si="16"/>
        <v>126.45347756049459</v>
      </c>
      <c r="H102" s="225">
        <f t="shared" si="15"/>
        <v>126.45347756049459</v>
      </c>
    </row>
    <row r="104" spans="2:8">
      <c r="B104" s="688" t="s">
        <v>559</v>
      </c>
      <c r="C104" s="689"/>
      <c r="D104" s="689"/>
      <c r="E104" s="689"/>
      <c r="F104" s="689"/>
      <c r="G104" s="690"/>
      <c r="H104" s="3" t="s">
        <v>560</v>
      </c>
    </row>
    <row r="105" spans="2:8">
      <c r="B105" s="691"/>
      <c r="C105" s="692"/>
      <c r="D105" s="692"/>
      <c r="E105" s="692"/>
      <c r="F105" s="692"/>
      <c r="G105" s="693"/>
      <c r="H105" s="3"/>
    </row>
    <row r="106" spans="2:8">
      <c r="B106" s="205"/>
      <c r="C106" s="7"/>
      <c r="D106" s="7" t="s">
        <v>383</v>
      </c>
      <c r="E106" s="7" t="s">
        <v>384</v>
      </c>
      <c r="F106" s="7" t="s">
        <v>172</v>
      </c>
      <c r="G106" s="206" t="s">
        <v>386</v>
      </c>
      <c r="H106" s="3"/>
    </row>
    <row r="107" spans="2:8">
      <c r="B107" s="207" t="s">
        <v>218</v>
      </c>
      <c r="C107" s="198" t="s">
        <v>313</v>
      </c>
      <c r="D107" s="199">
        <f>+[1]OPERACIONES!G203</f>
        <v>1.0732627E-2</v>
      </c>
      <c r="E107" s="199">
        <f>+[1]OPERACIONES!E204</f>
        <v>7.5585340099100008E-4</v>
      </c>
      <c r="F107" s="199">
        <f>+[1]OPERACIONES!D202+[1]OPERACIONES!D203+[1]OPERACIONES!D204</f>
        <v>1.6564918313712783E-2</v>
      </c>
      <c r="G107" s="208">
        <v>0</v>
      </c>
      <c r="H107" s="225">
        <f>SUM(D107:G107)</f>
        <v>2.8053398714703782E-2</v>
      </c>
    </row>
    <row r="108" spans="2:8">
      <c r="B108" s="207" t="s">
        <v>219</v>
      </c>
      <c r="C108" s="198" t="s">
        <v>318</v>
      </c>
      <c r="D108" s="199">
        <v>0</v>
      </c>
      <c r="E108" s="199">
        <f>+[1]OPERACIONES!E192</f>
        <v>0.16280829636500002</v>
      </c>
      <c r="F108" s="199">
        <f>+[1]OPERACIONES!D192+[1]OPERACIONES!D209</f>
        <v>6.0466324657090398E-2</v>
      </c>
      <c r="G108" s="208">
        <v>0</v>
      </c>
      <c r="H108" s="225">
        <f t="shared" ref="H108:H119" si="17">SUM(D108:G108)</f>
        <v>0.22327462102209042</v>
      </c>
    </row>
    <row r="109" spans="2:8">
      <c r="B109" s="207" t="s">
        <v>171</v>
      </c>
      <c r="C109" s="198" t="s">
        <v>315</v>
      </c>
      <c r="D109" s="199">
        <v>0</v>
      </c>
      <c r="E109" s="199">
        <v>0</v>
      </c>
      <c r="F109" s="199">
        <v>0</v>
      </c>
      <c r="G109" s="208">
        <v>0</v>
      </c>
      <c r="H109" s="225">
        <f t="shared" si="17"/>
        <v>0</v>
      </c>
    </row>
    <row r="110" spans="2:8">
      <c r="B110" s="207" t="s">
        <v>11</v>
      </c>
      <c r="C110" s="198" t="s">
        <v>11</v>
      </c>
      <c r="D110" s="199">
        <v>0</v>
      </c>
      <c r="E110" s="199">
        <v>0</v>
      </c>
      <c r="F110" s="199">
        <v>0</v>
      </c>
      <c r="G110" s="208">
        <v>0</v>
      </c>
      <c r="H110" s="225">
        <f t="shared" si="17"/>
        <v>0</v>
      </c>
    </row>
    <row r="111" spans="2:8" ht="47.25">
      <c r="B111" s="207" t="s">
        <v>220</v>
      </c>
      <c r="C111" s="198" t="s">
        <v>548</v>
      </c>
      <c r="D111" s="199">
        <v>0</v>
      </c>
      <c r="E111" s="199">
        <v>0</v>
      </c>
      <c r="F111" s="199">
        <v>0</v>
      </c>
      <c r="G111" s="208">
        <v>0</v>
      </c>
      <c r="H111" s="225">
        <f t="shared" si="17"/>
        <v>0</v>
      </c>
    </row>
    <row r="112" spans="2:8" ht="31.5">
      <c r="B112" s="207" t="s">
        <v>365</v>
      </c>
      <c r="C112" s="198" t="s">
        <v>549</v>
      </c>
      <c r="D112" s="199">
        <v>0</v>
      </c>
      <c r="E112" s="199">
        <v>0</v>
      </c>
      <c r="F112" s="199">
        <v>0</v>
      </c>
      <c r="G112" s="208">
        <v>0</v>
      </c>
      <c r="H112" s="225">
        <f t="shared" si="17"/>
        <v>0</v>
      </c>
    </row>
    <row r="113" spans="2:8" ht="31.5">
      <c r="B113" s="207" t="s">
        <v>550</v>
      </c>
      <c r="C113" s="198" t="s">
        <v>551</v>
      </c>
      <c r="D113" s="199">
        <v>0</v>
      </c>
      <c r="E113" s="199">
        <v>0</v>
      </c>
      <c r="F113" s="199">
        <v>0</v>
      </c>
      <c r="G113" s="208">
        <v>0</v>
      </c>
      <c r="H113" s="225">
        <f t="shared" si="17"/>
        <v>0</v>
      </c>
    </row>
    <row r="114" spans="2:8">
      <c r="B114" s="207" t="s">
        <v>187</v>
      </c>
      <c r="C114" s="198" t="s">
        <v>311</v>
      </c>
      <c r="D114" s="199">
        <v>0</v>
      </c>
      <c r="E114" s="199">
        <v>0</v>
      </c>
      <c r="F114" s="199">
        <v>0</v>
      </c>
      <c r="G114" s="208">
        <v>0</v>
      </c>
      <c r="H114" s="225">
        <f t="shared" si="17"/>
        <v>0</v>
      </c>
    </row>
    <row r="115" spans="2:8">
      <c r="B115" s="207" t="s">
        <v>222</v>
      </c>
      <c r="C115" s="198" t="s">
        <v>552</v>
      </c>
      <c r="D115" s="199">
        <f>+[1]OPERACIONES!G195+[1]OPERACIONES!P195</f>
        <v>39.195436204450004</v>
      </c>
      <c r="E115" s="199">
        <f>+[1]OPERACIONES!E195</f>
        <v>0</v>
      </c>
      <c r="F115" s="199">
        <f>+[1]OPERACIONES!D195</f>
        <v>1.5602836879432627</v>
      </c>
      <c r="G115" s="208">
        <v>0</v>
      </c>
      <c r="H115" s="225">
        <f t="shared" si="17"/>
        <v>40.755719892393266</v>
      </c>
    </row>
    <row r="116" spans="2:8">
      <c r="B116" s="207" t="s">
        <v>224</v>
      </c>
      <c r="C116" s="198" t="s">
        <v>553</v>
      </c>
      <c r="D116" s="34">
        <f>+[1]OPERACIONES!F199+[1]OPERACIONES!F213+[1]OPERACIONES!G196+[1]OPERACIONES!G213+[1]OPERACIONES!K199+[1]OPERACIONES!L199+[1]OPERACIONES!N200+[1]OPERACIONES!T200</f>
        <v>1045.1753443125058</v>
      </c>
      <c r="E116" s="199">
        <f>+[1]OPERACIONES!E190+[1]OPERACIONES!E196+[1]OPERACIONES!E198+[1]OPERACIONES!E199+[1]OPERACIONES!E200+[1]OPERACIONES!E207+[1]OPERACIONES!E213+[1]OPERACIONES!E215</f>
        <v>119.77894185770892</v>
      </c>
      <c r="F116" s="199">
        <f>+[1]OPERACIONES!D190+[1]OPERACIONES!D196+[1]OPERACIONES!D198+[1]OPERACIONES!D199+[1]OPERACIONES!D213+[1]OPERACIONES!D215</f>
        <v>1.3380724586960435</v>
      </c>
      <c r="G116" s="208">
        <v>0</v>
      </c>
      <c r="H116" s="225">
        <f t="shared" si="17"/>
        <v>1166.2923586289107</v>
      </c>
    </row>
    <row r="117" spans="2:8">
      <c r="B117" s="207" t="s">
        <v>223</v>
      </c>
      <c r="C117" s="198" t="s">
        <v>322</v>
      </c>
      <c r="D117" s="199">
        <f>+[1]OPERACIONES!F191+[1]OPERACIONES!G191+[1]OPERACIONES!I191+[1]OPERACIONES!L191</f>
        <v>3.1589459019128254</v>
      </c>
      <c r="E117" s="199">
        <f>+[1]OPERACIONES!E191</f>
        <v>3.21573339371123</v>
      </c>
      <c r="F117" s="199">
        <f>+[1]OPERACIONES!D191</f>
        <v>5.9972378322713051E-2</v>
      </c>
      <c r="G117" s="208">
        <v>0</v>
      </c>
      <c r="H117" s="225">
        <f t="shared" si="17"/>
        <v>6.4346516739467683</v>
      </c>
    </row>
    <row r="118" spans="2:8">
      <c r="B118" s="209" t="s">
        <v>221</v>
      </c>
      <c r="C118" s="210" t="s">
        <v>554</v>
      </c>
      <c r="D118" s="211">
        <f>+[1]OPERACIONES!F201+[1]OPERACIONES!F214+[1]OPERACIONES!G197+[1]OPERACIONES!G201+[1]OPERACIONES!T197</f>
        <v>6723.1641478048723</v>
      </c>
      <c r="E118" s="211">
        <f>+[1]OPERACIONES!E197</f>
        <v>9.3037492666276727</v>
      </c>
      <c r="F118" s="211">
        <f>+[1]OPERACIONES!D197+[1]OPERACIONES!D201+[1]OPERACIONES!D214</f>
        <v>1.7067951902653276E-2</v>
      </c>
      <c r="G118" s="212">
        <v>0</v>
      </c>
      <c r="H118" s="225">
        <f t="shared" si="17"/>
        <v>6732.4849650234028</v>
      </c>
    </row>
    <row r="119" spans="2:8">
      <c r="C119" s="63" t="s">
        <v>7</v>
      </c>
      <c r="D119" s="225">
        <f>SUM(D107:D118)</f>
        <v>7810.7046068507407</v>
      </c>
      <c r="E119" s="225">
        <f t="shared" ref="E119:G119" si="18">SUM(E107:E118)</f>
        <v>132.46198866781381</v>
      </c>
      <c r="F119" s="225">
        <f t="shared" si="18"/>
        <v>3.052427719835475</v>
      </c>
      <c r="G119" s="225">
        <f t="shared" si="18"/>
        <v>0</v>
      </c>
      <c r="H119" s="225">
        <f t="shared" si="17"/>
        <v>7946.21902323839</v>
      </c>
    </row>
  </sheetData>
  <mergeCells count="7">
    <mergeCell ref="B87:G88"/>
    <mergeCell ref="B104:G105"/>
    <mergeCell ref="B2:G3"/>
    <mergeCell ref="B19:G20"/>
    <mergeCell ref="B36:G37"/>
    <mergeCell ref="B53:G54"/>
    <mergeCell ref="B70:G7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W136"/>
  <sheetViews>
    <sheetView topLeftCell="S4" zoomScale="99" workbookViewId="0">
      <selection activeCell="B86" sqref="B86"/>
    </sheetView>
  </sheetViews>
  <sheetFormatPr baseColWidth="10" defaultRowHeight="15.75"/>
  <cols>
    <col min="2" max="2" width="95.875" bestFit="1" customWidth="1"/>
    <col min="3" max="3" width="47.875" bestFit="1" customWidth="1"/>
    <col min="4" max="4" width="37.5" bestFit="1" customWidth="1"/>
    <col min="5" max="5" width="25.625" bestFit="1" customWidth="1"/>
    <col min="6" max="6" width="26.875" bestFit="1" customWidth="1"/>
    <col min="7" max="7" width="19" bestFit="1" customWidth="1"/>
    <col min="8" max="8" width="29.125" bestFit="1" customWidth="1"/>
    <col min="9" max="9" width="20.375" bestFit="1" customWidth="1"/>
    <col min="10" max="10" width="20" bestFit="1" customWidth="1"/>
    <col min="11" max="11" width="31.875" bestFit="1" customWidth="1"/>
    <col min="12" max="12" width="23.625" bestFit="1" customWidth="1"/>
    <col min="13" max="13" width="26.125" bestFit="1" customWidth="1"/>
    <col min="14" max="14" width="22.625" bestFit="1" customWidth="1"/>
    <col min="15" max="15" width="20.375" bestFit="1" customWidth="1"/>
    <col min="16" max="16" width="32.125" bestFit="1" customWidth="1"/>
    <col min="17" max="17" width="20.5" bestFit="1" customWidth="1"/>
    <col min="18" max="18" width="29.125" bestFit="1" customWidth="1"/>
    <col min="19" max="19" width="21" bestFit="1" customWidth="1"/>
    <col min="20" max="20" width="24.375" bestFit="1" customWidth="1"/>
    <col min="21" max="21" width="31.5" bestFit="1" customWidth="1"/>
    <col min="22" max="22" width="39.625" bestFit="1" customWidth="1"/>
    <col min="23" max="23" width="31" bestFit="1" customWidth="1"/>
  </cols>
  <sheetData>
    <row r="2" spans="1:23">
      <c r="C2" s="699" t="s">
        <v>629</v>
      </c>
      <c r="D2" s="700"/>
      <c r="E2" s="700"/>
      <c r="F2" s="700"/>
      <c r="G2" s="701"/>
    </row>
    <row r="3" spans="1:23">
      <c r="C3" s="702"/>
      <c r="D3" s="703"/>
      <c r="E3" s="703"/>
      <c r="F3" s="703"/>
      <c r="G3" s="704"/>
    </row>
    <row r="4" spans="1:23">
      <c r="C4" s="205"/>
      <c r="D4" s="7" t="s">
        <v>630</v>
      </c>
      <c r="E4" s="7" t="s">
        <v>631</v>
      </c>
      <c r="F4" s="7" t="s">
        <v>632</v>
      </c>
      <c r="G4" s="206" t="s">
        <v>633</v>
      </c>
    </row>
    <row r="5" spans="1:23">
      <c r="C5" s="205" t="s">
        <v>634</v>
      </c>
      <c r="D5" s="20">
        <f>+SUM(G79:G84,G86,G89:G109,G115,T89:T109)+G116</f>
        <v>6722.368828145708</v>
      </c>
      <c r="E5" s="20">
        <f>+SUM(E79:E84,E86,E89:E109,E115)+E116</f>
        <v>11.714072505550364</v>
      </c>
      <c r="F5" s="20">
        <f>+SUM(D79:D84,D89:D109)+D116</f>
        <v>1.1592918601720849E-2</v>
      </c>
      <c r="G5" s="326">
        <v>0</v>
      </c>
    </row>
    <row r="6" spans="1:23">
      <c r="C6" s="205" t="s">
        <v>635</v>
      </c>
      <c r="D6" s="20">
        <v>0</v>
      </c>
      <c r="E6" s="20">
        <f>+E87+E117</f>
        <v>2.61526556036213</v>
      </c>
      <c r="F6" s="20">
        <f>+D87+D117</f>
        <v>6.0968427115959262E-3</v>
      </c>
      <c r="G6" s="326">
        <v>0</v>
      </c>
    </row>
    <row r="7" spans="1:23">
      <c r="C7" s="205" t="s">
        <v>636</v>
      </c>
      <c r="D7" s="20">
        <v>0</v>
      </c>
      <c r="E7" s="20">
        <f>+E121+E123+E135</f>
        <v>27.658427520529223</v>
      </c>
      <c r="F7" s="20">
        <f>+D121+D123</f>
        <v>0.240335529394823</v>
      </c>
      <c r="G7" s="326">
        <v>0</v>
      </c>
    </row>
    <row r="8" spans="1:23">
      <c r="C8" s="327" t="s">
        <v>637</v>
      </c>
      <c r="D8" s="17">
        <f>+SUM(F125:F130,G125,I129)</f>
        <v>418.44518000031837</v>
      </c>
      <c r="E8" s="17">
        <f>+SUM(E125:E130)</f>
        <v>21.040534668661298</v>
      </c>
      <c r="F8" s="17">
        <f>+SUM(D125:D130)</f>
        <v>1.1697464809014653</v>
      </c>
      <c r="G8" s="328">
        <v>0</v>
      </c>
    </row>
    <row r="13" spans="1:23">
      <c r="B13" t="s">
        <v>659</v>
      </c>
      <c r="C13" t="s">
        <v>660</v>
      </c>
      <c r="D13" t="s">
        <v>661</v>
      </c>
      <c r="E13" t="s">
        <v>662</v>
      </c>
      <c r="F13" t="s">
        <v>663</v>
      </c>
      <c r="G13" t="s">
        <v>664</v>
      </c>
      <c r="H13" t="s">
        <v>665</v>
      </c>
      <c r="I13" t="s">
        <v>666</v>
      </c>
      <c r="J13" t="s">
        <v>667</v>
      </c>
      <c r="K13" t="s">
        <v>668</v>
      </c>
      <c r="L13" t="s">
        <v>669</v>
      </c>
      <c r="M13" t="s">
        <v>670</v>
      </c>
      <c r="N13" t="s">
        <v>671</v>
      </c>
      <c r="O13" t="s">
        <v>672</v>
      </c>
      <c r="P13" t="s">
        <v>673</v>
      </c>
      <c r="Q13" t="s">
        <v>674</v>
      </c>
      <c r="R13" t="s">
        <v>675</v>
      </c>
      <c r="S13" t="s">
        <v>676</v>
      </c>
      <c r="T13" t="s">
        <v>677</v>
      </c>
      <c r="U13" t="s">
        <v>678</v>
      </c>
      <c r="V13" t="s">
        <v>679</v>
      </c>
      <c r="W13" t="s">
        <v>680</v>
      </c>
    </row>
    <row r="14" spans="1:23" s="357" customFormat="1" ht="18.75">
      <c r="B14" s="357" t="s">
        <v>681</v>
      </c>
      <c r="C14" s="357">
        <v>489.100866</v>
      </c>
      <c r="D14" s="357">
        <v>3.3273821999999997</v>
      </c>
      <c r="E14" s="357">
        <v>9.1649246505420638</v>
      </c>
      <c r="F14" s="357">
        <v>0</v>
      </c>
      <c r="G14" s="357">
        <v>0.27659713183552903</v>
      </c>
      <c r="H14" s="357">
        <v>0</v>
      </c>
      <c r="I14" s="357">
        <v>0</v>
      </c>
      <c r="J14" s="357">
        <v>0</v>
      </c>
      <c r="K14" s="357">
        <v>0</v>
      </c>
      <c r="L14" s="357">
        <v>0</v>
      </c>
      <c r="M14" s="357">
        <v>0</v>
      </c>
      <c r="N14" s="357">
        <v>0</v>
      </c>
      <c r="O14" s="357">
        <v>0</v>
      </c>
      <c r="P14" s="357">
        <v>0</v>
      </c>
      <c r="Q14" s="357">
        <v>0</v>
      </c>
      <c r="R14" s="357">
        <v>0</v>
      </c>
      <c r="S14" s="357">
        <v>0</v>
      </c>
      <c r="T14" s="357">
        <v>6721.8173789557986</v>
      </c>
      <c r="U14" s="357">
        <v>0</v>
      </c>
      <c r="V14" s="357">
        <v>0</v>
      </c>
      <c r="W14" s="357">
        <v>2.528</v>
      </c>
    </row>
    <row r="15" spans="1:23">
      <c r="B15" t="s">
        <v>682</v>
      </c>
      <c r="C15">
        <v>9.5565459999999991</v>
      </c>
      <c r="D15">
        <v>5.6800000000000003E-2</v>
      </c>
      <c r="E15">
        <v>6.785743640000001E-4</v>
      </c>
      <c r="F15">
        <v>0</v>
      </c>
      <c r="G15">
        <v>0.12035066824950001</v>
      </c>
      <c r="H15">
        <v>0</v>
      </c>
      <c r="I15">
        <v>0</v>
      </c>
      <c r="J15">
        <v>0</v>
      </c>
      <c r="K15">
        <v>0</v>
      </c>
      <c r="L15">
        <v>0</v>
      </c>
      <c r="M15">
        <v>0</v>
      </c>
      <c r="N15">
        <v>0</v>
      </c>
      <c r="O15">
        <v>0</v>
      </c>
      <c r="P15">
        <v>0</v>
      </c>
      <c r="Q15">
        <v>0</v>
      </c>
      <c r="R15">
        <v>0</v>
      </c>
      <c r="S15">
        <v>0</v>
      </c>
      <c r="T15">
        <v>0</v>
      </c>
      <c r="U15">
        <v>0</v>
      </c>
      <c r="V15">
        <v>0</v>
      </c>
      <c r="W15">
        <v>0</v>
      </c>
    </row>
    <row r="16" spans="1:23">
      <c r="A16">
        <v>1</v>
      </c>
      <c r="B16" t="s">
        <v>683</v>
      </c>
      <c r="C16">
        <v>0.04</v>
      </c>
      <c r="D16">
        <v>0</v>
      </c>
      <c r="E16">
        <v>6.7286960000000008E-4</v>
      </c>
      <c r="F16">
        <v>0</v>
      </c>
      <c r="G16">
        <v>0</v>
      </c>
      <c r="H16">
        <v>0</v>
      </c>
      <c r="I16">
        <v>0</v>
      </c>
      <c r="J16">
        <v>0</v>
      </c>
      <c r="K16">
        <v>0</v>
      </c>
      <c r="L16">
        <v>0</v>
      </c>
      <c r="M16">
        <v>0</v>
      </c>
      <c r="N16">
        <v>0</v>
      </c>
      <c r="O16">
        <v>0</v>
      </c>
      <c r="P16">
        <v>0</v>
      </c>
      <c r="Q16">
        <v>0</v>
      </c>
      <c r="R16">
        <v>0</v>
      </c>
      <c r="S16">
        <v>0</v>
      </c>
      <c r="T16">
        <v>0</v>
      </c>
      <c r="U16">
        <v>0</v>
      </c>
      <c r="V16">
        <v>0</v>
      </c>
      <c r="W16">
        <v>0</v>
      </c>
    </row>
    <row r="17" spans="1:23">
      <c r="A17">
        <v>1</v>
      </c>
      <c r="B17" t="s">
        <v>684</v>
      </c>
      <c r="C17">
        <v>1.4425460000000001</v>
      </c>
      <c r="D17">
        <v>0</v>
      </c>
      <c r="E17">
        <v>5.7047639999999999E-6</v>
      </c>
      <c r="F17">
        <v>0</v>
      </c>
      <c r="G17">
        <v>1.6560940999999999E-2</v>
      </c>
      <c r="H17">
        <v>0</v>
      </c>
      <c r="I17">
        <v>0</v>
      </c>
      <c r="J17">
        <v>0</v>
      </c>
      <c r="K17">
        <v>0</v>
      </c>
      <c r="L17">
        <v>0</v>
      </c>
      <c r="M17">
        <v>0</v>
      </c>
      <c r="N17">
        <v>0</v>
      </c>
      <c r="O17">
        <v>0</v>
      </c>
      <c r="P17">
        <v>0</v>
      </c>
      <c r="Q17">
        <v>0</v>
      </c>
      <c r="R17">
        <v>0</v>
      </c>
      <c r="S17">
        <v>0</v>
      </c>
      <c r="T17">
        <v>0</v>
      </c>
      <c r="U17">
        <v>0</v>
      </c>
      <c r="V17">
        <v>0</v>
      </c>
      <c r="W17">
        <v>0</v>
      </c>
    </row>
    <row r="18" spans="1:23">
      <c r="A18">
        <v>1</v>
      </c>
      <c r="B18" t="s">
        <v>685</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v>1</v>
      </c>
      <c r="B19" t="s">
        <v>686</v>
      </c>
      <c r="C19">
        <v>0.7619999999999999</v>
      </c>
      <c r="D19">
        <v>0</v>
      </c>
      <c r="E19">
        <v>0</v>
      </c>
      <c r="F19">
        <v>0</v>
      </c>
      <c r="G19">
        <v>1.0935196449999999E-2</v>
      </c>
      <c r="H19">
        <v>0</v>
      </c>
      <c r="I19">
        <v>0</v>
      </c>
      <c r="J19">
        <v>0</v>
      </c>
      <c r="K19">
        <v>0</v>
      </c>
      <c r="L19">
        <v>0</v>
      </c>
      <c r="M19">
        <v>0</v>
      </c>
      <c r="N19">
        <v>0</v>
      </c>
      <c r="O19">
        <v>0</v>
      </c>
      <c r="P19">
        <v>0</v>
      </c>
      <c r="Q19">
        <v>0</v>
      </c>
      <c r="R19">
        <v>0</v>
      </c>
      <c r="S19">
        <v>0</v>
      </c>
      <c r="T19">
        <v>0</v>
      </c>
      <c r="U19">
        <v>0</v>
      </c>
      <c r="V19">
        <v>0</v>
      </c>
      <c r="W19">
        <v>0</v>
      </c>
    </row>
    <row r="20" spans="1:23">
      <c r="A20">
        <v>1</v>
      </c>
      <c r="B20" t="s">
        <v>687</v>
      </c>
      <c r="C20">
        <v>4.8209999999999997</v>
      </c>
      <c r="D20">
        <v>5.6800000000000003E-2</v>
      </c>
      <c r="E20">
        <v>0</v>
      </c>
      <c r="F20">
        <v>0</v>
      </c>
      <c r="G20">
        <v>5.4068878054500009E-2</v>
      </c>
      <c r="H20">
        <v>0</v>
      </c>
      <c r="I20">
        <v>0</v>
      </c>
      <c r="J20">
        <v>0</v>
      </c>
      <c r="K20">
        <v>0</v>
      </c>
      <c r="L20">
        <v>0</v>
      </c>
      <c r="M20">
        <v>0</v>
      </c>
      <c r="N20">
        <v>0</v>
      </c>
      <c r="O20">
        <v>0</v>
      </c>
      <c r="P20">
        <v>0</v>
      </c>
      <c r="Q20">
        <v>0</v>
      </c>
      <c r="R20">
        <v>0</v>
      </c>
      <c r="S20">
        <v>0</v>
      </c>
      <c r="T20">
        <v>0</v>
      </c>
      <c r="U20">
        <v>0</v>
      </c>
      <c r="V20">
        <v>0</v>
      </c>
      <c r="W20">
        <v>0</v>
      </c>
    </row>
    <row r="21" spans="1:23">
      <c r="A21">
        <v>1</v>
      </c>
      <c r="B21" t="s">
        <v>688</v>
      </c>
      <c r="C21">
        <v>2.4909999999999997</v>
      </c>
      <c r="D21">
        <v>0</v>
      </c>
      <c r="E21">
        <v>0</v>
      </c>
      <c r="F21">
        <v>0</v>
      </c>
      <c r="G21">
        <v>3.8785652744999996E-2</v>
      </c>
      <c r="H21">
        <v>0</v>
      </c>
      <c r="I21">
        <v>0</v>
      </c>
      <c r="J21">
        <v>0</v>
      </c>
      <c r="K21">
        <v>0</v>
      </c>
      <c r="L21">
        <v>0</v>
      </c>
      <c r="M21">
        <v>0</v>
      </c>
      <c r="N21">
        <v>0</v>
      </c>
      <c r="O21">
        <v>0</v>
      </c>
      <c r="P21">
        <v>0</v>
      </c>
      <c r="Q21">
        <v>0</v>
      </c>
      <c r="R21">
        <v>0</v>
      </c>
      <c r="S21">
        <v>0</v>
      </c>
      <c r="T21">
        <v>0</v>
      </c>
      <c r="U21">
        <v>0</v>
      </c>
      <c r="V21">
        <v>0</v>
      </c>
      <c r="W21">
        <v>0</v>
      </c>
    </row>
    <row r="22" spans="1:23">
      <c r="B22" t="s">
        <v>689</v>
      </c>
      <c r="C22">
        <v>47.669530000000009</v>
      </c>
      <c r="D22">
        <v>0.56752000000000002</v>
      </c>
      <c r="E22">
        <v>1.4774426999750603</v>
      </c>
      <c r="F22">
        <v>0</v>
      </c>
      <c r="G22">
        <v>0</v>
      </c>
      <c r="H22">
        <v>0</v>
      </c>
      <c r="I22">
        <v>0</v>
      </c>
      <c r="J22">
        <v>0</v>
      </c>
      <c r="K22">
        <v>0</v>
      </c>
      <c r="L22">
        <v>0</v>
      </c>
      <c r="M22">
        <v>0</v>
      </c>
      <c r="N22">
        <v>0</v>
      </c>
      <c r="O22">
        <v>0</v>
      </c>
      <c r="P22">
        <v>0</v>
      </c>
      <c r="Q22">
        <v>0</v>
      </c>
      <c r="R22">
        <v>0</v>
      </c>
      <c r="S22">
        <v>0</v>
      </c>
      <c r="T22">
        <v>0</v>
      </c>
      <c r="U22">
        <v>0</v>
      </c>
      <c r="V22">
        <v>0</v>
      </c>
      <c r="W22">
        <v>0</v>
      </c>
    </row>
    <row r="23" spans="1:23">
      <c r="A23">
        <v>1</v>
      </c>
      <c r="B23" t="s">
        <v>690</v>
      </c>
      <c r="C23">
        <v>17.004000000000001</v>
      </c>
      <c r="D23">
        <v>0.224</v>
      </c>
      <c r="E23">
        <v>0.48114506059893009</v>
      </c>
      <c r="F23">
        <v>0</v>
      </c>
      <c r="G23">
        <v>0</v>
      </c>
      <c r="H23">
        <v>0</v>
      </c>
      <c r="I23">
        <v>0</v>
      </c>
      <c r="J23">
        <v>0</v>
      </c>
      <c r="K23">
        <v>0</v>
      </c>
      <c r="L23">
        <v>0</v>
      </c>
      <c r="M23">
        <v>0</v>
      </c>
      <c r="N23">
        <v>0</v>
      </c>
      <c r="O23">
        <v>0</v>
      </c>
      <c r="P23">
        <v>0</v>
      </c>
      <c r="Q23">
        <v>0</v>
      </c>
      <c r="R23">
        <v>0</v>
      </c>
      <c r="S23">
        <v>0</v>
      </c>
      <c r="T23">
        <v>0</v>
      </c>
      <c r="U23">
        <v>0</v>
      </c>
      <c r="V23">
        <v>0</v>
      </c>
      <c r="W23">
        <v>0</v>
      </c>
    </row>
    <row r="24" spans="1:23">
      <c r="A24">
        <v>2</v>
      </c>
      <c r="B24" t="s">
        <v>691</v>
      </c>
      <c r="C24">
        <v>30.665530000000004</v>
      </c>
      <c r="D24">
        <v>0.34351999999999999</v>
      </c>
      <c r="E24">
        <v>0.99629763937613014</v>
      </c>
      <c r="F24">
        <v>0</v>
      </c>
      <c r="G24">
        <v>0</v>
      </c>
      <c r="H24">
        <v>0</v>
      </c>
      <c r="I24">
        <v>0</v>
      </c>
      <c r="J24">
        <v>0</v>
      </c>
      <c r="K24">
        <v>0</v>
      </c>
      <c r="L24">
        <v>0</v>
      </c>
      <c r="M24">
        <v>0</v>
      </c>
      <c r="N24">
        <v>0</v>
      </c>
      <c r="O24">
        <v>0</v>
      </c>
      <c r="P24">
        <v>0</v>
      </c>
      <c r="Q24">
        <v>0</v>
      </c>
      <c r="R24">
        <v>0</v>
      </c>
      <c r="S24">
        <v>0</v>
      </c>
      <c r="T24">
        <v>0</v>
      </c>
      <c r="U24">
        <v>0</v>
      </c>
      <c r="V24">
        <v>0</v>
      </c>
      <c r="W24">
        <v>0</v>
      </c>
    </row>
    <row r="25" spans="1:23">
      <c r="B25" t="s">
        <v>692</v>
      </c>
      <c r="C25">
        <v>422.68967799999996</v>
      </c>
      <c r="D25">
        <v>2.6772849999999999</v>
      </c>
      <c r="E25">
        <v>7.5977321897650043</v>
      </c>
      <c r="F25">
        <v>0</v>
      </c>
      <c r="G25">
        <v>0.15624646358602901</v>
      </c>
      <c r="H25">
        <v>0</v>
      </c>
      <c r="I25">
        <v>0</v>
      </c>
      <c r="J25">
        <v>0</v>
      </c>
      <c r="K25">
        <v>0</v>
      </c>
      <c r="L25">
        <v>0</v>
      </c>
      <c r="M25">
        <v>0</v>
      </c>
      <c r="N25">
        <v>0</v>
      </c>
      <c r="O25">
        <v>0</v>
      </c>
      <c r="P25">
        <v>0</v>
      </c>
      <c r="Q25">
        <v>0</v>
      </c>
      <c r="R25">
        <v>0</v>
      </c>
      <c r="S25">
        <v>0</v>
      </c>
      <c r="T25">
        <v>6721.8173789557986</v>
      </c>
      <c r="U25">
        <v>0</v>
      </c>
      <c r="V25">
        <v>0</v>
      </c>
      <c r="W25">
        <v>2.528</v>
      </c>
    </row>
    <row r="26" spans="1:23">
      <c r="A26">
        <v>1</v>
      </c>
      <c r="B26" t="s">
        <v>693</v>
      </c>
      <c r="C26">
        <v>5.3505840000000005</v>
      </c>
      <c r="D26">
        <v>0</v>
      </c>
      <c r="E26">
        <v>4.8277275081151996E-2</v>
      </c>
      <c r="F26">
        <v>0</v>
      </c>
      <c r="G26">
        <v>4.6948669000039009E-2</v>
      </c>
      <c r="H26">
        <v>0</v>
      </c>
      <c r="I26">
        <v>0</v>
      </c>
      <c r="J26">
        <v>0</v>
      </c>
      <c r="K26">
        <v>0</v>
      </c>
      <c r="L26">
        <v>0</v>
      </c>
      <c r="M26">
        <v>0</v>
      </c>
      <c r="N26">
        <v>0</v>
      </c>
      <c r="O26">
        <v>0</v>
      </c>
      <c r="P26">
        <v>0</v>
      </c>
      <c r="Q26">
        <v>0</v>
      </c>
      <c r="R26">
        <v>0</v>
      </c>
      <c r="S26">
        <v>0</v>
      </c>
      <c r="T26">
        <v>0</v>
      </c>
      <c r="U26">
        <v>0</v>
      </c>
      <c r="V26">
        <v>0</v>
      </c>
      <c r="W26">
        <v>0</v>
      </c>
    </row>
    <row r="27" spans="1:23">
      <c r="A27">
        <v>1</v>
      </c>
      <c r="B27" t="s">
        <v>694</v>
      </c>
      <c r="C27">
        <v>33.111000000000004</v>
      </c>
      <c r="D27">
        <v>0</v>
      </c>
      <c r="E27">
        <v>0.591113786029</v>
      </c>
      <c r="F27">
        <v>0</v>
      </c>
      <c r="G27">
        <v>8.8721865249999994E-4</v>
      </c>
      <c r="H27">
        <v>0</v>
      </c>
      <c r="I27">
        <v>0</v>
      </c>
      <c r="J27">
        <v>0</v>
      </c>
      <c r="K27">
        <v>0</v>
      </c>
      <c r="L27">
        <v>0</v>
      </c>
      <c r="M27">
        <v>0</v>
      </c>
      <c r="N27">
        <v>0</v>
      </c>
      <c r="O27">
        <v>0</v>
      </c>
      <c r="P27">
        <v>0</v>
      </c>
      <c r="Q27">
        <v>0</v>
      </c>
      <c r="R27">
        <v>0</v>
      </c>
      <c r="S27">
        <v>0</v>
      </c>
      <c r="T27">
        <v>0</v>
      </c>
      <c r="U27">
        <v>0</v>
      </c>
      <c r="V27">
        <v>0</v>
      </c>
      <c r="W27">
        <v>0</v>
      </c>
    </row>
    <row r="28" spans="1:23">
      <c r="A28">
        <v>1</v>
      </c>
      <c r="B28" t="s">
        <v>695</v>
      </c>
      <c r="C28">
        <v>43.325999999999993</v>
      </c>
      <c r="D28">
        <v>0</v>
      </c>
      <c r="E28">
        <v>0.79539542412200015</v>
      </c>
      <c r="F28">
        <v>0</v>
      </c>
      <c r="G28">
        <v>2.8125168900000006E-4</v>
      </c>
      <c r="H28">
        <v>0</v>
      </c>
      <c r="I28">
        <v>0</v>
      </c>
      <c r="J28">
        <v>0</v>
      </c>
      <c r="K28">
        <v>0</v>
      </c>
      <c r="L28">
        <v>0</v>
      </c>
      <c r="M28">
        <v>0</v>
      </c>
      <c r="N28">
        <v>0</v>
      </c>
      <c r="O28">
        <v>0</v>
      </c>
      <c r="P28">
        <v>0</v>
      </c>
      <c r="Q28">
        <v>0</v>
      </c>
      <c r="R28">
        <v>0</v>
      </c>
      <c r="S28">
        <v>0</v>
      </c>
      <c r="T28">
        <v>0</v>
      </c>
      <c r="U28">
        <v>0</v>
      </c>
      <c r="V28">
        <v>0</v>
      </c>
      <c r="W28">
        <v>0</v>
      </c>
    </row>
    <row r="29" spans="1:23">
      <c r="A29">
        <v>1</v>
      </c>
      <c r="B29" t="s">
        <v>696</v>
      </c>
      <c r="C29">
        <v>14.295000000000002</v>
      </c>
      <c r="D29">
        <v>0</v>
      </c>
      <c r="E29">
        <v>0.25226155571500003</v>
      </c>
      <c r="F29">
        <v>0</v>
      </c>
      <c r="G29">
        <v>1.7203121694999999E-3</v>
      </c>
      <c r="H29">
        <v>0</v>
      </c>
      <c r="I29">
        <v>0</v>
      </c>
      <c r="J29">
        <v>0</v>
      </c>
      <c r="K29">
        <v>0</v>
      </c>
      <c r="L29">
        <v>0</v>
      </c>
      <c r="M29">
        <v>0</v>
      </c>
      <c r="N29">
        <v>0</v>
      </c>
      <c r="O29">
        <v>0</v>
      </c>
      <c r="P29">
        <v>0</v>
      </c>
      <c r="Q29">
        <v>0</v>
      </c>
      <c r="R29">
        <v>0</v>
      </c>
      <c r="S29">
        <v>0</v>
      </c>
      <c r="T29">
        <v>0</v>
      </c>
      <c r="U29">
        <v>0</v>
      </c>
      <c r="V29">
        <v>0</v>
      </c>
      <c r="W29">
        <v>2.528</v>
      </c>
    </row>
    <row r="30" spans="1:23">
      <c r="A30">
        <v>1</v>
      </c>
      <c r="B30" t="s">
        <v>697</v>
      </c>
      <c r="C30">
        <v>22.14</v>
      </c>
      <c r="D30">
        <v>0</v>
      </c>
      <c r="E30">
        <v>0.39252583152900006</v>
      </c>
      <c r="F30">
        <v>0</v>
      </c>
      <c r="G30">
        <v>2.3135563499999999E-4</v>
      </c>
      <c r="H30">
        <v>0</v>
      </c>
      <c r="I30">
        <v>0</v>
      </c>
      <c r="J30">
        <v>0</v>
      </c>
      <c r="K30">
        <v>0</v>
      </c>
      <c r="L30">
        <v>0</v>
      </c>
      <c r="M30">
        <v>0</v>
      </c>
      <c r="N30">
        <v>0</v>
      </c>
      <c r="O30">
        <v>0</v>
      </c>
      <c r="P30">
        <v>0</v>
      </c>
      <c r="Q30">
        <v>0</v>
      </c>
      <c r="R30">
        <v>0</v>
      </c>
      <c r="S30">
        <v>0</v>
      </c>
      <c r="T30">
        <v>0</v>
      </c>
      <c r="U30">
        <v>0</v>
      </c>
      <c r="V30">
        <v>0</v>
      </c>
      <c r="W30">
        <v>0</v>
      </c>
    </row>
    <row r="31" spans="1:23">
      <c r="A31">
        <v>1</v>
      </c>
      <c r="B31" t="s">
        <v>698</v>
      </c>
      <c r="C31">
        <v>5.3879999999999999</v>
      </c>
      <c r="D31">
        <v>0</v>
      </c>
      <c r="E31">
        <v>0.10005274743100001</v>
      </c>
      <c r="F31">
        <v>0</v>
      </c>
      <c r="G31">
        <v>1.2534784335000001E-3</v>
      </c>
      <c r="H31">
        <v>0</v>
      </c>
      <c r="I31">
        <v>0</v>
      </c>
      <c r="J31">
        <v>0</v>
      </c>
      <c r="K31">
        <v>0</v>
      </c>
      <c r="L31">
        <v>0</v>
      </c>
      <c r="M31">
        <v>0</v>
      </c>
      <c r="N31">
        <v>0</v>
      </c>
      <c r="O31">
        <v>0</v>
      </c>
      <c r="P31">
        <v>0</v>
      </c>
      <c r="Q31">
        <v>0</v>
      </c>
      <c r="R31">
        <v>0</v>
      </c>
      <c r="S31">
        <v>0</v>
      </c>
      <c r="T31">
        <v>0</v>
      </c>
      <c r="U31">
        <v>0</v>
      </c>
      <c r="V31">
        <v>0</v>
      </c>
      <c r="W31">
        <v>0</v>
      </c>
    </row>
    <row r="32" spans="1:23">
      <c r="A32">
        <v>1</v>
      </c>
      <c r="B32" t="s">
        <v>699</v>
      </c>
      <c r="C32">
        <v>10.456523000000001</v>
      </c>
      <c r="D32">
        <v>1.0924E-2</v>
      </c>
      <c r="E32">
        <v>0.13485557443800003</v>
      </c>
      <c r="F32">
        <v>0</v>
      </c>
      <c r="G32">
        <v>3.4969884000000004E-7</v>
      </c>
      <c r="H32">
        <v>0</v>
      </c>
      <c r="I32">
        <v>0</v>
      </c>
      <c r="J32">
        <v>0</v>
      </c>
      <c r="K32">
        <v>0</v>
      </c>
      <c r="L32">
        <v>0</v>
      </c>
      <c r="M32">
        <v>0</v>
      </c>
      <c r="N32">
        <v>0</v>
      </c>
      <c r="O32">
        <v>0</v>
      </c>
      <c r="P32">
        <v>0</v>
      </c>
      <c r="Q32">
        <v>0</v>
      </c>
      <c r="R32">
        <v>0</v>
      </c>
      <c r="S32">
        <v>0</v>
      </c>
      <c r="T32">
        <v>2568.5869059032921</v>
      </c>
      <c r="U32">
        <v>0</v>
      </c>
      <c r="V32">
        <v>0</v>
      </c>
      <c r="W32">
        <v>0</v>
      </c>
    </row>
    <row r="33" spans="1:23">
      <c r="A33">
        <v>1</v>
      </c>
      <c r="B33" t="s">
        <v>700</v>
      </c>
      <c r="C33">
        <v>12.104224</v>
      </c>
      <c r="D33">
        <v>0.28126199999999996</v>
      </c>
      <c r="E33">
        <v>0.10269539963358</v>
      </c>
      <c r="F33">
        <v>0</v>
      </c>
      <c r="G33">
        <v>0</v>
      </c>
      <c r="H33">
        <v>0</v>
      </c>
      <c r="I33">
        <v>0</v>
      </c>
      <c r="J33">
        <v>0</v>
      </c>
      <c r="K33">
        <v>0</v>
      </c>
      <c r="L33">
        <v>0</v>
      </c>
      <c r="M33">
        <v>0</v>
      </c>
      <c r="N33">
        <v>0</v>
      </c>
      <c r="O33">
        <v>0</v>
      </c>
      <c r="P33">
        <v>0</v>
      </c>
      <c r="Q33">
        <v>0</v>
      </c>
      <c r="R33">
        <v>0</v>
      </c>
      <c r="S33">
        <v>0</v>
      </c>
      <c r="T33">
        <v>2161.7558403720973</v>
      </c>
      <c r="U33">
        <v>0</v>
      </c>
      <c r="V33">
        <v>0</v>
      </c>
      <c r="W33">
        <v>0</v>
      </c>
    </row>
    <row r="34" spans="1:23">
      <c r="A34">
        <v>1</v>
      </c>
      <c r="B34" t="s">
        <v>701</v>
      </c>
      <c r="C34">
        <v>10.713386999999999</v>
      </c>
      <c r="D34">
        <v>7.2540999999999994E-2</v>
      </c>
      <c r="E34">
        <v>0.15427936546843785</v>
      </c>
      <c r="F34">
        <v>0</v>
      </c>
      <c r="G34">
        <v>2.7110793494500001E-2</v>
      </c>
      <c r="H34">
        <v>0</v>
      </c>
      <c r="I34">
        <v>0</v>
      </c>
      <c r="J34">
        <v>0</v>
      </c>
      <c r="K34">
        <v>0</v>
      </c>
      <c r="L34">
        <v>0</v>
      </c>
      <c r="M34">
        <v>0</v>
      </c>
      <c r="N34">
        <v>0</v>
      </c>
      <c r="O34">
        <v>0</v>
      </c>
      <c r="P34">
        <v>0</v>
      </c>
      <c r="Q34">
        <v>0</v>
      </c>
      <c r="R34">
        <v>0</v>
      </c>
      <c r="S34">
        <v>0</v>
      </c>
      <c r="T34">
        <v>0</v>
      </c>
      <c r="U34">
        <v>0</v>
      </c>
      <c r="V34">
        <v>0</v>
      </c>
      <c r="W34">
        <v>0</v>
      </c>
    </row>
    <row r="35" spans="1:23">
      <c r="A35">
        <v>1</v>
      </c>
      <c r="B35" t="s">
        <v>702</v>
      </c>
      <c r="C35">
        <v>13.76</v>
      </c>
      <c r="D35">
        <v>0.85000000000000009</v>
      </c>
      <c r="E35">
        <v>0.21624970071783262</v>
      </c>
      <c r="F35">
        <v>0</v>
      </c>
      <c r="G35">
        <v>1.6098940500000001E-4</v>
      </c>
      <c r="H35">
        <v>0</v>
      </c>
      <c r="I35">
        <v>0</v>
      </c>
      <c r="J35">
        <v>0</v>
      </c>
      <c r="K35">
        <v>0</v>
      </c>
      <c r="L35">
        <v>0</v>
      </c>
      <c r="M35">
        <v>0</v>
      </c>
      <c r="N35">
        <v>0</v>
      </c>
      <c r="O35">
        <v>0</v>
      </c>
      <c r="P35">
        <v>0</v>
      </c>
      <c r="Q35">
        <v>0</v>
      </c>
      <c r="R35">
        <v>0</v>
      </c>
      <c r="S35">
        <v>0</v>
      </c>
      <c r="T35">
        <v>0</v>
      </c>
      <c r="U35">
        <v>0</v>
      </c>
      <c r="V35">
        <v>0</v>
      </c>
      <c r="W35">
        <v>0</v>
      </c>
    </row>
    <row r="36" spans="1:23">
      <c r="A36">
        <v>1</v>
      </c>
      <c r="B36" t="s">
        <v>703</v>
      </c>
      <c r="C36">
        <v>30.62</v>
      </c>
      <c r="D36">
        <v>0.17</v>
      </c>
      <c r="E36">
        <v>0.38521293387273192</v>
      </c>
      <c r="F36">
        <v>0</v>
      </c>
      <c r="G36">
        <v>4.9931592500000006E-4</v>
      </c>
      <c r="H36">
        <v>0</v>
      </c>
      <c r="I36">
        <v>0</v>
      </c>
      <c r="J36">
        <v>0</v>
      </c>
      <c r="K36">
        <v>0</v>
      </c>
      <c r="L36">
        <v>0</v>
      </c>
      <c r="M36">
        <v>0</v>
      </c>
      <c r="N36">
        <v>0</v>
      </c>
      <c r="O36">
        <v>0</v>
      </c>
      <c r="P36">
        <v>0</v>
      </c>
      <c r="Q36">
        <v>0</v>
      </c>
      <c r="R36">
        <v>0</v>
      </c>
      <c r="S36">
        <v>0</v>
      </c>
      <c r="T36">
        <v>0</v>
      </c>
      <c r="U36">
        <v>0</v>
      </c>
      <c r="V36">
        <v>0</v>
      </c>
      <c r="W36">
        <v>0</v>
      </c>
    </row>
    <row r="37" spans="1:23">
      <c r="A37">
        <v>1</v>
      </c>
      <c r="B37" t="s">
        <v>704</v>
      </c>
      <c r="C37">
        <v>14.486999999999998</v>
      </c>
      <c r="D37">
        <v>5.6800000000000003E-2</v>
      </c>
      <c r="E37">
        <v>0.28338345688900002</v>
      </c>
      <c r="F37">
        <v>0</v>
      </c>
      <c r="G37">
        <v>0</v>
      </c>
      <c r="H37">
        <v>0</v>
      </c>
      <c r="I37">
        <v>0</v>
      </c>
      <c r="J37">
        <v>0</v>
      </c>
      <c r="K37">
        <v>0</v>
      </c>
      <c r="L37">
        <v>0</v>
      </c>
      <c r="M37">
        <v>0</v>
      </c>
      <c r="N37">
        <v>0</v>
      </c>
      <c r="O37">
        <v>0</v>
      </c>
      <c r="P37">
        <v>0</v>
      </c>
      <c r="Q37">
        <v>0</v>
      </c>
      <c r="R37">
        <v>0</v>
      </c>
      <c r="S37">
        <v>0</v>
      </c>
      <c r="T37">
        <v>0</v>
      </c>
      <c r="U37">
        <v>0</v>
      </c>
      <c r="V37">
        <v>0</v>
      </c>
      <c r="W37">
        <v>0</v>
      </c>
    </row>
    <row r="38" spans="1:23">
      <c r="A38">
        <v>1</v>
      </c>
      <c r="B38" t="s">
        <v>705</v>
      </c>
      <c r="C38">
        <v>25.909000000000002</v>
      </c>
      <c r="D38">
        <v>0</v>
      </c>
      <c r="E38">
        <v>0.47142575287600003</v>
      </c>
      <c r="F38">
        <v>0</v>
      </c>
      <c r="G38">
        <v>2.6266505349999998E-4</v>
      </c>
      <c r="H38">
        <v>0</v>
      </c>
      <c r="I38">
        <v>0</v>
      </c>
      <c r="J38">
        <v>0</v>
      </c>
      <c r="K38">
        <v>0</v>
      </c>
      <c r="L38">
        <v>0</v>
      </c>
      <c r="M38">
        <v>0</v>
      </c>
      <c r="N38">
        <v>0</v>
      </c>
      <c r="O38">
        <v>0</v>
      </c>
      <c r="P38">
        <v>0</v>
      </c>
      <c r="Q38">
        <v>0</v>
      </c>
      <c r="R38">
        <v>0</v>
      </c>
      <c r="S38">
        <v>0</v>
      </c>
      <c r="T38">
        <v>0</v>
      </c>
      <c r="U38">
        <v>0</v>
      </c>
      <c r="V38">
        <v>0</v>
      </c>
      <c r="W38">
        <v>0</v>
      </c>
    </row>
    <row r="39" spans="1:23">
      <c r="A39">
        <v>1</v>
      </c>
      <c r="B39" t="s">
        <v>706</v>
      </c>
      <c r="C39">
        <v>9.284516</v>
      </c>
      <c r="D39">
        <v>1.0924E-2</v>
      </c>
      <c r="E39">
        <v>3.8042208222620541E-2</v>
      </c>
      <c r="F39">
        <v>0</v>
      </c>
      <c r="G39">
        <v>0</v>
      </c>
      <c r="H39">
        <v>0</v>
      </c>
      <c r="I39">
        <v>0</v>
      </c>
      <c r="J39">
        <v>0</v>
      </c>
      <c r="K39">
        <v>0</v>
      </c>
      <c r="L39">
        <v>0</v>
      </c>
      <c r="M39">
        <v>0</v>
      </c>
      <c r="N39">
        <v>0</v>
      </c>
      <c r="O39">
        <v>0</v>
      </c>
      <c r="P39">
        <v>0</v>
      </c>
      <c r="Q39">
        <v>0</v>
      </c>
      <c r="R39">
        <v>0</v>
      </c>
      <c r="S39">
        <v>0</v>
      </c>
      <c r="T39">
        <v>1991.4746326804084</v>
      </c>
      <c r="U39">
        <v>0</v>
      </c>
      <c r="V39">
        <v>0</v>
      </c>
      <c r="W39">
        <v>0</v>
      </c>
    </row>
    <row r="40" spans="1:23">
      <c r="A40">
        <v>1</v>
      </c>
      <c r="B40" t="s">
        <v>707</v>
      </c>
      <c r="C40">
        <v>13.997</v>
      </c>
      <c r="D40">
        <v>1.0893E-2</v>
      </c>
      <c r="E40">
        <v>0.35605275201600001</v>
      </c>
      <c r="F40">
        <v>0</v>
      </c>
      <c r="G40">
        <v>1.3860015E-4</v>
      </c>
      <c r="H40">
        <v>0</v>
      </c>
      <c r="I40">
        <v>0</v>
      </c>
      <c r="J40">
        <v>0</v>
      </c>
      <c r="K40">
        <v>0</v>
      </c>
      <c r="L40">
        <v>0</v>
      </c>
      <c r="M40">
        <v>0</v>
      </c>
      <c r="N40">
        <v>0</v>
      </c>
      <c r="O40">
        <v>0</v>
      </c>
      <c r="P40">
        <v>0</v>
      </c>
      <c r="Q40">
        <v>0</v>
      </c>
      <c r="R40">
        <v>0</v>
      </c>
      <c r="S40">
        <v>0</v>
      </c>
      <c r="T40">
        <v>0</v>
      </c>
      <c r="U40">
        <v>0</v>
      </c>
      <c r="V40">
        <v>0</v>
      </c>
      <c r="W40">
        <v>0</v>
      </c>
    </row>
    <row r="41" spans="1:23">
      <c r="A41">
        <v>1</v>
      </c>
      <c r="B41" t="s">
        <v>708</v>
      </c>
      <c r="C41">
        <v>20.149999999999999</v>
      </c>
      <c r="D41">
        <v>0</v>
      </c>
      <c r="E41">
        <v>0.34560700001100003</v>
      </c>
      <c r="F41">
        <v>0</v>
      </c>
      <c r="G41">
        <v>1.5089647099999999E-4</v>
      </c>
      <c r="H41">
        <v>0</v>
      </c>
      <c r="I41">
        <v>0</v>
      </c>
      <c r="J41">
        <v>0</v>
      </c>
      <c r="K41">
        <v>0</v>
      </c>
      <c r="L41">
        <v>0</v>
      </c>
      <c r="M41">
        <v>0</v>
      </c>
      <c r="N41">
        <v>0</v>
      </c>
      <c r="O41">
        <v>0</v>
      </c>
      <c r="P41">
        <v>0</v>
      </c>
      <c r="Q41">
        <v>0</v>
      </c>
      <c r="R41">
        <v>0</v>
      </c>
      <c r="S41">
        <v>0</v>
      </c>
      <c r="T41">
        <v>0</v>
      </c>
      <c r="U41">
        <v>0</v>
      </c>
      <c r="V41">
        <v>0</v>
      </c>
      <c r="W41">
        <v>0</v>
      </c>
    </row>
    <row r="42" spans="1:23">
      <c r="A42">
        <v>1</v>
      </c>
      <c r="B42" t="s">
        <v>709</v>
      </c>
      <c r="C42">
        <v>18.78</v>
      </c>
      <c r="D42">
        <v>0.11</v>
      </c>
      <c r="E42">
        <v>0.35673939452167519</v>
      </c>
      <c r="F42">
        <v>0</v>
      </c>
      <c r="G42">
        <v>0</v>
      </c>
      <c r="H42">
        <v>0</v>
      </c>
      <c r="I42">
        <v>0</v>
      </c>
      <c r="J42">
        <v>0</v>
      </c>
      <c r="K42">
        <v>0</v>
      </c>
      <c r="L42">
        <v>0</v>
      </c>
      <c r="M42">
        <v>0</v>
      </c>
      <c r="N42">
        <v>0</v>
      </c>
      <c r="O42">
        <v>0</v>
      </c>
      <c r="P42">
        <v>0</v>
      </c>
      <c r="Q42">
        <v>0</v>
      </c>
      <c r="R42">
        <v>0</v>
      </c>
      <c r="S42">
        <v>0</v>
      </c>
      <c r="T42">
        <v>0</v>
      </c>
      <c r="U42">
        <v>0</v>
      </c>
      <c r="V42">
        <v>0</v>
      </c>
      <c r="W42">
        <v>0</v>
      </c>
    </row>
    <row r="43" spans="1:23">
      <c r="A43">
        <v>1</v>
      </c>
      <c r="B43" t="s">
        <v>710</v>
      </c>
      <c r="C43">
        <v>3.9560000000000004</v>
      </c>
      <c r="D43">
        <v>0</v>
      </c>
      <c r="E43">
        <v>6.5277423164382009E-2</v>
      </c>
      <c r="F43">
        <v>0</v>
      </c>
      <c r="G43">
        <v>3.9980812500000002E-4</v>
      </c>
      <c r="H43">
        <v>0</v>
      </c>
      <c r="I43">
        <v>0</v>
      </c>
      <c r="J43">
        <v>0</v>
      </c>
      <c r="K43">
        <v>0</v>
      </c>
      <c r="L43">
        <v>0</v>
      </c>
      <c r="M43">
        <v>0</v>
      </c>
      <c r="N43">
        <v>0</v>
      </c>
      <c r="O43">
        <v>0</v>
      </c>
      <c r="P43">
        <v>0</v>
      </c>
      <c r="Q43">
        <v>0</v>
      </c>
      <c r="R43">
        <v>0</v>
      </c>
      <c r="S43">
        <v>0</v>
      </c>
      <c r="T43">
        <v>0</v>
      </c>
      <c r="U43">
        <v>0</v>
      </c>
      <c r="V43">
        <v>0</v>
      </c>
      <c r="W43">
        <v>0</v>
      </c>
    </row>
    <row r="44" spans="1:23">
      <c r="A44">
        <v>1</v>
      </c>
      <c r="B44" t="s">
        <v>711</v>
      </c>
      <c r="C44">
        <v>32.477999999999994</v>
      </c>
      <c r="D44">
        <v>0.52</v>
      </c>
      <c r="E44">
        <v>0.6933972698867501</v>
      </c>
      <c r="F44">
        <v>0</v>
      </c>
      <c r="G44">
        <v>5.0763193399999996E-5</v>
      </c>
      <c r="H44">
        <v>0</v>
      </c>
      <c r="I44">
        <v>0</v>
      </c>
      <c r="J44">
        <v>0</v>
      </c>
      <c r="K44">
        <v>0</v>
      </c>
      <c r="L44">
        <v>0</v>
      </c>
      <c r="M44">
        <v>0</v>
      </c>
      <c r="N44">
        <v>0</v>
      </c>
      <c r="O44">
        <v>0</v>
      </c>
      <c r="P44">
        <v>0</v>
      </c>
      <c r="Q44">
        <v>0</v>
      </c>
      <c r="R44">
        <v>0</v>
      </c>
      <c r="S44">
        <v>0</v>
      </c>
      <c r="T44">
        <v>0</v>
      </c>
      <c r="U44">
        <v>0</v>
      </c>
      <c r="V44">
        <v>0</v>
      </c>
      <c r="W44">
        <v>0</v>
      </c>
    </row>
    <row r="45" spans="1:23">
      <c r="A45">
        <v>1</v>
      </c>
      <c r="B45" t="s">
        <v>712</v>
      </c>
      <c r="C45">
        <v>48.070444000000002</v>
      </c>
      <c r="D45">
        <v>0.58362099999999995</v>
      </c>
      <c r="E45">
        <v>1.2167612635158409</v>
      </c>
      <c r="F45">
        <v>0</v>
      </c>
      <c r="G45">
        <v>7.6149996490249991E-2</v>
      </c>
      <c r="H45">
        <v>0</v>
      </c>
      <c r="I45">
        <v>0</v>
      </c>
      <c r="J45">
        <v>0</v>
      </c>
      <c r="K45">
        <v>0</v>
      </c>
      <c r="L45">
        <v>0</v>
      </c>
      <c r="M45">
        <v>0</v>
      </c>
      <c r="N45">
        <v>0</v>
      </c>
      <c r="O45">
        <v>0</v>
      </c>
      <c r="P45">
        <v>0</v>
      </c>
      <c r="Q45">
        <v>0</v>
      </c>
      <c r="R45">
        <v>0</v>
      </c>
      <c r="S45">
        <v>0</v>
      </c>
      <c r="T45">
        <v>0</v>
      </c>
      <c r="U45">
        <v>0</v>
      </c>
      <c r="V45">
        <v>0</v>
      </c>
      <c r="W45">
        <v>0</v>
      </c>
    </row>
    <row r="46" spans="1:23">
      <c r="A46">
        <v>1</v>
      </c>
      <c r="B46" t="s">
        <v>713</v>
      </c>
      <c r="C46">
        <v>34.313000000000002</v>
      </c>
      <c r="D46">
        <v>3.2000000000000003E-4</v>
      </c>
      <c r="E46">
        <v>0.59812607462400003</v>
      </c>
      <c r="F46">
        <v>0</v>
      </c>
      <c r="G46">
        <v>0</v>
      </c>
      <c r="H46">
        <v>0</v>
      </c>
      <c r="I46">
        <v>0</v>
      </c>
      <c r="J46">
        <v>0</v>
      </c>
      <c r="K46">
        <v>0</v>
      </c>
      <c r="L46">
        <v>0</v>
      </c>
      <c r="M46">
        <v>0</v>
      </c>
      <c r="N46">
        <v>0</v>
      </c>
      <c r="O46">
        <v>0</v>
      </c>
      <c r="P46">
        <v>0</v>
      </c>
      <c r="Q46">
        <v>0</v>
      </c>
      <c r="R46">
        <v>0</v>
      </c>
      <c r="S46">
        <v>0</v>
      </c>
      <c r="T46">
        <v>0</v>
      </c>
      <c r="U46">
        <v>0</v>
      </c>
      <c r="V46">
        <v>0</v>
      </c>
      <c r="W46">
        <v>0</v>
      </c>
    </row>
    <row r="47" spans="1:23">
      <c r="B47" t="s">
        <v>714</v>
      </c>
      <c r="C47">
        <v>9.1851120000000002</v>
      </c>
      <c r="D47">
        <v>2.57772E-2</v>
      </c>
      <c r="E47">
        <v>8.9071186438000008E-2</v>
      </c>
      <c r="F47">
        <v>0</v>
      </c>
      <c r="G47">
        <v>0</v>
      </c>
      <c r="H47">
        <v>0</v>
      </c>
      <c r="I47">
        <v>0</v>
      </c>
      <c r="J47">
        <v>0</v>
      </c>
      <c r="K47">
        <v>0</v>
      </c>
      <c r="L47">
        <v>0</v>
      </c>
      <c r="M47">
        <v>0</v>
      </c>
      <c r="N47">
        <v>0</v>
      </c>
      <c r="O47">
        <v>0</v>
      </c>
      <c r="P47">
        <v>0</v>
      </c>
      <c r="Q47">
        <v>0</v>
      </c>
      <c r="R47">
        <v>0</v>
      </c>
      <c r="S47">
        <v>0</v>
      </c>
      <c r="T47">
        <v>0</v>
      </c>
      <c r="U47">
        <v>0</v>
      </c>
      <c r="V47">
        <v>0</v>
      </c>
      <c r="W47">
        <v>0</v>
      </c>
    </row>
    <row r="48" spans="1:23">
      <c r="B48" t="s">
        <v>715</v>
      </c>
      <c r="C48">
        <v>9.1851120000000002</v>
      </c>
      <c r="D48">
        <v>2.57772E-2</v>
      </c>
      <c r="E48">
        <v>8.9071186438000008E-2</v>
      </c>
      <c r="F48">
        <v>0</v>
      </c>
      <c r="G48">
        <v>0</v>
      </c>
      <c r="H48">
        <v>0</v>
      </c>
      <c r="I48">
        <v>0</v>
      </c>
      <c r="J48">
        <v>0</v>
      </c>
      <c r="K48">
        <v>0</v>
      </c>
      <c r="L48">
        <v>0</v>
      </c>
      <c r="M48">
        <v>0</v>
      </c>
      <c r="N48">
        <v>0</v>
      </c>
      <c r="O48">
        <v>0</v>
      </c>
      <c r="P48">
        <v>0</v>
      </c>
      <c r="Q48">
        <v>0</v>
      </c>
      <c r="R48">
        <v>0</v>
      </c>
      <c r="S48">
        <v>0</v>
      </c>
      <c r="T48">
        <v>0</v>
      </c>
      <c r="U48">
        <v>0</v>
      </c>
      <c r="V48">
        <v>0</v>
      </c>
      <c r="W48">
        <v>0</v>
      </c>
    </row>
    <row r="49" spans="1:23" s="357" customFormat="1" ht="18.75">
      <c r="B49" s="357" t="s">
        <v>716</v>
      </c>
      <c r="C49" s="357">
        <v>7853.3334999999997</v>
      </c>
      <c r="D49" s="357">
        <v>672.79882500000019</v>
      </c>
      <c r="E49" s="357">
        <v>96.806587059695261</v>
      </c>
      <c r="F49" s="357">
        <v>13.733345634320871</v>
      </c>
      <c r="G49" s="357">
        <v>5.4187016557740009</v>
      </c>
      <c r="H49" s="357">
        <v>0</v>
      </c>
      <c r="I49" s="357">
        <v>401.41527323069749</v>
      </c>
      <c r="J49" s="357">
        <v>0</v>
      </c>
      <c r="K49" s="357">
        <v>0</v>
      </c>
      <c r="L49" s="357">
        <v>0</v>
      </c>
      <c r="M49" s="357">
        <v>0</v>
      </c>
      <c r="N49" s="357">
        <v>0</v>
      </c>
      <c r="O49" s="357">
        <v>0</v>
      </c>
      <c r="P49" s="357">
        <v>0</v>
      </c>
      <c r="Q49" s="357">
        <v>0</v>
      </c>
      <c r="R49" s="357">
        <v>1.0523002937600001</v>
      </c>
      <c r="S49" s="357">
        <v>0</v>
      </c>
      <c r="T49" s="357">
        <v>0</v>
      </c>
      <c r="U49" s="357">
        <v>0</v>
      </c>
      <c r="V49" s="357">
        <v>0</v>
      </c>
      <c r="W49" s="357">
        <v>477.64002500000009</v>
      </c>
    </row>
    <row r="50" spans="1:23">
      <c r="B50" t="s">
        <v>689</v>
      </c>
      <c r="C50">
        <v>353.09977000000003</v>
      </c>
      <c r="D50">
        <v>2.2738779999999998</v>
      </c>
      <c r="E50">
        <v>6.0494646929308811</v>
      </c>
      <c r="F50">
        <v>0</v>
      </c>
      <c r="G50">
        <v>0.27485205807399998</v>
      </c>
      <c r="H50">
        <v>0</v>
      </c>
      <c r="I50">
        <v>0</v>
      </c>
      <c r="J50">
        <v>0</v>
      </c>
      <c r="K50">
        <v>0</v>
      </c>
      <c r="L50">
        <v>0</v>
      </c>
      <c r="M50">
        <v>0</v>
      </c>
      <c r="N50">
        <v>0</v>
      </c>
      <c r="O50">
        <v>0</v>
      </c>
      <c r="P50">
        <v>0</v>
      </c>
      <c r="Q50">
        <v>0</v>
      </c>
      <c r="R50">
        <v>0</v>
      </c>
      <c r="S50">
        <v>0</v>
      </c>
      <c r="T50">
        <v>0</v>
      </c>
      <c r="U50">
        <v>0</v>
      </c>
      <c r="V50">
        <v>0</v>
      </c>
      <c r="W50">
        <v>0</v>
      </c>
    </row>
    <row r="51" spans="1:23">
      <c r="B51" t="s">
        <v>717</v>
      </c>
      <c r="C51">
        <v>49.023769999999999</v>
      </c>
      <c r="D51">
        <v>0.43779800000000002</v>
      </c>
      <c r="E51">
        <v>0.79598009112245016</v>
      </c>
      <c r="F51">
        <v>0</v>
      </c>
      <c r="G51">
        <v>0</v>
      </c>
      <c r="H51">
        <v>0</v>
      </c>
      <c r="I51">
        <v>0</v>
      </c>
      <c r="J51">
        <v>0</v>
      </c>
      <c r="K51">
        <v>0</v>
      </c>
      <c r="L51">
        <v>0</v>
      </c>
      <c r="M51">
        <v>0</v>
      </c>
      <c r="N51">
        <v>0</v>
      </c>
      <c r="O51">
        <v>0</v>
      </c>
      <c r="P51">
        <v>0</v>
      </c>
      <c r="Q51">
        <v>0</v>
      </c>
      <c r="R51">
        <v>0</v>
      </c>
      <c r="S51">
        <v>0</v>
      </c>
      <c r="T51">
        <v>0</v>
      </c>
      <c r="U51">
        <v>0</v>
      </c>
      <c r="V51">
        <v>0</v>
      </c>
      <c r="W51">
        <v>0</v>
      </c>
    </row>
    <row r="52" spans="1:23">
      <c r="A52">
        <v>1</v>
      </c>
      <c r="B52" t="s">
        <v>718</v>
      </c>
      <c r="C52">
        <v>90.397000000000006</v>
      </c>
      <c r="D52">
        <v>0</v>
      </c>
      <c r="E52">
        <v>1.8802113211707805</v>
      </c>
      <c r="F52">
        <v>0</v>
      </c>
      <c r="G52">
        <v>0</v>
      </c>
      <c r="H52">
        <v>0</v>
      </c>
      <c r="I52">
        <v>0</v>
      </c>
      <c r="J52">
        <v>0</v>
      </c>
      <c r="K52">
        <v>0</v>
      </c>
      <c r="L52">
        <v>0</v>
      </c>
      <c r="M52">
        <v>0</v>
      </c>
      <c r="N52">
        <v>0</v>
      </c>
      <c r="O52">
        <v>0</v>
      </c>
      <c r="P52">
        <v>0</v>
      </c>
      <c r="Q52">
        <v>0</v>
      </c>
      <c r="R52">
        <v>0</v>
      </c>
      <c r="S52">
        <v>0</v>
      </c>
      <c r="T52">
        <v>0</v>
      </c>
      <c r="U52">
        <v>0</v>
      </c>
      <c r="V52">
        <v>0</v>
      </c>
      <c r="W52">
        <v>0</v>
      </c>
    </row>
    <row r="53" spans="1:23">
      <c r="A53">
        <v>1</v>
      </c>
      <c r="B53" t="s">
        <v>719</v>
      </c>
      <c r="C53">
        <v>147.14099999999999</v>
      </c>
      <c r="D53">
        <v>0.48608000000000001</v>
      </c>
      <c r="E53">
        <v>1.7543053596516505</v>
      </c>
      <c r="F53">
        <v>0</v>
      </c>
      <c r="G53">
        <v>0.27485205807399998</v>
      </c>
      <c r="H53">
        <v>0</v>
      </c>
      <c r="I53">
        <v>0</v>
      </c>
      <c r="J53">
        <v>0</v>
      </c>
      <c r="K53">
        <v>0</v>
      </c>
      <c r="L53">
        <v>0</v>
      </c>
      <c r="M53">
        <v>0</v>
      </c>
      <c r="N53">
        <v>0</v>
      </c>
      <c r="O53">
        <v>0</v>
      </c>
      <c r="P53">
        <v>0</v>
      </c>
      <c r="Q53">
        <v>0</v>
      </c>
      <c r="R53">
        <v>0</v>
      </c>
      <c r="S53">
        <v>0</v>
      </c>
      <c r="T53">
        <v>0</v>
      </c>
      <c r="U53">
        <v>0</v>
      </c>
      <c r="V53">
        <v>0</v>
      </c>
      <c r="W53">
        <v>0</v>
      </c>
    </row>
    <row r="54" spans="1:23">
      <c r="A54">
        <v>2</v>
      </c>
      <c r="B54" t="s">
        <v>720</v>
      </c>
      <c r="C54">
        <v>66.538000000000011</v>
      </c>
      <c r="D54">
        <v>1.35</v>
      </c>
      <c r="E54">
        <v>1.618967920986</v>
      </c>
      <c r="F54">
        <v>0</v>
      </c>
      <c r="G54">
        <v>0</v>
      </c>
      <c r="H54">
        <v>0</v>
      </c>
      <c r="I54">
        <v>0</v>
      </c>
      <c r="J54">
        <v>0</v>
      </c>
      <c r="K54">
        <v>0</v>
      </c>
      <c r="L54">
        <v>0</v>
      </c>
      <c r="M54">
        <v>0</v>
      </c>
      <c r="N54">
        <v>0</v>
      </c>
      <c r="O54">
        <v>0</v>
      </c>
      <c r="P54">
        <v>0</v>
      </c>
      <c r="Q54">
        <v>0</v>
      </c>
      <c r="R54">
        <v>0</v>
      </c>
      <c r="S54">
        <v>0</v>
      </c>
      <c r="T54">
        <v>0</v>
      </c>
      <c r="U54">
        <v>0</v>
      </c>
      <c r="V54">
        <v>0</v>
      </c>
      <c r="W54">
        <v>0</v>
      </c>
    </row>
    <row r="55" spans="1:23">
      <c r="B55" t="s">
        <v>692</v>
      </c>
      <c r="C55">
        <v>2315.6979499999998</v>
      </c>
      <c r="D55">
        <v>251.88144000000003</v>
      </c>
      <c r="E55">
        <v>37.109743778174469</v>
      </c>
      <c r="F55">
        <v>0</v>
      </c>
      <c r="G55">
        <v>0</v>
      </c>
      <c r="H55">
        <v>0</v>
      </c>
      <c r="I55">
        <v>0</v>
      </c>
      <c r="J55">
        <v>0</v>
      </c>
      <c r="K55">
        <v>0</v>
      </c>
      <c r="L55">
        <v>0</v>
      </c>
      <c r="M55">
        <v>0</v>
      </c>
      <c r="N55">
        <v>0</v>
      </c>
      <c r="O55">
        <v>0</v>
      </c>
      <c r="P55">
        <v>0</v>
      </c>
      <c r="Q55">
        <v>0</v>
      </c>
      <c r="R55">
        <v>0</v>
      </c>
      <c r="S55">
        <v>0</v>
      </c>
      <c r="T55">
        <v>0</v>
      </c>
      <c r="U55">
        <v>0</v>
      </c>
      <c r="V55">
        <v>0</v>
      </c>
      <c r="W55">
        <v>0</v>
      </c>
    </row>
    <row r="56" spans="1:23">
      <c r="B56" t="s">
        <v>721</v>
      </c>
      <c r="C56">
        <v>2315.6979499999998</v>
      </c>
      <c r="D56">
        <v>251.88144000000003</v>
      </c>
      <c r="E56">
        <v>37.109743778174469</v>
      </c>
      <c r="F56">
        <v>0</v>
      </c>
      <c r="G56">
        <v>0</v>
      </c>
      <c r="H56">
        <v>0</v>
      </c>
      <c r="I56">
        <v>0</v>
      </c>
      <c r="J56">
        <v>0</v>
      </c>
      <c r="K56">
        <v>0</v>
      </c>
      <c r="L56">
        <v>0</v>
      </c>
      <c r="M56">
        <v>0</v>
      </c>
      <c r="N56">
        <v>0</v>
      </c>
      <c r="O56">
        <v>0</v>
      </c>
      <c r="P56">
        <v>0</v>
      </c>
      <c r="Q56">
        <v>0</v>
      </c>
      <c r="R56">
        <v>0</v>
      </c>
      <c r="S56">
        <v>0</v>
      </c>
      <c r="T56">
        <v>0</v>
      </c>
      <c r="U56">
        <v>0</v>
      </c>
      <c r="V56">
        <v>0</v>
      </c>
      <c r="W56">
        <v>0</v>
      </c>
    </row>
    <row r="57" spans="1:23">
      <c r="B57" t="s">
        <v>722</v>
      </c>
      <c r="C57">
        <v>2168.9279999999999</v>
      </c>
      <c r="D57">
        <v>64.169999999999987</v>
      </c>
      <c r="E57">
        <v>24.868811312110999</v>
      </c>
      <c r="F57">
        <v>0</v>
      </c>
      <c r="G57">
        <v>0</v>
      </c>
      <c r="H57">
        <v>0</v>
      </c>
      <c r="I57">
        <v>0</v>
      </c>
      <c r="J57">
        <v>0</v>
      </c>
      <c r="K57">
        <v>0</v>
      </c>
      <c r="L57">
        <v>0</v>
      </c>
      <c r="M57">
        <v>0</v>
      </c>
      <c r="N57">
        <v>0</v>
      </c>
      <c r="O57">
        <v>0</v>
      </c>
      <c r="P57">
        <v>0</v>
      </c>
      <c r="Q57">
        <v>0</v>
      </c>
      <c r="R57">
        <v>0</v>
      </c>
      <c r="S57">
        <v>0</v>
      </c>
      <c r="T57">
        <v>0</v>
      </c>
      <c r="U57">
        <v>0</v>
      </c>
      <c r="V57">
        <v>0</v>
      </c>
      <c r="W57">
        <v>248.28800000000001</v>
      </c>
    </row>
    <row r="58" spans="1:23">
      <c r="A58">
        <v>3</v>
      </c>
      <c r="B58" t="s">
        <v>723</v>
      </c>
      <c r="C58">
        <v>2168.9279999999999</v>
      </c>
      <c r="D58">
        <v>64.169999999999987</v>
      </c>
      <c r="E58">
        <v>24.868811312110999</v>
      </c>
      <c r="F58">
        <v>0</v>
      </c>
      <c r="G58">
        <v>0</v>
      </c>
      <c r="H58">
        <v>0</v>
      </c>
      <c r="I58">
        <v>0</v>
      </c>
      <c r="J58">
        <v>0</v>
      </c>
      <c r="K58">
        <v>0</v>
      </c>
      <c r="L58">
        <v>0</v>
      </c>
      <c r="M58">
        <v>0</v>
      </c>
      <c r="N58">
        <v>0</v>
      </c>
      <c r="O58">
        <v>0</v>
      </c>
      <c r="P58">
        <v>0</v>
      </c>
      <c r="Q58">
        <v>0</v>
      </c>
      <c r="R58">
        <v>0</v>
      </c>
      <c r="S58">
        <v>0</v>
      </c>
      <c r="T58">
        <v>0</v>
      </c>
      <c r="U58">
        <v>0</v>
      </c>
      <c r="V58">
        <v>0</v>
      </c>
      <c r="W58">
        <v>248.28800000000001</v>
      </c>
    </row>
    <row r="59" spans="1:23">
      <c r="B59" t="s">
        <v>724</v>
      </c>
      <c r="C59">
        <v>2456.7400680000001</v>
      </c>
      <c r="D59">
        <v>346.57348000000002</v>
      </c>
      <c r="E59">
        <v>24.22654651775137</v>
      </c>
      <c r="F59">
        <v>11.886057171920871</v>
      </c>
      <c r="G59">
        <v>5.1438495977000009</v>
      </c>
      <c r="H59">
        <v>0</v>
      </c>
      <c r="I59">
        <v>401.41527323069749</v>
      </c>
      <c r="J59">
        <v>0</v>
      </c>
      <c r="K59">
        <v>0</v>
      </c>
      <c r="L59">
        <v>0</v>
      </c>
      <c r="M59">
        <v>0</v>
      </c>
      <c r="N59">
        <v>0</v>
      </c>
      <c r="O59">
        <v>0</v>
      </c>
      <c r="P59">
        <v>0</v>
      </c>
      <c r="Q59">
        <v>0</v>
      </c>
      <c r="R59">
        <v>1.0523002937600001</v>
      </c>
      <c r="S59">
        <v>0</v>
      </c>
      <c r="T59">
        <v>0</v>
      </c>
      <c r="U59">
        <v>0</v>
      </c>
      <c r="V59">
        <v>0</v>
      </c>
      <c r="W59">
        <v>161.87509499999996</v>
      </c>
    </row>
    <row r="60" spans="1:23">
      <c r="A60">
        <v>3</v>
      </c>
      <c r="B60" t="s">
        <v>725</v>
      </c>
      <c r="C60">
        <v>46.665000000000006</v>
      </c>
      <c r="D60">
        <v>2.5880000000000001</v>
      </c>
      <c r="E60">
        <v>1.2059709106300702</v>
      </c>
      <c r="F60">
        <v>0</v>
      </c>
      <c r="G60">
        <v>0</v>
      </c>
      <c r="H60">
        <v>0</v>
      </c>
      <c r="I60">
        <v>0</v>
      </c>
      <c r="J60">
        <v>0</v>
      </c>
      <c r="K60">
        <v>0</v>
      </c>
      <c r="L60">
        <v>0</v>
      </c>
      <c r="M60">
        <v>0</v>
      </c>
      <c r="N60">
        <v>0</v>
      </c>
      <c r="O60">
        <v>0</v>
      </c>
      <c r="P60">
        <v>0</v>
      </c>
      <c r="Q60">
        <v>0</v>
      </c>
      <c r="R60">
        <v>0</v>
      </c>
      <c r="S60">
        <v>0</v>
      </c>
      <c r="T60">
        <v>0</v>
      </c>
      <c r="U60">
        <v>0</v>
      </c>
      <c r="V60">
        <v>0</v>
      </c>
      <c r="W60">
        <v>0</v>
      </c>
    </row>
    <row r="61" spans="1:23">
      <c r="A61">
        <v>2</v>
      </c>
      <c r="B61" t="s">
        <v>726</v>
      </c>
      <c r="C61">
        <v>136.74200000000002</v>
      </c>
      <c r="D61">
        <v>19.065000000000001</v>
      </c>
      <c r="E61">
        <v>1.98004093846</v>
      </c>
      <c r="F61">
        <v>0</v>
      </c>
      <c r="G61">
        <v>0</v>
      </c>
      <c r="H61">
        <v>0</v>
      </c>
      <c r="I61">
        <v>0</v>
      </c>
      <c r="J61">
        <v>0</v>
      </c>
      <c r="K61">
        <v>0</v>
      </c>
      <c r="L61">
        <v>0</v>
      </c>
      <c r="M61">
        <v>0</v>
      </c>
      <c r="N61">
        <v>0</v>
      </c>
      <c r="O61">
        <v>0</v>
      </c>
      <c r="P61">
        <v>0</v>
      </c>
      <c r="Q61">
        <v>0</v>
      </c>
      <c r="R61">
        <v>1.0523002937600001</v>
      </c>
      <c r="S61">
        <v>0</v>
      </c>
      <c r="T61">
        <v>0</v>
      </c>
      <c r="U61">
        <v>0</v>
      </c>
      <c r="V61">
        <v>0</v>
      </c>
      <c r="W61">
        <v>53.960999999999999</v>
      </c>
    </row>
    <row r="62" spans="1:23">
      <c r="A62">
        <v>4</v>
      </c>
      <c r="B62" t="s">
        <v>727</v>
      </c>
      <c r="C62">
        <v>537.33999999999992</v>
      </c>
      <c r="D62">
        <v>22.17</v>
      </c>
      <c r="E62">
        <v>4.5854390098543005</v>
      </c>
      <c r="F62">
        <v>5.7590331598199995</v>
      </c>
      <c r="G62">
        <v>5.1438495977000009</v>
      </c>
      <c r="H62">
        <v>0</v>
      </c>
      <c r="I62">
        <v>0</v>
      </c>
      <c r="J62">
        <v>0</v>
      </c>
      <c r="K62">
        <v>0</v>
      </c>
      <c r="L62">
        <v>0</v>
      </c>
      <c r="M62">
        <v>0</v>
      </c>
      <c r="N62">
        <v>0</v>
      </c>
      <c r="O62">
        <v>0</v>
      </c>
      <c r="P62">
        <v>0</v>
      </c>
      <c r="Q62">
        <v>0</v>
      </c>
      <c r="R62">
        <v>0</v>
      </c>
      <c r="S62">
        <v>0</v>
      </c>
      <c r="T62">
        <v>0</v>
      </c>
      <c r="U62">
        <v>0</v>
      </c>
      <c r="V62">
        <v>0</v>
      </c>
      <c r="W62">
        <v>8.69</v>
      </c>
    </row>
    <row r="63" spans="1:23">
      <c r="A63">
        <v>4</v>
      </c>
      <c r="B63" t="s">
        <v>728</v>
      </c>
      <c r="C63">
        <v>502.33800000000002</v>
      </c>
      <c r="D63">
        <v>73.210999999999999</v>
      </c>
      <c r="E63">
        <v>10.853799621717</v>
      </c>
      <c r="F63">
        <v>0.36929858063999998</v>
      </c>
      <c r="G63">
        <v>0</v>
      </c>
      <c r="H63">
        <v>0</v>
      </c>
      <c r="I63">
        <v>0</v>
      </c>
      <c r="J63">
        <v>0</v>
      </c>
      <c r="K63">
        <v>0</v>
      </c>
      <c r="L63">
        <v>0</v>
      </c>
      <c r="M63">
        <v>0</v>
      </c>
      <c r="N63">
        <v>0</v>
      </c>
      <c r="O63">
        <v>0</v>
      </c>
      <c r="P63">
        <v>0</v>
      </c>
      <c r="Q63">
        <v>0</v>
      </c>
      <c r="R63">
        <v>0</v>
      </c>
      <c r="S63">
        <v>0</v>
      </c>
      <c r="T63">
        <v>0</v>
      </c>
      <c r="U63">
        <v>0</v>
      </c>
      <c r="V63">
        <v>0</v>
      </c>
      <c r="W63">
        <v>96.626000000000005</v>
      </c>
    </row>
    <row r="64" spans="1:23">
      <c r="A64">
        <v>4</v>
      </c>
      <c r="B64" t="s">
        <v>729</v>
      </c>
      <c r="C64">
        <v>224.98499999999999</v>
      </c>
      <c r="D64">
        <v>14.724999999999998</v>
      </c>
      <c r="E64">
        <v>2.55732612057</v>
      </c>
      <c r="F64">
        <v>0.46846503492000002</v>
      </c>
      <c r="G64">
        <v>0</v>
      </c>
      <c r="H64">
        <v>0</v>
      </c>
      <c r="I64">
        <v>0</v>
      </c>
      <c r="J64">
        <v>0</v>
      </c>
      <c r="K64">
        <v>0</v>
      </c>
      <c r="L64">
        <v>0</v>
      </c>
      <c r="M64">
        <v>0</v>
      </c>
      <c r="N64">
        <v>0</v>
      </c>
      <c r="O64">
        <v>0</v>
      </c>
      <c r="P64">
        <v>0</v>
      </c>
      <c r="Q64">
        <v>0</v>
      </c>
      <c r="R64">
        <v>0</v>
      </c>
      <c r="S64">
        <v>0</v>
      </c>
      <c r="T64">
        <v>0</v>
      </c>
      <c r="U64">
        <v>0</v>
      </c>
      <c r="V64">
        <v>0</v>
      </c>
      <c r="W64">
        <v>1.6460000000000001</v>
      </c>
    </row>
    <row r="65" spans="1:23">
      <c r="A65">
        <v>4</v>
      </c>
      <c r="B65" t="s">
        <v>730</v>
      </c>
      <c r="C65">
        <v>3.3180000000000001</v>
      </c>
      <c r="D65">
        <v>0</v>
      </c>
      <c r="E65">
        <v>7.6599328988000009E-2</v>
      </c>
      <c r="F65">
        <v>0</v>
      </c>
      <c r="G65">
        <v>0</v>
      </c>
      <c r="H65">
        <v>0</v>
      </c>
      <c r="I65">
        <v>0</v>
      </c>
      <c r="J65">
        <v>0</v>
      </c>
      <c r="K65">
        <v>0</v>
      </c>
      <c r="L65">
        <v>0</v>
      </c>
      <c r="M65">
        <v>0</v>
      </c>
      <c r="N65">
        <v>0</v>
      </c>
      <c r="O65">
        <v>0</v>
      </c>
      <c r="P65">
        <v>0</v>
      </c>
      <c r="Q65">
        <v>0</v>
      </c>
      <c r="R65">
        <v>0</v>
      </c>
      <c r="S65">
        <v>0</v>
      </c>
      <c r="T65">
        <v>0</v>
      </c>
      <c r="U65">
        <v>0</v>
      </c>
      <c r="V65">
        <v>0</v>
      </c>
      <c r="W65">
        <v>0</v>
      </c>
    </row>
    <row r="66" spans="1:23">
      <c r="A66">
        <v>4</v>
      </c>
      <c r="B66" t="s">
        <v>731</v>
      </c>
      <c r="C66">
        <v>474.90612800000002</v>
      </c>
      <c r="D66">
        <v>93.855969999999985</v>
      </c>
      <c r="E66">
        <v>0</v>
      </c>
      <c r="F66">
        <v>2.6604919721172005</v>
      </c>
      <c r="G66">
        <v>0</v>
      </c>
      <c r="H66">
        <v>0</v>
      </c>
      <c r="I66">
        <v>401.41527323069749</v>
      </c>
      <c r="J66">
        <v>0</v>
      </c>
      <c r="K66">
        <v>0</v>
      </c>
      <c r="L66">
        <v>0</v>
      </c>
      <c r="M66">
        <v>0</v>
      </c>
      <c r="N66">
        <v>0</v>
      </c>
      <c r="O66">
        <v>0</v>
      </c>
      <c r="P66">
        <v>0</v>
      </c>
      <c r="Q66">
        <v>0</v>
      </c>
      <c r="R66">
        <v>0</v>
      </c>
      <c r="S66">
        <v>0</v>
      </c>
      <c r="T66">
        <v>0</v>
      </c>
      <c r="U66">
        <v>0</v>
      </c>
      <c r="V66">
        <v>0</v>
      </c>
      <c r="W66">
        <v>0.94906200000000007</v>
      </c>
    </row>
    <row r="67" spans="1:23">
      <c r="A67">
        <v>4</v>
      </c>
      <c r="B67" t="s">
        <v>732</v>
      </c>
      <c r="C67">
        <v>530.44594000000006</v>
      </c>
      <c r="D67">
        <v>120.95850999999999</v>
      </c>
      <c r="E67">
        <v>2.9673705875320002</v>
      </c>
      <c r="F67">
        <v>2.6287684244236722</v>
      </c>
      <c r="G67">
        <v>0</v>
      </c>
      <c r="H67">
        <v>0</v>
      </c>
      <c r="I67">
        <v>0</v>
      </c>
      <c r="J67">
        <v>0</v>
      </c>
      <c r="K67">
        <v>0</v>
      </c>
      <c r="L67">
        <v>0</v>
      </c>
      <c r="M67">
        <v>0</v>
      </c>
      <c r="N67">
        <v>0</v>
      </c>
      <c r="O67">
        <v>0</v>
      </c>
      <c r="P67">
        <v>0</v>
      </c>
      <c r="Q67">
        <v>0</v>
      </c>
      <c r="R67">
        <v>0</v>
      </c>
      <c r="S67">
        <v>0</v>
      </c>
      <c r="T67">
        <v>0</v>
      </c>
      <c r="U67">
        <v>0</v>
      </c>
      <c r="V67">
        <v>0</v>
      </c>
      <c r="W67">
        <v>3.0330000000000001E-3</v>
      </c>
    </row>
    <row r="68" spans="1:23">
      <c r="B68" t="s">
        <v>733</v>
      </c>
      <c r="C68">
        <v>342.23599999999999</v>
      </c>
      <c r="D68">
        <v>4.8180000000000005</v>
      </c>
      <c r="E68">
        <v>1.482852032532</v>
      </c>
      <c r="F68">
        <v>1.8472884623999999</v>
      </c>
      <c r="G68">
        <v>0</v>
      </c>
      <c r="H68">
        <v>0</v>
      </c>
      <c r="I68">
        <v>0</v>
      </c>
      <c r="J68">
        <v>0</v>
      </c>
      <c r="K68">
        <v>0</v>
      </c>
      <c r="L68">
        <v>0</v>
      </c>
      <c r="M68">
        <v>0</v>
      </c>
      <c r="N68">
        <v>0</v>
      </c>
      <c r="O68">
        <v>0</v>
      </c>
      <c r="P68">
        <v>0</v>
      </c>
      <c r="Q68">
        <v>0</v>
      </c>
      <c r="R68">
        <v>0</v>
      </c>
      <c r="S68">
        <v>0</v>
      </c>
      <c r="T68">
        <v>0</v>
      </c>
      <c r="U68">
        <v>0</v>
      </c>
      <c r="V68">
        <v>0</v>
      </c>
      <c r="W68">
        <v>0</v>
      </c>
    </row>
    <row r="69" spans="1:23">
      <c r="B69" t="s">
        <v>734</v>
      </c>
      <c r="C69">
        <v>342.23599999999999</v>
      </c>
      <c r="D69">
        <v>4.8180000000000005</v>
      </c>
      <c r="E69">
        <v>1.482852032532</v>
      </c>
      <c r="F69">
        <v>1.8472884623999999</v>
      </c>
      <c r="G69">
        <v>0</v>
      </c>
      <c r="H69">
        <v>0</v>
      </c>
      <c r="I69">
        <v>0</v>
      </c>
      <c r="J69">
        <v>0</v>
      </c>
      <c r="K69">
        <v>0</v>
      </c>
      <c r="L69">
        <v>0</v>
      </c>
      <c r="M69">
        <v>0</v>
      </c>
      <c r="N69">
        <v>0</v>
      </c>
      <c r="O69">
        <v>0</v>
      </c>
      <c r="P69">
        <v>0</v>
      </c>
      <c r="Q69">
        <v>0</v>
      </c>
      <c r="R69">
        <v>0</v>
      </c>
      <c r="S69">
        <v>0</v>
      </c>
      <c r="T69">
        <v>0</v>
      </c>
      <c r="U69">
        <v>0</v>
      </c>
      <c r="V69">
        <v>0</v>
      </c>
      <c r="W69">
        <v>0</v>
      </c>
    </row>
    <row r="70" spans="1:23">
      <c r="B70" t="s">
        <v>714</v>
      </c>
      <c r="C70">
        <v>216.63171199999999</v>
      </c>
      <c r="D70">
        <v>3.0820270000000001</v>
      </c>
      <c r="E70">
        <v>3.0691687261955591</v>
      </c>
      <c r="F70">
        <v>0</v>
      </c>
      <c r="G70">
        <v>0</v>
      </c>
      <c r="H70">
        <v>0</v>
      </c>
      <c r="I70">
        <v>0</v>
      </c>
      <c r="J70">
        <v>0</v>
      </c>
      <c r="K70">
        <v>0</v>
      </c>
      <c r="L70">
        <v>0</v>
      </c>
      <c r="M70">
        <v>0</v>
      </c>
      <c r="N70">
        <v>0</v>
      </c>
      <c r="O70">
        <v>0</v>
      </c>
      <c r="P70">
        <v>0</v>
      </c>
      <c r="Q70">
        <v>0</v>
      </c>
      <c r="R70">
        <v>0</v>
      </c>
      <c r="S70">
        <v>0</v>
      </c>
      <c r="T70">
        <v>0</v>
      </c>
      <c r="U70">
        <v>0</v>
      </c>
      <c r="V70">
        <v>0</v>
      </c>
      <c r="W70">
        <v>67.476929999999996</v>
      </c>
    </row>
    <row r="71" spans="1:23">
      <c r="B71" t="s">
        <v>735</v>
      </c>
      <c r="C71">
        <v>100.28339199999999</v>
      </c>
      <c r="D71">
        <v>3.0820270000000001</v>
      </c>
      <c r="E71">
        <v>1.4855234284074081</v>
      </c>
      <c r="F71">
        <v>0</v>
      </c>
      <c r="G71">
        <v>0</v>
      </c>
      <c r="H71">
        <v>0</v>
      </c>
      <c r="I71">
        <v>0</v>
      </c>
      <c r="J71">
        <v>0</v>
      </c>
      <c r="K71">
        <v>0</v>
      </c>
      <c r="L71">
        <v>0</v>
      </c>
      <c r="M71">
        <v>0</v>
      </c>
      <c r="N71">
        <v>0</v>
      </c>
      <c r="O71">
        <v>0</v>
      </c>
      <c r="P71">
        <v>0</v>
      </c>
      <c r="Q71">
        <v>0</v>
      </c>
      <c r="R71">
        <v>0</v>
      </c>
      <c r="S71">
        <v>0</v>
      </c>
      <c r="T71">
        <v>0</v>
      </c>
      <c r="U71">
        <v>0</v>
      </c>
      <c r="V71">
        <v>0</v>
      </c>
      <c r="W71">
        <v>0</v>
      </c>
    </row>
    <row r="72" spans="1:23">
      <c r="A72">
        <v>3</v>
      </c>
      <c r="B72" t="s">
        <v>736</v>
      </c>
      <c r="C72">
        <v>116.34832</v>
      </c>
      <c r="D72">
        <v>0</v>
      </c>
      <c r="E72">
        <v>1.583645297788151</v>
      </c>
      <c r="F72">
        <v>0</v>
      </c>
      <c r="G72">
        <v>0</v>
      </c>
      <c r="H72">
        <v>0</v>
      </c>
      <c r="I72">
        <v>0</v>
      </c>
      <c r="J72">
        <v>0</v>
      </c>
      <c r="K72">
        <v>0</v>
      </c>
      <c r="L72">
        <v>0</v>
      </c>
      <c r="M72">
        <v>0</v>
      </c>
      <c r="N72">
        <v>0</v>
      </c>
      <c r="O72">
        <v>0</v>
      </c>
      <c r="P72">
        <v>0</v>
      </c>
      <c r="Q72">
        <v>0</v>
      </c>
      <c r="R72">
        <v>0</v>
      </c>
      <c r="S72">
        <v>0</v>
      </c>
      <c r="T72">
        <v>0</v>
      </c>
      <c r="U72">
        <v>0</v>
      </c>
      <c r="V72">
        <v>0</v>
      </c>
      <c r="W72">
        <v>67.476929999999996</v>
      </c>
    </row>
    <row r="73" spans="1:23">
      <c r="B73" t="s">
        <v>372</v>
      </c>
      <c r="C73">
        <v>8342.4343659999977</v>
      </c>
      <c r="D73">
        <v>676.12620720000007</v>
      </c>
      <c r="E73">
        <v>105.97151171023732</v>
      </c>
      <c r="F73">
        <v>13.733345634320871</v>
      </c>
      <c r="G73">
        <v>5.6952987876095298</v>
      </c>
      <c r="H73">
        <v>0</v>
      </c>
      <c r="I73">
        <v>401.41527323069749</v>
      </c>
      <c r="J73">
        <v>0</v>
      </c>
      <c r="K73">
        <v>0</v>
      </c>
      <c r="L73">
        <v>0</v>
      </c>
      <c r="M73">
        <v>0</v>
      </c>
      <c r="N73">
        <v>0</v>
      </c>
      <c r="O73">
        <v>0</v>
      </c>
      <c r="P73">
        <v>0</v>
      </c>
      <c r="Q73">
        <v>0</v>
      </c>
      <c r="R73">
        <v>1.0523002937600001</v>
      </c>
      <c r="S73">
        <v>0</v>
      </c>
      <c r="T73">
        <v>6721.8173789557986</v>
      </c>
      <c r="U73">
        <v>0</v>
      </c>
      <c r="V73">
        <v>0</v>
      </c>
      <c r="W73">
        <v>480.168025</v>
      </c>
    </row>
    <row r="75" spans="1:23">
      <c r="E75">
        <v>2</v>
      </c>
    </row>
    <row r="76" spans="1:23">
      <c r="B76" t="s">
        <v>659</v>
      </c>
      <c r="C76" t="s">
        <v>660</v>
      </c>
      <c r="D76" t="s">
        <v>661</v>
      </c>
      <c r="E76" t="s">
        <v>662</v>
      </c>
      <c r="F76" t="s">
        <v>663</v>
      </c>
      <c r="G76" t="s">
        <v>664</v>
      </c>
      <c r="H76" t="s">
        <v>665</v>
      </c>
      <c r="I76" t="s">
        <v>666</v>
      </c>
      <c r="J76" t="s">
        <v>667</v>
      </c>
      <c r="K76" t="s">
        <v>668</v>
      </c>
      <c r="L76" t="s">
        <v>669</v>
      </c>
      <c r="M76" t="s">
        <v>670</v>
      </c>
      <c r="N76" t="s">
        <v>671</v>
      </c>
      <c r="O76" t="s">
        <v>672</v>
      </c>
      <c r="P76" t="s">
        <v>673</v>
      </c>
      <c r="Q76" t="s">
        <v>674</v>
      </c>
      <c r="R76" t="s">
        <v>675</v>
      </c>
      <c r="S76" t="s">
        <v>676</v>
      </c>
      <c r="T76" t="s">
        <v>677</v>
      </c>
      <c r="U76" t="s">
        <v>678</v>
      </c>
      <c r="V76" t="s">
        <v>679</v>
      </c>
      <c r="W76" t="s">
        <v>680</v>
      </c>
    </row>
    <row r="77" spans="1:23" s="360" customFormat="1" ht="18.75">
      <c r="A77" s="358"/>
      <c r="B77" s="358" t="s">
        <v>681</v>
      </c>
      <c r="C77" s="359">
        <f>+C14/277.77</f>
        <v>1.7608124203477697</v>
      </c>
      <c r="D77" s="359">
        <f t="shared" ref="D77:D136" si="0">+D14/277.77</f>
        <v>1.1978911329517226E-2</v>
      </c>
      <c r="E77" s="358">
        <v>9.1649246505420638</v>
      </c>
      <c r="F77" s="358">
        <v>0</v>
      </c>
      <c r="G77" s="358">
        <v>0.27659713183552903</v>
      </c>
      <c r="H77" s="358">
        <v>0</v>
      </c>
      <c r="I77" s="358">
        <v>0</v>
      </c>
      <c r="J77" s="358">
        <v>0</v>
      </c>
      <c r="K77" s="358">
        <v>0</v>
      </c>
      <c r="L77" s="358">
        <v>0</v>
      </c>
      <c r="M77" s="358">
        <v>0</v>
      </c>
      <c r="N77" s="358">
        <v>0</v>
      </c>
      <c r="O77" s="358">
        <v>0</v>
      </c>
      <c r="P77" s="358">
        <v>0</v>
      </c>
      <c r="Q77" s="358">
        <v>0</v>
      </c>
      <c r="R77" s="358">
        <v>0</v>
      </c>
      <c r="S77" s="358">
        <v>0</v>
      </c>
      <c r="T77" s="358">
        <v>6721.8173789557986</v>
      </c>
      <c r="U77" s="358">
        <v>0</v>
      </c>
      <c r="V77" s="358">
        <v>0</v>
      </c>
      <c r="W77" s="358">
        <v>2.528</v>
      </c>
    </row>
    <row r="78" spans="1:23" s="360" customFormat="1">
      <c r="B78" s="360" t="s">
        <v>682</v>
      </c>
      <c r="C78" s="361">
        <f t="shared" ref="C78:C136" si="1">+C15/277.77</f>
        <v>3.4404528926809952E-2</v>
      </c>
      <c r="D78" s="361">
        <f t="shared" si="0"/>
        <v>2.0448572560031683E-4</v>
      </c>
      <c r="E78" s="360">
        <v>6.785743640000001E-4</v>
      </c>
      <c r="F78" s="360">
        <v>0</v>
      </c>
      <c r="G78" s="360">
        <v>0.12035066824950001</v>
      </c>
      <c r="H78" s="360">
        <v>0</v>
      </c>
      <c r="I78" s="360">
        <v>0</v>
      </c>
      <c r="J78" s="360">
        <v>0</v>
      </c>
      <c r="K78" s="360">
        <v>0</v>
      </c>
      <c r="L78" s="360">
        <v>0</v>
      </c>
      <c r="M78" s="360">
        <v>0</v>
      </c>
      <c r="N78" s="360">
        <v>0</v>
      </c>
      <c r="O78" s="360">
        <v>0</v>
      </c>
      <c r="P78" s="360">
        <v>0</v>
      </c>
      <c r="Q78" s="360">
        <v>0</v>
      </c>
      <c r="R78" s="360">
        <v>0</v>
      </c>
      <c r="S78" s="360">
        <v>0</v>
      </c>
      <c r="T78" s="360">
        <v>0</v>
      </c>
      <c r="U78" s="360">
        <v>0</v>
      </c>
      <c r="V78" s="360">
        <v>0</v>
      </c>
      <c r="W78" s="360">
        <v>0</v>
      </c>
    </row>
    <row r="79" spans="1:23" s="77" customFormat="1">
      <c r="A79" s="77">
        <v>1</v>
      </c>
      <c r="B79" s="77" t="s">
        <v>683</v>
      </c>
      <c r="C79" s="362">
        <f t="shared" si="1"/>
        <v>1.4400403211289918E-4</v>
      </c>
      <c r="D79" s="362">
        <f t="shared" si="0"/>
        <v>0</v>
      </c>
      <c r="E79" s="77">
        <v>6.7286960000000008E-4</v>
      </c>
      <c r="F79" s="77">
        <v>0</v>
      </c>
      <c r="G79" s="77">
        <v>0</v>
      </c>
      <c r="H79" s="77">
        <v>0</v>
      </c>
      <c r="I79" s="77">
        <v>0</v>
      </c>
      <c r="J79" s="77">
        <v>0</v>
      </c>
      <c r="K79" s="77">
        <v>0</v>
      </c>
      <c r="L79" s="77">
        <v>0</v>
      </c>
      <c r="M79" s="77">
        <v>0</v>
      </c>
      <c r="N79" s="77">
        <v>0</v>
      </c>
      <c r="O79" s="77">
        <v>0</v>
      </c>
      <c r="P79" s="77">
        <v>0</v>
      </c>
      <c r="Q79" s="77">
        <v>0</v>
      </c>
      <c r="R79" s="77">
        <v>0</v>
      </c>
      <c r="S79" s="77">
        <v>0</v>
      </c>
      <c r="T79" s="77">
        <v>0</v>
      </c>
      <c r="U79" s="77">
        <v>0</v>
      </c>
      <c r="V79" s="77">
        <v>0</v>
      </c>
      <c r="W79" s="77">
        <v>0</v>
      </c>
    </row>
    <row r="80" spans="1:23" s="77" customFormat="1">
      <c r="A80" s="77">
        <v>1</v>
      </c>
      <c r="B80" s="77" t="s">
        <v>684</v>
      </c>
      <c r="C80" s="362">
        <f t="shared" si="1"/>
        <v>5.1933110127083569E-3</v>
      </c>
      <c r="D80" s="362">
        <f t="shared" si="0"/>
        <v>0</v>
      </c>
      <c r="E80" s="77">
        <v>5.7047639999999999E-6</v>
      </c>
      <c r="F80" s="77">
        <v>0</v>
      </c>
      <c r="G80" s="77">
        <v>1.6560940999999999E-2</v>
      </c>
      <c r="H80" s="77">
        <v>0</v>
      </c>
      <c r="I80" s="77">
        <v>0</v>
      </c>
      <c r="J80" s="77">
        <v>0</v>
      </c>
      <c r="K80" s="77">
        <v>0</v>
      </c>
      <c r="L80" s="77">
        <v>0</v>
      </c>
      <c r="M80" s="77">
        <v>0</v>
      </c>
      <c r="N80" s="77">
        <v>0</v>
      </c>
      <c r="O80" s="77">
        <v>0</v>
      </c>
      <c r="P80" s="77">
        <v>0</v>
      </c>
      <c r="Q80" s="77">
        <v>0</v>
      </c>
      <c r="R80" s="77">
        <v>0</v>
      </c>
      <c r="S80" s="77">
        <v>0</v>
      </c>
      <c r="T80" s="77">
        <v>0</v>
      </c>
      <c r="U80" s="77">
        <v>0</v>
      </c>
      <c r="V80" s="77">
        <v>0</v>
      </c>
      <c r="W80" s="77">
        <v>0</v>
      </c>
    </row>
    <row r="81" spans="1:23" s="77" customFormat="1">
      <c r="A81" s="77">
        <v>1</v>
      </c>
      <c r="B81" s="77" t="s">
        <v>685</v>
      </c>
      <c r="C81" s="362">
        <f t="shared" si="1"/>
        <v>0</v>
      </c>
      <c r="D81" s="362">
        <f t="shared" si="0"/>
        <v>0</v>
      </c>
      <c r="E81" s="77">
        <v>0</v>
      </c>
      <c r="F81" s="77">
        <v>0</v>
      </c>
      <c r="G81" s="77">
        <v>0</v>
      </c>
      <c r="H81" s="77">
        <v>0</v>
      </c>
      <c r="I81" s="77">
        <v>0</v>
      </c>
      <c r="J81" s="77">
        <v>0</v>
      </c>
      <c r="K81" s="77">
        <v>0</v>
      </c>
      <c r="L81" s="77">
        <v>0</v>
      </c>
      <c r="M81" s="77">
        <v>0</v>
      </c>
      <c r="N81" s="77">
        <v>0</v>
      </c>
      <c r="O81" s="77">
        <v>0</v>
      </c>
      <c r="P81" s="77">
        <v>0</v>
      </c>
      <c r="Q81" s="77">
        <v>0</v>
      </c>
      <c r="R81" s="77">
        <v>0</v>
      </c>
      <c r="S81" s="77">
        <v>0</v>
      </c>
      <c r="T81" s="77">
        <v>0</v>
      </c>
      <c r="U81" s="77">
        <v>0</v>
      </c>
      <c r="V81" s="77">
        <v>0</v>
      </c>
      <c r="W81" s="77">
        <v>0</v>
      </c>
    </row>
    <row r="82" spans="1:23" s="77" customFormat="1">
      <c r="A82" s="77">
        <v>1</v>
      </c>
      <c r="B82" s="77" t="s">
        <v>686</v>
      </c>
      <c r="C82" s="362">
        <f t="shared" si="1"/>
        <v>2.7432768117507289E-3</v>
      </c>
      <c r="D82" s="362">
        <f t="shared" si="0"/>
        <v>0</v>
      </c>
      <c r="E82" s="77">
        <v>0</v>
      </c>
      <c r="F82" s="77">
        <v>0</v>
      </c>
      <c r="G82" s="77">
        <v>1.0935196449999999E-2</v>
      </c>
      <c r="H82" s="77">
        <v>0</v>
      </c>
      <c r="I82" s="77">
        <v>0</v>
      </c>
      <c r="J82" s="77">
        <v>0</v>
      </c>
      <c r="K82" s="77">
        <v>0</v>
      </c>
      <c r="L82" s="77">
        <v>0</v>
      </c>
      <c r="M82" s="77">
        <v>0</v>
      </c>
      <c r="N82" s="77">
        <v>0</v>
      </c>
      <c r="O82" s="77">
        <v>0</v>
      </c>
      <c r="P82" s="77">
        <v>0</v>
      </c>
      <c r="Q82" s="77">
        <v>0</v>
      </c>
      <c r="R82" s="77">
        <v>0</v>
      </c>
      <c r="S82" s="77">
        <v>0</v>
      </c>
      <c r="T82" s="77">
        <v>0</v>
      </c>
      <c r="U82" s="77">
        <v>0</v>
      </c>
      <c r="V82" s="77">
        <v>0</v>
      </c>
      <c r="W82" s="77">
        <v>0</v>
      </c>
    </row>
    <row r="83" spans="1:23" s="77" customFormat="1">
      <c r="A83" s="77">
        <v>1</v>
      </c>
      <c r="B83" s="77" t="s">
        <v>687</v>
      </c>
      <c r="C83" s="362">
        <f t="shared" si="1"/>
        <v>1.7356085970407172E-2</v>
      </c>
      <c r="D83" s="362">
        <f t="shared" si="0"/>
        <v>2.0448572560031683E-4</v>
      </c>
      <c r="E83" s="77">
        <v>0</v>
      </c>
      <c r="F83" s="77">
        <v>0</v>
      </c>
      <c r="G83" s="77">
        <v>5.4068878054500009E-2</v>
      </c>
      <c r="H83" s="77">
        <v>0</v>
      </c>
      <c r="I83" s="77">
        <v>0</v>
      </c>
      <c r="J83" s="77">
        <v>0</v>
      </c>
      <c r="K83" s="77">
        <v>0</v>
      </c>
      <c r="L83" s="77">
        <v>0</v>
      </c>
      <c r="M83" s="77">
        <v>0</v>
      </c>
      <c r="N83" s="77">
        <v>0</v>
      </c>
      <c r="O83" s="77">
        <v>0</v>
      </c>
      <c r="P83" s="77">
        <v>0</v>
      </c>
      <c r="Q83" s="77">
        <v>0</v>
      </c>
      <c r="R83" s="77">
        <v>0</v>
      </c>
      <c r="S83" s="77">
        <v>0</v>
      </c>
      <c r="T83" s="77">
        <v>0</v>
      </c>
      <c r="U83" s="77">
        <v>0</v>
      </c>
      <c r="V83" s="77">
        <v>0</v>
      </c>
      <c r="W83" s="77">
        <v>0</v>
      </c>
    </row>
    <row r="84" spans="1:23" s="77" customFormat="1">
      <c r="A84" s="77">
        <v>1</v>
      </c>
      <c r="B84" s="77" t="s">
        <v>688</v>
      </c>
      <c r="C84" s="362">
        <f t="shared" si="1"/>
        <v>8.9678510998307953E-3</v>
      </c>
      <c r="D84" s="362">
        <f t="shared" si="0"/>
        <v>0</v>
      </c>
      <c r="E84" s="77">
        <v>0</v>
      </c>
      <c r="F84" s="77">
        <v>0</v>
      </c>
      <c r="G84" s="77">
        <v>3.8785652744999996E-2</v>
      </c>
      <c r="H84" s="77">
        <v>0</v>
      </c>
      <c r="I84" s="77">
        <v>0</v>
      </c>
      <c r="J84" s="77">
        <v>0</v>
      </c>
      <c r="K84" s="77">
        <v>0</v>
      </c>
      <c r="L84" s="77">
        <v>0</v>
      </c>
      <c r="M84" s="77">
        <v>0</v>
      </c>
      <c r="N84" s="77">
        <v>0</v>
      </c>
      <c r="O84" s="77">
        <v>0</v>
      </c>
      <c r="P84" s="77">
        <v>0</v>
      </c>
      <c r="Q84" s="77">
        <v>0</v>
      </c>
      <c r="R84" s="77">
        <v>0</v>
      </c>
      <c r="S84" s="77">
        <v>0</v>
      </c>
      <c r="T84" s="77">
        <v>0</v>
      </c>
      <c r="U84" s="77">
        <v>0</v>
      </c>
      <c r="V84" s="77">
        <v>0</v>
      </c>
      <c r="W84" s="77">
        <v>0</v>
      </c>
    </row>
    <row r="85" spans="1:23" s="360" customFormat="1">
      <c r="B85" s="360" t="s">
        <v>689</v>
      </c>
      <c r="C85" s="361">
        <f t="shared" si="1"/>
        <v>0.1716151132231703</v>
      </c>
      <c r="D85" s="361">
        <f t="shared" si="0"/>
        <v>2.0431292076178134E-3</v>
      </c>
      <c r="E85" s="360">
        <v>1.4774426999750603</v>
      </c>
      <c r="F85" s="360">
        <v>0</v>
      </c>
      <c r="G85" s="360">
        <v>0</v>
      </c>
      <c r="H85" s="360">
        <v>0</v>
      </c>
      <c r="I85" s="360">
        <v>0</v>
      </c>
      <c r="J85" s="360">
        <v>0</v>
      </c>
      <c r="K85" s="360">
        <v>0</v>
      </c>
      <c r="L85" s="360">
        <v>0</v>
      </c>
      <c r="M85" s="360">
        <v>0</v>
      </c>
      <c r="N85" s="360">
        <v>0</v>
      </c>
      <c r="O85" s="360">
        <v>0</v>
      </c>
      <c r="P85" s="360">
        <v>0</v>
      </c>
      <c r="Q85" s="360">
        <v>0</v>
      </c>
      <c r="R85" s="360">
        <v>0</v>
      </c>
      <c r="S85" s="360">
        <v>0</v>
      </c>
      <c r="T85" s="360">
        <v>0</v>
      </c>
      <c r="U85" s="360">
        <v>0</v>
      </c>
      <c r="V85" s="360">
        <v>0</v>
      </c>
      <c r="W85" s="360">
        <v>0</v>
      </c>
    </row>
    <row r="86" spans="1:23" s="77" customFormat="1">
      <c r="A86" s="77">
        <v>1</v>
      </c>
      <c r="B86" s="77" t="s">
        <v>690</v>
      </c>
      <c r="C86" s="362">
        <f t="shared" si="1"/>
        <v>6.121611405119344E-2</v>
      </c>
      <c r="D86" s="362">
        <f t="shared" si="0"/>
        <v>8.0642257983223539E-4</v>
      </c>
      <c r="E86" s="77">
        <v>0.48114506059893009</v>
      </c>
      <c r="F86" s="77">
        <v>0</v>
      </c>
      <c r="G86" s="77">
        <v>0</v>
      </c>
      <c r="H86" s="77">
        <v>0</v>
      </c>
      <c r="I86" s="77">
        <v>0</v>
      </c>
      <c r="J86" s="77">
        <v>0</v>
      </c>
      <c r="K86" s="77">
        <v>0</v>
      </c>
      <c r="L86" s="77">
        <v>0</v>
      </c>
      <c r="M86" s="77">
        <v>0</v>
      </c>
      <c r="N86" s="77">
        <v>0</v>
      </c>
      <c r="O86" s="77">
        <v>0</v>
      </c>
      <c r="P86" s="77">
        <v>0</v>
      </c>
      <c r="Q86" s="77">
        <v>0</v>
      </c>
      <c r="R86" s="77">
        <v>0</v>
      </c>
      <c r="S86" s="77">
        <v>0</v>
      </c>
      <c r="T86" s="77">
        <v>0</v>
      </c>
      <c r="U86" s="77">
        <v>0</v>
      </c>
      <c r="V86" s="77">
        <v>0</v>
      </c>
      <c r="W86" s="77">
        <v>0</v>
      </c>
    </row>
    <row r="87" spans="1:23" s="77" customFormat="1">
      <c r="A87" s="77">
        <v>2</v>
      </c>
      <c r="B87" s="77" t="s">
        <v>691</v>
      </c>
      <c r="C87" s="362">
        <f t="shared" si="1"/>
        <v>0.11039899917197683</v>
      </c>
      <c r="D87" s="362">
        <f t="shared" si="0"/>
        <v>1.236706627785578E-3</v>
      </c>
      <c r="E87" s="77">
        <v>0.99629763937613014</v>
      </c>
      <c r="F87" s="77">
        <v>0</v>
      </c>
      <c r="G87" s="77">
        <v>0</v>
      </c>
      <c r="H87" s="77">
        <v>0</v>
      </c>
      <c r="I87" s="77">
        <v>0</v>
      </c>
      <c r="J87" s="77">
        <v>0</v>
      </c>
      <c r="K87" s="77">
        <v>0</v>
      </c>
      <c r="L87" s="77">
        <v>0</v>
      </c>
      <c r="M87" s="77">
        <v>0</v>
      </c>
      <c r="N87" s="77">
        <v>0</v>
      </c>
      <c r="O87" s="77">
        <v>0</v>
      </c>
      <c r="P87" s="77">
        <v>0</v>
      </c>
      <c r="Q87" s="77">
        <v>0</v>
      </c>
      <c r="R87" s="77">
        <v>0</v>
      </c>
      <c r="S87" s="77">
        <v>0</v>
      </c>
      <c r="T87" s="77">
        <v>0</v>
      </c>
      <c r="U87" s="77">
        <v>0</v>
      </c>
      <c r="V87" s="77">
        <v>0</v>
      </c>
      <c r="W87" s="77">
        <v>0</v>
      </c>
    </row>
    <row r="88" spans="1:23" s="360" customFormat="1">
      <c r="B88" s="360" t="s">
        <v>692</v>
      </c>
      <c r="C88" s="361">
        <f t="shared" si="1"/>
        <v>1.5217254491125751</v>
      </c>
      <c r="D88" s="361">
        <f t="shared" si="0"/>
        <v>9.6384958778845814E-3</v>
      </c>
      <c r="E88" s="360">
        <v>7.5977321897650043</v>
      </c>
      <c r="F88" s="360">
        <v>0</v>
      </c>
      <c r="G88" s="360">
        <v>0.15624646358602901</v>
      </c>
      <c r="H88" s="360">
        <v>0</v>
      </c>
      <c r="I88" s="360">
        <v>0</v>
      </c>
      <c r="J88" s="360">
        <v>0</v>
      </c>
      <c r="K88" s="360">
        <v>0</v>
      </c>
      <c r="L88" s="360">
        <v>0</v>
      </c>
      <c r="M88" s="360">
        <v>0</v>
      </c>
      <c r="N88" s="360">
        <v>0</v>
      </c>
      <c r="O88" s="360">
        <v>0</v>
      </c>
      <c r="P88" s="360">
        <v>0</v>
      </c>
      <c r="Q88" s="360">
        <v>0</v>
      </c>
      <c r="R88" s="360">
        <v>0</v>
      </c>
      <c r="S88" s="360">
        <v>0</v>
      </c>
      <c r="T88" s="360">
        <v>6721.8173789557986</v>
      </c>
      <c r="U88" s="360">
        <v>0</v>
      </c>
      <c r="V88" s="360">
        <v>0</v>
      </c>
      <c r="W88" s="360">
        <v>2.528</v>
      </c>
    </row>
    <row r="89" spans="1:23" s="77" customFormat="1">
      <c r="A89" s="77">
        <v>1</v>
      </c>
      <c r="B89" s="77" t="s">
        <v>693</v>
      </c>
      <c r="C89" s="362">
        <f t="shared" si="1"/>
        <v>1.9262641753969113E-2</v>
      </c>
      <c r="D89" s="362">
        <f t="shared" si="0"/>
        <v>0</v>
      </c>
      <c r="E89" s="77">
        <v>4.8277275081151996E-2</v>
      </c>
      <c r="F89" s="77">
        <v>0</v>
      </c>
      <c r="G89" s="77">
        <v>4.6948669000039009E-2</v>
      </c>
      <c r="H89" s="77">
        <v>0</v>
      </c>
      <c r="I89" s="77">
        <v>0</v>
      </c>
      <c r="J89" s="77">
        <v>0</v>
      </c>
      <c r="K89" s="77">
        <v>0</v>
      </c>
      <c r="L89" s="77">
        <v>0</v>
      </c>
      <c r="M89" s="77">
        <v>0</v>
      </c>
      <c r="N89" s="77">
        <v>0</v>
      </c>
      <c r="O89" s="77">
        <v>0</v>
      </c>
      <c r="P89" s="77">
        <v>0</v>
      </c>
      <c r="Q89" s="77">
        <v>0</v>
      </c>
      <c r="R89" s="77">
        <v>0</v>
      </c>
      <c r="S89" s="77">
        <v>0</v>
      </c>
      <c r="T89" s="77">
        <v>0</v>
      </c>
      <c r="U89" s="77">
        <v>0</v>
      </c>
      <c r="V89" s="77">
        <v>0</v>
      </c>
      <c r="W89" s="77">
        <v>0</v>
      </c>
    </row>
    <row r="90" spans="1:23" s="77" customFormat="1">
      <c r="A90" s="77">
        <v>1</v>
      </c>
      <c r="B90" s="77" t="s">
        <v>694</v>
      </c>
      <c r="C90" s="362">
        <f t="shared" si="1"/>
        <v>0.11920293768225512</v>
      </c>
      <c r="D90" s="362">
        <f t="shared" si="0"/>
        <v>0</v>
      </c>
      <c r="E90" s="77">
        <v>0.591113786029</v>
      </c>
      <c r="F90" s="77">
        <v>0</v>
      </c>
      <c r="G90" s="77">
        <v>8.8721865249999994E-4</v>
      </c>
      <c r="H90" s="77">
        <v>0</v>
      </c>
      <c r="I90" s="77">
        <v>0</v>
      </c>
      <c r="J90" s="77">
        <v>0</v>
      </c>
      <c r="K90" s="77">
        <v>0</v>
      </c>
      <c r="L90" s="77">
        <v>0</v>
      </c>
      <c r="M90" s="77">
        <v>0</v>
      </c>
      <c r="N90" s="77">
        <v>0</v>
      </c>
      <c r="O90" s="77">
        <v>0</v>
      </c>
      <c r="P90" s="77">
        <v>0</v>
      </c>
      <c r="Q90" s="77">
        <v>0</v>
      </c>
      <c r="R90" s="77">
        <v>0</v>
      </c>
      <c r="S90" s="77">
        <v>0</v>
      </c>
      <c r="T90" s="77">
        <v>0</v>
      </c>
      <c r="U90" s="77">
        <v>0</v>
      </c>
      <c r="V90" s="77">
        <v>0</v>
      </c>
      <c r="W90" s="77">
        <v>0</v>
      </c>
    </row>
    <row r="91" spans="1:23" s="77" customFormat="1">
      <c r="A91" s="77">
        <v>1</v>
      </c>
      <c r="B91" s="77" t="s">
        <v>695</v>
      </c>
      <c r="C91" s="362">
        <f t="shared" si="1"/>
        <v>0.15597796738308672</v>
      </c>
      <c r="D91" s="362">
        <f t="shared" si="0"/>
        <v>0</v>
      </c>
      <c r="E91" s="77">
        <v>0.79539542412200015</v>
      </c>
      <c r="F91" s="77">
        <v>0</v>
      </c>
      <c r="G91" s="77">
        <v>2.8125168900000006E-4</v>
      </c>
      <c r="H91" s="77">
        <v>0</v>
      </c>
      <c r="I91" s="77">
        <v>0</v>
      </c>
      <c r="J91" s="77">
        <v>0</v>
      </c>
      <c r="K91" s="77">
        <v>0</v>
      </c>
      <c r="L91" s="77">
        <v>0</v>
      </c>
      <c r="M91" s="77">
        <v>0</v>
      </c>
      <c r="N91" s="77">
        <v>0</v>
      </c>
      <c r="O91" s="77">
        <v>0</v>
      </c>
      <c r="P91" s="77">
        <v>0</v>
      </c>
      <c r="Q91" s="77">
        <v>0</v>
      </c>
      <c r="R91" s="77">
        <v>0</v>
      </c>
      <c r="S91" s="77">
        <v>0</v>
      </c>
      <c r="T91" s="77">
        <v>0</v>
      </c>
      <c r="U91" s="77">
        <v>0</v>
      </c>
      <c r="V91" s="77">
        <v>0</v>
      </c>
      <c r="W91" s="77">
        <v>0</v>
      </c>
    </row>
    <row r="92" spans="1:23" s="77" customFormat="1">
      <c r="A92" s="77">
        <v>1</v>
      </c>
      <c r="B92" s="77" t="s">
        <v>696</v>
      </c>
      <c r="C92" s="362">
        <f t="shared" si="1"/>
        <v>5.1463440976347349E-2</v>
      </c>
      <c r="D92" s="362">
        <f t="shared" si="0"/>
        <v>0</v>
      </c>
      <c r="E92" s="77">
        <v>0.25226155571500003</v>
      </c>
      <c r="F92" s="77">
        <v>0</v>
      </c>
      <c r="G92" s="77">
        <v>1.7203121694999999E-3</v>
      </c>
      <c r="H92" s="77">
        <v>0</v>
      </c>
      <c r="I92" s="77">
        <v>0</v>
      </c>
      <c r="J92" s="77">
        <v>0</v>
      </c>
      <c r="K92" s="77">
        <v>0</v>
      </c>
      <c r="L92" s="77">
        <v>0</v>
      </c>
      <c r="M92" s="77">
        <v>0</v>
      </c>
      <c r="N92" s="77">
        <v>0</v>
      </c>
      <c r="O92" s="77">
        <v>0</v>
      </c>
      <c r="P92" s="77">
        <v>0</v>
      </c>
      <c r="Q92" s="77">
        <v>0</v>
      </c>
      <c r="R92" s="77">
        <v>0</v>
      </c>
      <c r="S92" s="77">
        <v>0</v>
      </c>
      <c r="T92" s="77">
        <v>0</v>
      </c>
      <c r="U92" s="77">
        <v>0</v>
      </c>
      <c r="V92" s="77">
        <v>0</v>
      </c>
      <c r="W92" s="77">
        <v>2.528</v>
      </c>
    </row>
    <row r="93" spans="1:23" s="77" customFormat="1">
      <c r="A93" s="77">
        <v>1</v>
      </c>
      <c r="B93" s="77" t="s">
        <v>697</v>
      </c>
      <c r="C93" s="362">
        <f t="shared" si="1"/>
        <v>7.9706231774489697E-2</v>
      </c>
      <c r="D93" s="362">
        <f t="shared" si="0"/>
        <v>0</v>
      </c>
      <c r="E93" s="77">
        <v>0.39252583152900006</v>
      </c>
      <c r="F93" s="77">
        <v>0</v>
      </c>
      <c r="G93" s="77">
        <v>2.3135563499999999E-4</v>
      </c>
      <c r="H93" s="77">
        <v>0</v>
      </c>
      <c r="I93" s="77">
        <v>0</v>
      </c>
      <c r="J93" s="77">
        <v>0</v>
      </c>
      <c r="K93" s="77">
        <v>0</v>
      </c>
      <c r="L93" s="77">
        <v>0</v>
      </c>
      <c r="M93" s="77">
        <v>0</v>
      </c>
      <c r="N93" s="77">
        <v>0</v>
      </c>
      <c r="O93" s="77">
        <v>0</v>
      </c>
      <c r="P93" s="77">
        <v>0</v>
      </c>
      <c r="Q93" s="77">
        <v>0</v>
      </c>
      <c r="R93" s="77">
        <v>0</v>
      </c>
      <c r="S93" s="77">
        <v>0</v>
      </c>
      <c r="T93" s="77">
        <v>0</v>
      </c>
      <c r="U93" s="77">
        <v>0</v>
      </c>
      <c r="V93" s="77">
        <v>0</v>
      </c>
      <c r="W93" s="77">
        <v>0</v>
      </c>
    </row>
    <row r="94" spans="1:23" s="77" customFormat="1">
      <c r="A94" s="77">
        <v>1</v>
      </c>
      <c r="B94" s="77" t="s">
        <v>698</v>
      </c>
      <c r="C94" s="362">
        <f t="shared" si="1"/>
        <v>1.9397343125607518E-2</v>
      </c>
      <c r="D94" s="362">
        <f t="shared" si="0"/>
        <v>0</v>
      </c>
      <c r="E94" s="77">
        <v>0.10005274743100001</v>
      </c>
      <c r="F94" s="77">
        <v>0</v>
      </c>
      <c r="G94" s="77">
        <v>1.2534784335000001E-3</v>
      </c>
      <c r="H94" s="77">
        <v>0</v>
      </c>
      <c r="I94" s="77">
        <v>0</v>
      </c>
      <c r="J94" s="77">
        <v>0</v>
      </c>
      <c r="K94" s="77">
        <v>0</v>
      </c>
      <c r="L94" s="77">
        <v>0</v>
      </c>
      <c r="M94" s="77">
        <v>0</v>
      </c>
      <c r="N94" s="77">
        <v>0</v>
      </c>
      <c r="O94" s="77">
        <v>0</v>
      </c>
      <c r="P94" s="77">
        <v>0</v>
      </c>
      <c r="Q94" s="77">
        <v>0</v>
      </c>
      <c r="R94" s="77">
        <v>0</v>
      </c>
      <c r="S94" s="77">
        <v>0</v>
      </c>
      <c r="T94" s="77">
        <v>0</v>
      </c>
      <c r="U94" s="77">
        <v>0</v>
      </c>
      <c r="V94" s="77">
        <v>0</v>
      </c>
      <c r="W94" s="77">
        <v>0</v>
      </c>
    </row>
    <row r="95" spans="1:23" s="77" customFormat="1">
      <c r="A95" s="77">
        <v>1</v>
      </c>
      <c r="B95" s="77" t="s">
        <v>699</v>
      </c>
      <c r="C95" s="362">
        <f t="shared" si="1"/>
        <v>3.7644536847031722E-2</v>
      </c>
      <c r="D95" s="362">
        <f t="shared" si="0"/>
        <v>3.9327501170032766E-5</v>
      </c>
      <c r="E95" s="77">
        <v>0.13485557443800003</v>
      </c>
      <c r="F95" s="77">
        <v>0</v>
      </c>
      <c r="G95" s="77">
        <v>3.4969884000000004E-7</v>
      </c>
      <c r="H95" s="77">
        <v>0</v>
      </c>
      <c r="I95" s="77">
        <v>0</v>
      </c>
      <c r="J95" s="77">
        <v>0</v>
      </c>
      <c r="K95" s="77">
        <v>0</v>
      </c>
      <c r="L95" s="77">
        <v>0</v>
      </c>
      <c r="M95" s="77">
        <v>0</v>
      </c>
      <c r="N95" s="77">
        <v>0</v>
      </c>
      <c r="O95" s="77">
        <v>0</v>
      </c>
      <c r="P95" s="77">
        <v>0</v>
      </c>
      <c r="Q95" s="77">
        <v>0</v>
      </c>
      <c r="R95" s="77">
        <v>0</v>
      </c>
      <c r="S95" s="77">
        <v>0</v>
      </c>
      <c r="T95" s="77">
        <v>2568.5869059032921</v>
      </c>
      <c r="U95" s="77">
        <v>0</v>
      </c>
      <c r="V95" s="77">
        <v>0</v>
      </c>
      <c r="W95" s="77">
        <v>0</v>
      </c>
    </row>
    <row r="96" spans="1:23" s="77" customFormat="1">
      <c r="A96" s="77">
        <v>1</v>
      </c>
      <c r="B96" s="77" t="s">
        <v>700</v>
      </c>
      <c r="C96" s="362">
        <f t="shared" si="1"/>
        <v>4.3576426539943119E-2</v>
      </c>
      <c r="D96" s="362">
        <f t="shared" si="0"/>
        <v>1.0125715520034561E-3</v>
      </c>
      <c r="E96" s="77">
        <v>0.10269539963358</v>
      </c>
      <c r="F96" s="77">
        <v>0</v>
      </c>
      <c r="G96" s="77">
        <v>0</v>
      </c>
      <c r="H96" s="77">
        <v>0</v>
      </c>
      <c r="I96" s="77">
        <v>0</v>
      </c>
      <c r="J96" s="77">
        <v>0</v>
      </c>
      <c r="K96" s="77">
        <v>0</v>
      </c>
      <c r="L96" s="77">
        <v>0</v>
      </c>
      <c r="M96" s="77">
        <v>0</v>
      </c>
      <c r="N96" s="77">
        <v>0</v>
      </c>
      <c r="O96" s="77">
        <v>0</v>
      </c>
      <c r="P96" s="77">
        <v>0</v>
      </c>
      <c r="Q96" s="77">
        <v>0</v>
      </c>
      <c r="R96" s="77">
        <v>0</v>
      </c>
      <c r="S96" s="77">
        <v>0</v>
      </c>
      <c r="T96" s="77">
        <v>2161.7558403720973</v>
      </c>
      <c r="U96" s="77">
        <v>0</v>
      </c>
      <c r="V96" s="77">
        <v>0</v>
      </c>
      <c r="W96" s="77">
        <v>0</v>
      </c>
    </row>
    <row r="97" spans="1:23" s="77" customFormat="1">
      <c r="A97" s="77">
        <v>1</v>
      </c>
      <c r="B97" s="77" t="s">
        <v>701</v>
      </c>
      <c r="C97" s="362">
        <f t="shared" si="1"/>
        <v>3.8569273139647912E-2</v>
      </c>
      <c r="D97" s="362">
        <f t="shared" si="0"/>
        <v>2.6115491233754545E-4</v>
      </c>
      <c r="E97" s="77">
        <v>0.15427936546843785</v>
      </c>
      <c r="F97" s="77">
        <v>0</v>
      </c>
      <c r="G97" s="77">
        <v>2.7110793494500001E-2</v>
      </c>
      <c r="H97" s="77">
        <v>0</v>
      </c>
      <c r="I97" s="77">
        <v>0</v>
      </c>
      <c r="J97" s="77">
        <v>0</v>
      </c>
      <c r="K97" s="77">
        <v>0</v>
      </c>
      <c r="L97" s="77">
        <v>0</v>
      </c>
      <c r="M97" s="77">
        <v>0</v>
      </c>
      <c r="N97" s="77">
        <v>0</v>
      </c>
      <c r="O97" s="77">
        <v>0</v>
      </c>
      <c r="P97" s="77">
        <v>0</v>
      </c>
      <c r="Q97" s="77">
        <v>0</v>
      </c>
      <c r="R97" s="77">
        <v>0</v>
      </c>
      <c r="S97" s="77">
        <v>0</v>
      </c>
      <c r="T97" s="77">
        <v>0</v>
      </c>
      <c r="U97" s="77">
        <v>0</v>
      </c>
      <c r="V97" s="77">
        <v>0</v>
      </c>
      <c r="W97" s="77">
        <v>0</v>
      </c>
    </row>
    <row r="98" spans="1:23" s="77" customFormat="1">
      <c r="A98" s="77">
        <v>1</v>
      </c>
      <c r="B98" s="77" t="s">
        <v>702</v>
      </c>
      <c r="C98" s="362">
        <f t="shared" si="1"/>
        <v>4.9537387046837314E-2</v>
      </c>
      <c r="D98" s="362">
        <f t="shared" si="0"/>
        <v>3.0600856823991079E-3</v>
      </c>
      <c r="E98" s="77">
        <v>0.21624970071783262</v>
      </c>
      <c r="F98" s="77">
        <v>0</v>
      </c>
      <c r="G98" s="77">
        <v>1.6098940500000001E-4</v>
      </c>
      <c r="H98" s="77">
        <v>0</v>
      </c>
      <c r="I98" s="77">
        <v>0</v>
      </c>
      <c r="J98" s="77">
        <v>0</v>
      </c>
      <c r="K98" s="77">
        <v>0</v>
      </c>
      <c r="L98" s="77">
        <v>0</v>
      </c>
      <c r="M98" s="77">
        <v>0</v>
      </c>
      <c r="N98" s="77">
        <v>0</v>
      </c>
      <c r="O98" s="77">
        <v>0</v>
      </c>
      <c r="P98" s="77">
        <v>0</v>
      </c>
      <c r="Q98" s="77">
        <v>0</v>
      </c>
      <c r="R98" s="77">
        <v>0</v>
      </c>
      <c r="S98" s="77">
        <v>0</v>
      </c>
      <c r="T98" s="77">
        <v>0</v>
      </c>
      <c r="U98" s="77">
        <v>0</v>
      </c>
      <c r="V98" s="77">
        <v>0</v>
      </c>
      <c r="W98" s="77">
        <v>0</v>
      </c>
    </row>
    <row r="99" spans="1:23" s="77" customFormat="1">
      <c r="A99" s="77">
        <v>1</v>
      </c>
      <c r="B99" s="77" t="s">
        <v>703</v>
      </c>
      <c r="C99" s="362">
        <f t="shared" si="1"/>
        <v>0.11023508658242431</v>
      </c>
      <c r="D99" s="362">
        <f t="shared" si="0"/>
        <v>6.1201713647982155E-4</v>
      </c>
      <c r="E99" s="77">
        <v>0.38521293387273192</v>
      </c>
      <c r="F99" s="77">
        <v>0</v>
      </c>
      <c r="G99" s="77">
        <v>4.9931592500000006E-4</v>
      </c>
      <c r="H99" s="77">
        <v>0</v>
      </c>
      <c r="I99" s="77">
        <v>0</v>
      </c>
      <c r="J99" s="77">
        <v>0</v>
      </c>
      <c r="K99" s="77">
        <v>0</v>
      </c>
      <c r="L99" s="77">
        <v>0</v>
      </c>
      <c r="M99" s="77">
        <v>0</v>
      </c>
      <c r="N99" s="77">
        <v>0</v>
      </c>
      <c r="O99" s="77">
        <v>0</v>
      </c>
      <c r="P99" s="77">
        <v>0</v>
      </c>
      <c r="Q99" s="77">
        <v>0</v>
      </c>
      <c r="R99" s="77">
        <v>0</v>
      </c>
      <c r="S99" s="77">
        <v>0</v>
      </c>
      <c r="T99" s="77">
        <v>0</v>
      </c>
      <c r="U99" s="77">
        <v>0</v>
      </c>
      <c r="V99" s="77">
        <v>0</v>
      </c>
      <c r="W99" s="77">
        <v>0</v>
      </c>
    </row>
    <row r="100" spans="1:23" s="77" customFormat="1">
      <c r="A100" s="77">
        <v>1</v>
      </c>
      <c r="B100" s="77" t="s">
        <v>704</v>
      </c>
      <c r="C100" s="362">
        <f t="shared" si="1"/>
        <v>5.2154660330489253E-2</v>
      </c>
      <c r="D100" s="362">
        <f t="shared" si="0"/>
        <v>2.0448572560031683E-4</v>
      </c>
      <c r="E100" s="77">
        <v>0.28338345688900002</v>
      </c>
      <c r="F100" s="77">
        <v>0</v>
      </c>
      <c r="G100" s="77">
        <v>0</v>
      </c>
      <c r="H100" s="77">
        <v>0</v>
      </c>
      <c r="I100" s="77">
        <v>0</v>
      </c>
      <c r="J100" s="77">
        <v>0</v>
      </c>
      <c r="K100" s="77">
        <v>0</v>
      </c>
      <c r="L100" s="77">
        <v>0</v>
      </c>
      <c r="M100" s="77">
        <v>0</v>
      </c>
      <c r="N100" s="77">
        <v>0</v>
      </c>
      <c r="O100" s="77">
        <v>0</v>
      </c>
      <c r="P100" s="77">
        <v>0</v>
      </c>
      <c r="Q100" s="77">
        <v>0</v>
      </c>
      <c r="R100" s="77">
        <v>0</v>
      </c>
      <c r="S100" s="77">
        <v>0</v>
      </c>
      <c r="T100" s="77">
        <v>0</v>
      </c>
      <c r="U100" s="77">
        <v>0</v>
      </c>
      <c r="V100" s="77">
        <v>0</v>
      </c>
      <c r="W100" s="77">
        <v>0</v>
      </c>
    </row>
    <row r="101" spans="1:23" s="77" customFormat="1">
      <c r="A101" s="77">
        <v>1</v>
      </c>
      <c r="B101" s="77" t="s">
        <v>705</v>
      </c>
      <c r="C101" s="362">
        <f t="shared" si="1"/>
        <v>9.327501170032762E-2</v>
      </c>
      <c r="D101" s="362">
        <f t="shared" si="0"/>
        <v>0</v>
      </c>
      <c r="E101" s="77">
        <v>0.47142575287600003</v>
      </c>
      <c r="F101" s="77">
        <v>0</v>
      </c>
      <c r="G101" s="77">
        <v>2.6266505349999998E-4</v>
      </c>
      <c r="H101" s="77">
        <v>0</v>
      </c>
      <c r="I101" s="77">
        <v>0</v>
      </c>
      <c r="J101" s="77">
        <v>0</v>
      </c>
      <c r="K101" s="77">
        <v>0</v>
      </c>
      <c r="L101" s="77">
        <v>0</v>
      </c>
      <c r="M101" s="77">
        <v>0</v>
      </c>
      <c r="N101" s="77">
        <v>0</v>
      </c>
      <c r="O101" s="77">
        <v>0</v>
      </c>
      <c r="P101" s="77">
        <v>0</v>
      </c>
      <c r="Q101" s="77">
        <v>0</v>
      </c>
      <c r="R101" s="77">
        <v>0</v>
      </c>
      <c r="S101" s="77">
        <v>0</v>
      </c>
      <c r="T101" s="77">
        <v>0</v>
      </c>
      <c r="U101" s="77">
        <v>0</v>
      </c>
      <c r="V101" s="77">
        <v>0</v>
      </c>
      <c r="W101" s="77">
        <v>0</v>
      </c>
    </row>
    <row r="102" spans="1:23" s="77" customFormat="1">
      <c r="A102" s="77">
        <v>1</v>
      </c>
      <c r="B102" s="77" t="s">
        <v>706</v>
      </c>
      <c r="C102" s="362">
        <f t="shared" si="1"/>
        <v>3.3425193505418151E-2</v>
      </c>
      <c r="D102" s="362">
        <f t="shared" si="0"/>
        <v>3.9327501170032766E-5</v>
      </c>
      <c r="E102" s="77">
        <v>3.8042208222620541E-2</v>
      </c>
      <c r="F102" s="77">
        <v>0</v>
      </c>
      <c r="G102" s="77">
        <v>0</v>
      </c>
      <c r="H102" s="77">
        <v>0</v>
      </c>
      <c r="I102" s="77">
        <v>0</v>
      </c>
      <c r="J102" s="77">
        <v>0</v>
      </c>
      <c r="K102" s="77">
        <v>0</v>
      </c>
      <c r="L102" s="77">
        <v>0</v>
      </c>
      <c r="M102" s="77">
        <v>0</v>
      </c>
      <c r="N102" s="77">
        <v>0</v>
      </c>
      <c r="O102" s="77">
        <v>0</v>
      </c>
      <c r="P102" s="77">
        <v>0</v>
      </c>
      <c r="Q102" s="77">
        <v>0</v>
      </c>
      <c r="R102" s="77">
        <v>0</v>
      </c>
      <c r="S102" s="77">
        <v>0</v>
      </c>
      <c r="T102" s="77">
        <v>1991.4746326804084</v>
      </c>
      <c r="U102" s="77">
        <v>0</v>
      </c>
      <c r="V102" s="77">
        <v>0</v>
      </c>
      <c r="W102" s="77">
        <v>0</v>
      </c>
    </row>
    <row r="103" spans="1:23" s="77" customFormat="1">
      <c r="A103" s="77">
        <v>1</v>
      </c>
      <c r="B103" s="77" t="s">
        <v>707</v>
      </c>
      <c r="C103" s="362">
        <f t="shared" si="1"/>
        <v>5.0390610937106242E-2</v>
      </c>
      <c r="D103" s="362">
        <f t="shared" si="0"/>
        <v>3.9215898045145263E-5</v>
      </c>
      <c r="E103" s="77">
        <v>0.35605275201600001</v>
      </c>
      <c r="F103" s="77">
        <v>0</v>
      </c>
      <c r="G103" s="77">
        <v>1.3860015E-4</v>
      </c>
      <c r="H103" s="77">
        <v>0</v>
      </c>
      <c r="I103" s="77">
        <v>0</v>
      </c>
      <c r="J103" s="77">
        <v>0</v>
      </c>
      <c r="K103" s="77">
        <v>0</v>
      </c>
      <c r="L103" s="77">
        <v>0</v>
      </c>
      <c r="M103" s="77">
        <v>0</v>
      </c>
      <c r="N103" s="77">
        <v>0</v>
      </c>
      <c r="O103" s="77">
        <v>0</v>
      </c>
      <c r="P103" s="77">
        <v>0</v>
      </c>
      <c r="Q103" s="77">
        <v>0</v>
      </c>
      <c r="R103" s="77">
        <v>0</v>
      </c>
      <c r="S103" s="77">
        <v>0</v>
      </c>
      <c r="T103" s="77">
        <v>0</v>
      </c>
      <c r="U103" s="77">
        <v>0</v>
      </c>
      <c r="V103" s="77">
        <v>0</v>
      </c>
      <c r="W103" s="77">
        <v>0</v>
      </c>
    </row>
    <row r="104" spans="1:23" s="77" customFormat="1">
      <c r="A104" s="77">
        <v>1</v>
      </c>
      <c r="B104" s="77" t="s">
        <v>708</v>
      </c>
      <c r="C104" s="362">
        <f t="shared" si="1"/>
        <v>7.2542031176872954E-2</v>
      </c>
      <c r="D104" s="362">
        <f t="shared" si="0"/>
        <v>0</v>
      </c>
      <c r="E104" s="77">
        <v>0.34560700001100003</v>
      </c>
      <c r="F104" s="77">
        <v>0</v>
      </c>
      <c r="G104" s="77">
        <v>1.5089647099999999E-4</v>
      </c>
      <c r="H104" s="77">
        <v>0</v>
      </c>
      <c r="I104" s="77">
        <v>0</v>
      </c>
      <c r="J104" s="77">
        <v>0</v>
      </c>
      <c r="K104" s="77">
        <v>0</v>
      </c>
      <c r="L104" s="77">
        <v>0</v>
      </c>
      <c r="M104" s="77">
        <v>0</v>
      </c>
      <c r="N104" s="77">
        <v>0</v>
      </c>
      <c r="O104" s="77">
        <v>0</v>
      </c>
      <c r="P104" s="77">
        <v>0</v>
      </c>
      <c r="Q104" s="77">
        <v>0</v>
      </c>
      <c r="R104" s="77">
        <v>0</v>
      </c>
      <c r="S104" s="77">
        <v>0</v>
      </c>
      <c r="T104" s="77">
        <v>0</v>
      </c>
      <c r="U104" s="77">
        <v>0</v>
      </c>
      <c r="V104" s="77">
        <v>0</v>
      </c>
      <c r="W104" s="77">
        <v>0</v>
      </c>
    </row>
    <row r="105" spans="1:23" s="77" customFormat="1">
      <c r="A105" s="77">
        <v>1</v>
      </c>
      <c r="B105" s="77" t="s">
        <v>709</v>
      </c>
      <c r="C105" s="362">
        <f t="shared" si="1"/>
        <v>6.760989307700617E-2</v>
      </c>
      <c r="D105" s="362">
        <f t="shared" si="0"/>
        <v>3.9601108831047274E-4</v>
      </c>
      <c r="E105" s="77">
        <v>0.35673939452167519</v>
      </c>
      <c r="F105" s="77">
        <v>0</v>
      </c>
      <c r="G105" s="77">
        <v>0</v>
      </c>
      <c r="H105" s="77">
        <v>0</v>
      </c>
      <c r="I105" s="77">
        <v>0</v>
      </c>
      <c r="J105" s="77">
        <v>0</v>
      </c>
      <c r="K105" s="77">
        <v>0</v>
      </c>
      <c r="L105" s="77">
        <v>0</v>
      </c>
      <c r="M105" s="77">
        <v>0</v>
      </c>
      <c r="N105" s="77">
        <v>0</v>
      </c>
      <c r="O105" s="77">
        <v>0</v>
      </c>
      <c r="P105" s="77">
        <v>0</v>
      </c>
      <c r="Q105" s="77">
        <v>0</v>
      </c>
      <c r="R105" s="77">
        <v>0</v>
      </c>
      <c r="S105" s="77">
        <v>0</v>
      </c>
      <c r="T105" s="77">
        <v>0</v>
      </c>
      <c r="U105" s="77">
        <v>0</v>
      </c>
      <c r="V105" s="77">
        <v>0</v>
      </c>
      <c r="W105" s="77">
        <v>0</v>
      </c>
    </row>
    <row r="106" spans="1:23" s="77" customFormat="1">
      <c r="A106" s="77">
        <v>1</v>
      </c>
      <c r="B106" s="77" t="s">
        <v>710</v>
      </c>
      <c r="C106" s="362">
        <f t="shared" si="1"/>
        <v>1.424199877596573E-2</v>
      </c>
      <c r="D106" s="362">
        <f t="shared" si="0"/>
        <v>0</v>
      </c>
      <c r="E106" s="77">
        <v>6.5277423164382009E-2</v>
      </c>
      <c r="F106" s="77">
        <v>0</v>
      </c>
      <c r="G106" s="77">
        <v>3.9980812500000002E-4</v>
      </c>
      <c r="H106" s="77">
        <v>0</v>
      </c>
      <c r="I106" s="77">
        <v>0</v>
      </c>
      <c r="J106" s="77">
        <v>0</v>
      </c>
      <c r="K106" s="77">
        <v>0</v>
      </c>
      <c r="L106" s="77">
        <v>0</v>
      </c>
      <c r="M106" s="77">
        <v>0</v>
      </c>
      <c r="N106" s="77">
        <v>0</v>
      </c>
      <c r="O106" s="77">
        <v>0</v>
      </c>
      <c r="P106" s="77">
        <v>0</v>
      </c>
      <c r="Q106" s="77">
        <v>0</v>
      </c>
      <c r="R106" s="77">
        <v>0</v>
      </c>
      <c r="S106" s="77">
        <v>0</v>
      </c>
      <c r="T106" s="77">
        <v>0</v>
      </c>
      <c r="U106" s="77">
        <v>0</v>
      </c>
      <c r="V106" s="77">
        <v>0</v>
      </c>
      <c r="W106" s="77">
        <v>0</v>
      </c>
    </row>
    <row r="107" spans="1:23" s="77" customFormat="1">
      <c r="A107" s="77">
        <v>1</v>
      </c>
      <c r="B107" s="77" t="s">
        <v>711</v>
      </c>
      <c r="C107" s="362">
        <f t="shared" si="1"/>
        <v>0.11692407387406846</v>
      </c>
      <c r="D107" s="362">
        <f t="shared" si="0"/>
        <v>1.8720524174676892E-3</v>
      </c>
      <c r="E107" s="77">
        <v>0.6933972698867501</v>
      </c>
      <c r="F107" s="77">
        <v>0</v>
      </c>
      <c r="G107" s="77">
        <v>5.0763193399999996E-5</v>
      </c>
      <c r="H107" s="77">
        <v>0</v>
      </c>
      <c r="I107" s="77">
        <v>0</v>
      </c>
      <c r="J107" s="77">
        <v>0</v>
      </c>
      <c r="K107" s="77">
        <v>0</v>
      </c>
      <c r="L107" s="77">
        <v>0</v>
      </c>
      <c r="M107" s="77">
        <v>0</v>
      </c>
      <c r="N107" s="77">
        <v>0</v>
      </c>
      <c r="O107" s="77">
        <v>0</v>
      </c>
      <c r="P107" s="77">
        <v>0</v>
      </c>
      <c r="Q107" s="77">
        <v>0</v>
      </c>
      <c r="R107" s="77">
        <v>0</v>
      </c>
      <c r="S107" s="77">
        <v>0</v>
      </c>
      <c r="T107" s="77">
        <v>0</v>
      </c>
      <c r="U107" s="77">
        <v>0</v>
      </c>
      <c r="V107" s="77">
        <v>0</v>
      </c>
      <c r="W107" s="77">
        <v>0</v>
      </c>
    </row>
    <row r="108" spans="1:23" s="77" customFormat="1">
      <c r="A108" s="77">
        <v>1</v>
      </c>
      <c r="B108" s="77" t="s">
        <v>712</v>
      </c>
      <c r="C108" s="362">
        <f t="shared" si="1"/>
        <v>0.17305844403643303</v>
      </c>
      <c r="D108" s="362">
        <f t="shared" si="0"/>
        <v>2.1010944306440581E-3</v>
      </c>
      <c r="E108" s="77">
        <v>1.2167612635158409</v>
      </c>
      <c r="F108" s="77">
        <v>0</v>
      </c>
      <c r="G108" s="77">
        <v>7.6149996490249991E-2</v>
      </c>
      <c r="H108" s="77">
        <v>0</v>
      </c>
      <c r="I108" s="77">
        <v>0</v>
      </c>
      <c r="J108" s="77">
        <v>0</v>
      </c>
      <c r="K108" s="77">
        <v>0</v>
      </c>
      <c r="L108" s="77">
        <v>0</v>
      </c>
      <c r="M108" s="77">
        <v>0</v>
      </c>
      <c r="N108" s="77">
        <v>0</v>
      </c>
      <c r="O108" s="77">
        <v>0</v>
      </c>
      <c r="P108" s="77">
        <v>0</v>
      </c>
      <c r="Q108" s="77">
        <v>0</v>
      </c>
      <c r="R108" s="77">
        <v>0</v>
      </c>
      <c r="S108" s="77">
        <v>0</v>
      </c>
      <c r="T108" s="77">
        <v>0</v>
      </c>
      <c r="U108" s="77">
        <v>0</v>
      </c>
      <c r="V108" s="77">
        <v>0</v>
      </c>
      <c r="W108" s="77">
        <v>0</v>
      </c>
    </row>
    <row r="109" spans="1:23" s="77" customFormat="1">
      <c r="A109" s="77">
        <v>1</v>
      </c>
      <c r="B109" s="77" t="s">
        <v>713</v>
      </c>
      <c r="C109" s="362">
        <f t="shared" si="1"/>
        <v>0.12353025884724773</v>
      </c>
      <c r="D109" s="362">
        <f t="shared" si="0"/>
        <v>1.1520322569031934E-6</v>
      </c>
      <c r="E109" s="77">
        <v>0.59812607462400003</v>
      </c>
      <c r="F109" s="77">
        <v>0</v>
      </c>
      <c r="G109" s="77">
        <v>0</v>
      </c>
      <c r="H109" s="77">
        <v>0</v>
      </c>
      <c r="I109" s="77">
        <v>0</v>
      </c>
      <c r="J109" s="77">
        <v>0</v>
      </c>
      <c r="K109" s="77">
        <v>0</v>
      </c>
      <c r="L109" s="77">
        <v>0</v>
      </c>
      <c r="M109" s="77">
        <v>0</v>
      </c>
      <c r="N109" s="77">
        <v>0</v>
      </c>
      <c r="O109" s="77">
        <v>0</v>
      </c>
      <c r="P109" s="77">
        <v>0</v>
      </c>
      <c r="Q109" s="77">
        <v>0</v>
      </c>
      <c r="R109" s="77">
        <v>0</v>
      </c>
      <c r="S109" s="77">
        <v>0</v>
      </c>
      <c r="T109" s="77">
        <v>0</v>
      </c>
      <c r="U109" s="77">
        <v>0</v>
      </c>
      <c r="V109" s="77">
        <v>0</v>
      </c>
      <c r="W109" s="77">
        <v>0</v>
      </c>
    </row>
    <row r="110" spans="1:23">
      <c r="B110" t="s">
        <v>714</v>
      </c>
      <c r="C110" s="362">
        <f t="shared" si="1"/>
        <v>3.3067329085214391E-2</v>
      </c>
      <c r="D110" s="362">
        <f t="shared" si="0"/>
        <v>9.2800518414515613E-5</v>
      </c>
      <c r="E110">
        <v>8.9071186438000008E-2</v>
      </c>
      <c r="F110">
        <v>0</v>
      </c>
      <c r="G110">
        <v>0</v>
      </c>
      <c r="H110">
        <v>0</v>
      </c>
      <c r="I110">
        <v>0</v>
      </c>
      <c r="J110">
        <v>0</v>
      </c>
      <c r="K110">
        <v>0</v>
      </c>
      <c r="L110">
        <v>0</v>
      </c>
      <c r="M110">
        <v>0</v>
      </c>
      <c r="N110">
        <v>0</v>
      </c>
      <c r="O110">
        <v>0</v>
      </c>
      <c r="P110">
        <v>0</v>
      </c>
      <c r="Q110">
        <v>0</v>
      </c>
      <c r="R110">
        <v>0</v>
      </c>
      <c r="S110">
        <v>0</v>
      </c>
      <c r="T110">
        <v>0</v>
      </c>
      <c r="U110">
        <v>0</v>
      </c>
      <c r="V110">
        <v>0</v>
      </c>
      <c r="W110">
        <v>0</v>
      </c>
    </row>
    <row r="111" spans="1:23">
      <c r="B111" t="s">
        <v>715</v>
      </c>
      <c r="C111" s="362">
        <f t="shared" si="1"/>
        <v>3.3067329085214391E-2</v>
      </c>
      <c r="D111" s="362">
        <f t="shared" si="0"/>
        <v>9.2800518414515613E-5</v>
      </c>
      <c r="E111">
        <v>8.9071186438000008E-2</v>
      </c>
      <c r="F111">
        <v>0</v>
      </c>
      <c r="G111">
        <v>0</v>
      </c>
      <c r="H111">
        <v>0</v>
      </c>
      <c r="I111">
        <v>0</v>
      </c>
      <c r="J111">
        <v>0</v>
      </c>
      <c r="K111">
        <v>0</v>
      </c>
      <c r="L111">
        <v>0</v>
      </c>
      <c r="M111">
        <v>0</v>
      </c>
      <c r="N111">
        <v>0</v>
      </c>
      <c r="O111">
        <v>0</v>
      </c>
      <c r="P111">
        <v>0</v>
      </c>
      <c r="Q111">
        <v>0</v>
      </c>
      <c r="R111">
        <v>0</v>
      </c>
      <c r="S111">
        <v>0</v>
      </c>
      <c r="T111">
        <v>0</v>
      </c>
      <c r="U111">
        <v>0</v>
      </c>
      <c r="V111">
        <v>0</v>
      </c>
      <c r="W111">
        <v>0</v>
      </c>
    </row>
    <row r="112" spans="1:23" s="360" customFormat="1" ht="18.75">
      <c r="A112" s="358"/>
      <c r="B112" s="358" t="s">
        <v>716</v>
      </c>
      <c r="C112" s="359">
        <f t="shared" si="1"/>
        <v>28.272792238182671</v>
      </c>
      <c r="D112" s="359">
        <f t="shared" si="0"/>
        <v>2.4221435900205215</v>
      </c>
      <c r="E112" s="358">
        <v>96.806587059695261</v>
      </c>
      <c r="F112" s="358">
        <v>13.733345634320871</v>
      </c>
      <c r="G112" s="358">
        <v>5.4187016557740009</v>
      </c>
      <c r="H112" s="358">
        <v>0</v>
      </c>
      <c r="I112" s="358">
        <v>401.41527323069749</v>
      </c>
      <c r="J112" s="358">
        <v>0</v>
      </c>
      <c r="K112" s="358">
        <v>0</v>
      </c>
      <c r="L112" s="358">
        <v>0</v>
      </c>
      <c r="M112" s="358">
        <v>0</v>
      </c>
      <c r="N112" s="358">
        <v>0</v>
      </c>
      <c r="O112" s="358">
        <v>0</v>
      </c>
      <c r="P112" s="358">
        <v>0</v>
      </c>
      <c r="Q112" s="358">
        <v>0</v>
      </c>
      <c r="R112" s="358">
        <v>1.0523002937600001</v>
      </c>
      <c r="S112" s="358">
        <v>0</v>
      </c>
      <c r="T112" s="358">
        <v>0</v>
      </c>
      <c r="U112" s="358">
        <v>0</v>
      </c>
      <c r="V112" s="358">
        <v>0</v>
      </c>
      <c r="W112" s="358">
        <v>477.64002500000009</v>
      </c>
    </row>
    <row r="113" spans="1:23" s="360" customFormat="1">
      <c r="B113" s="360" t="s">
        <v>689</v>
      </c>
      <c r="C113" s="361">
        <f t="shared" si="1"/>
        <v>1.2711947654534328</v>
      </c>
      <c r="D113" s="361">
        <f t="shared" si="0"/>
        <v>8.1861900133203738E-3</v>
      </c>
      <c r="E113" s="360">
        <v>6.0494646929308811</v>
      </c>
      <c r="F113" s="360">
        <v>0</v>
      </c>
      <c r="G113" s="360">
        <v>0.27485205807399998</v>
      </c>
      <c r="H113" s="360">
        <v>0</v>
      </c>
      <c r="I113" s="360">
        <v>0</v>
      </c>
      <c r="J113" s="360">
        <v>0</v>
      </c>
      <c r="K113" s="360">
        <v>0</v>
      </c>
      <c r="L113" s="360">
        <v>0</v>
      </c>
      <c r="M113" s="360">
        <v>0</v>
      </c>
      <c r="N113" s="360">
        <v>0</v>
      </c>
      <c r="O113" s="360">
        <v>0</v>
      </c>
      <c r="P113" s="360">
        <v>0</v>
      </c>
      <c r="Q113" s="360">
        <v>0</v>
      </c>
      <c r="R113" s="360">
        <v>0</v>
      </c>
      <c r="S113" s="360">
        <v>0</v>
      </c>
      <c r="T113" s="360">
        <v>0</v>
      </c>
      <c r="U113" s="360">
        <v>0</v>
      </c>
      <c r="V113" s="360">
        <v>0</v>
      </c>
      <c r="W113" s="360">
        <v>0</v>
      </c>
    </row>
    <row r="114" spans="1:23">
      <c r="B114" t="s">
        <v>717</v>
      </c>
      <c r="C114" s="362">
        <f t="shared" si="1"/>
        <v>0.17649051373438457</v>
      </c>
      <c r="D114" s="362">
        <f t="shared" si="0"/>
        <v>1.5761169312740759E-3</v>
      </c>
      <c r="E114">
        <v>0.79598009112245016</v>
      </c>
      <c r="F114">
        <v>0</v>
      </c>
      <c r="G114">
        <v>0</v>
      </c>
      <c r="H114">
        <v>0</v>
      </c>
      <c r="I114">
        <v>0</v>
      </c>
      <c r="J114">
        <v>0</v>
      </c>
      <c r="K114">
        <v>0</v>
      </c>
      <c r="L114">
        <v>0</v>
      </c>
      <c r="M114">
        <v>0</v>
      </c>
      <c r="N114">
        <v>0</v>
      </c>
      <c r="O114">
        <v>0</v>
      </c>
      <c r="P114">
        <v>0</v>
      </c>
      <c r="Q114">
        <v>0</v>
      </c>
      <c r="R114">
        <v>0</v>
      </c>
      <c r="S114">
        <v>0</v>
      </c>
      <c r="T114">
        <v>0</v>
      </c>
      <c r="U114">
        <v>0</v>
      </c>
      <c r="V114">
        <v>0</v>
      </c>
      <c r="W114">
        <v>0</v>
      </c>
    </row>
    <row r="115" spans="1:23" s="77" customFormat="1">
      <c r="A115" s="77">
        <v>1</v>
      </c>
      <c r="B115" s="77" t="s">
        <v>718</v>
      </c>
      <c r="C115" s="362">
        <f t="shared" si="1"/>
        <v>0.32543831227274367</v>
      </c>
      <c r="D115" s="362">
        <f t="shared" si="0"/>
        <v>0</v>
      </c>
      <c r="E115" s="77">
        <v>1.8802113211707805</v>
      </c>
      <c r="F115" s="77">
        <v>0</v>
      </c>
      <c r="G115" s="77">
        <v>0</v>
      </c>
      <c r="H115" s="77">
        <v>0</v>
      </c>
      <c r="I115" s="77">
        <v>0</v>
      </c>
      <c r="J115" s="77">
        <v>0</v>
      </c>
      <c r="K115" s="77">
        <v>0</v>
      </c>
      <c r="L115" s="77">
        <v>0</v>
      </c>
      <c r="M115" s="77">
        <v>0</v>
      </c>
      <c r="N115" s="77">
        <v>0</v>
      </c>
      <c r="O115" s="77">
        <v>0</v>
      </c>
      <c r="P115" s="77">
        <v>0</v>
      </c>
      <c r="Q115" s="77">
        <v>0</v>
      </c>
      <c r="R115" s="77">
        <v>0</v>
      </c>
      <c r="S115" s="77">
        <v>0</v>
      </c>
      <c r="T115" s="77">
        <v>0</v>
      </c>
      <c r="U115" s="77">
        <v>0</v>
      </c>
      <c r="V115" s="77">
        <v>0</v>
      </c>
      <c r="W115" s="77">
        <v>0</v>
      </c>
    </row>
    <row r="116" spans="1:23" s="77" customFormat="1">
      <c r="A116" s="77">
        <v>1</v>
      </c>
      <c r="B116" s="77" t="s">
        <v>719</v>
      </c>
      <c r="C116" s="362">
        <f t="shared" si="1"/>
        <v>0.52972243222810234</v>
      </c>
      <c r="D116" s="362">
        <f t="shared" si="0"/>
        <v>1.7499369982359508E-3</v>
      </c>
      <c r="E116" s="77">
        <v>1.7543053596516505</v>
      </c>
      <c r="F116" s="77">
        <v>0</v>
      </c>
      <c r="G116" s="77">
        <v>0.27485205807399998</v>
      </c>
      <c r="H116" s="77">
        <v>0</v>
      </c>
      <c r="I116" s="77">
        <v>0</v>
      </c>
      <c r="J116" s="77">
        <v>0</v>
      </c>
      <c r="K116" s="77">
        <v>0</v>
      </c>
      <c r="L116" s="77">
        <v>0</v>
      </c>
      <c r="M116" s="77">
        <v>0</v>
      </c>
      <c r="N116" s="77">
        <v>0</v>
      </c>
      <c r="O116" s="77">
        <v>0</v>
      </c>
      <c r="P116" s="77">
        <v>0</v>
      </c>
      <c r="Q116" s="77">
        <v>0</v>
      </c>
      <c r="R116" s="77">
        <v>0</v>
      </c>
      <c r="S116" s="77">
        <v>0</v>
      </c>
      <c r="T116" s="77">
        <v>0</v>
      </c>
      <c r="U116" s="77">
        <v>0</v>
      </c>
      <c r="V116" s="77">
        <v>0</v>
      </c>
      <c r="W116" s="77">
        <v>0</v>
      </c>
    </row>
    <row r="117" spans="1:23" s="77" customFormat="1">
      <c r="A117" s="77">
        <v>2</v>
      </c>
      <c r="B117" s="77" t="s">
        <v>720</v>
      </c>
      <c r="C117" s="362">
        <f t="shared" si="1"/>
        <v>0.23954350721820217</v>
      </c>
      <c r="D117" s="362">
        <f t="shared" si="0"/>
        <v>4.8601360838103477E-3</v>
      </c>
      <c r="E117" s="77">
        <v>1.618967920986</v>
      </c>
      <c r="F117" s="77">
        <v>0</v>
      </c>
      <c r="G117" s="77">
        <v>0</v>
      </c>
      <c r="H117" s="77">
        <v>0</v>
      </c>
      <c r="I117" s="77">
        <v>0</v>
      </c>
      <c r="J117" s="77">
        <v>0</v>
      </c>
      <c r="K117" s="77">
        <v>0</v>
      </c>
      <c r="L117" s="77">
        <v>0</v>
      </c>
      <c r="M117" s="77">
        <v>0</v>
      </c>
      <c r="N117" s="77">
        <v>0</v>
      </c>
      <c r="O117" s="77">
        <v>0</v>
      </c>
      <c r="P117" s="77">
        <v>0</v>
      </c>
      <c r="Q117" s="77">
        <v>0</v>
      </c>
      <c r="R117" s="77">
        <v>0</v>
      </c>
      <c r="S117" s="77">
        <v>0</v>
      </c>
      <c r="T117" s="77">
        <v>0</v>
      </c>
      <c r="U117" s="77">
        <v>0</v>
      </c>
      <c r="V117" s="77">
        <v>0</v>
      </c>
      <c r="W117" s="77">
        <v>0</v>
      </c>
    </row>
    <row r="118" spans="1:23" s="360" customFormat="1">
      <c r="B118" s="360" t="s">
        <v>692</v>
      </c>
      <c r="C118" s="361">
        <f t="shared" si="1"/>
        <v>8.3367460488893688</v>
      </c>
      <c r="D118" s="361">
        <f t="shared" si="0"/>
        <v>0.90679857436008227</v>
      </c>
      <c r="E118" s="360">
        <v>37.109743778174469</v>
      </c>
      <c r="F118" s="360">
        <v>0</v>
      </c>
      <c r="G118" s="360">
        <v>0</v>
      </c>
      <c r="H118" s="360">
        <v>0</v>
      </c>
      <c r="I118" s="360">
        <v>0</v>
      </c>
      <c r="J118" s="360">
        <v>0</v>
      </c>
      <c r="K118" s="360">
        <v>0</v>
      </c>
      <c r="L118" s="360">
        <v>0</v>
      </c>
      <c r="M118" s="360">
        <v>0</v>
      </c>
      <c r="N118" s="360">
        <v>0</v>
      </c>
      <c r="O118" s="360">
        <v>0</v>
      </c>
      <c r="P118" s="360">
        <v>0</v>
      </c>
      <c r="Q118" s="360">
        <v>0</v>
      </c>
      <c r="R118" s="360">
        <v>0</v>
      </c>
      <c r="S118" s="360">
        <v>0</v>
      </c>
      <c r="T118" s="360">
        <v>0</v>
      </c>
      <c r="U118" s="360">
        <v>0</v>
      </c>
      <c r="V118" s="360">
        <v>0</v>
      </c>
      <c r="W118" s="360">
        <v>0</v>
      </c>
    </row>
    <row r="119" spans="1:23">
      <c r="B119" t="s">
        <v>721</v>
      </c>
      <c r="C119" s="362">
        <f t="shared" si="1"/>
        <v>8.3367460488893688</v>
      </c>
      <c r="D119" s="362">
        <f t="shared" si="0"/>
        <v>0.90679857436008227</v>
      </c>
      <c r="E119">
        <v>37.109743778174469</v>
      </c>
      <c r="F119">
        <v>0</v>
      </c>
      <c r="G119">
        <v>0</v>
      </c>
      <c r="H119">
        <v>0</v>
      </c>
      <c r="I119">
        <v>0</v>
      </c>
      <c r="J119">
        <v>0</v>
      </c>
      <c r="K119">
        <v>0</v>
      </c>
      <c r="L119">
        <v>0</v>
      </c>
      <c r="M119">
        <v>0</v>
      </c>
      <c r="N119">
        <v>0</v>
      </c>
      <c r="O119">
        <v>0</v>
      </c>
      <c r="P119">
        <v>0</v>
      </c>
      <c r="Q119">
        <v>0</v>
      </c>
      <c r="R119">
        <v>0</v>
      </c>
      <c r="S119">
        <v>0</v>
      </c>
      <c r="T119">
        <v>0</v>
      </c>
      <c r="U119">
        <v>0</v>
      </c>
      <c r="V119">
        <v>0</v>
      </c>
      <c r="W119">
        <v>0</v>
      </c>
    </row>
    <row r="120" spans="1:23">
      <c r="B120" t="s">
        <v>722</v>
      </c>
      <c r="C120" s="362">
        <f t="shared" si="1"/>
        <v>7.8083594340641538</v>
      </c>
      <c r="D120" s="362">
        <f t="shared" si="0"/>
        <v>0.23101846851711844</v>
      </c>
      <c r="E120">
        <v>24.868811312110999</v>
      </c>
      <c r="F120">
        <v>0</v>
      </c>
      <c r="G120">
        <v>0</v>
      </c>
      <c r="H120">
        <v>0</v>
      </c>
      <c r="I120">
        <v>0</v>
      </c>
      <c r="J120">
        <v>0</v>
      </c>
      <c r="K120">
        <v>0</v>
      </c>
      <c r="L120">
        <v>0</v>
      </c>
      <c r="M120">
        <v>0</v>
      </c>
      <c r="N120">
        <v>0</v>
      </c>
      <c r="O120">
        <v>0</v>
      </c>
      <c r="P120">
        <v>0</v>
      </c>
      <c r="Q120">
        <v>0</v>
      </c>
      <c r="R120">
        <v>0</v>
      </c>
      <c r="S120">
        <v>0</v>
      </c>
      <c r="T120">
        <v>0</v>
      </c>
      <c r="U120">
        <v>0</v>
      </c>
      <c r="V120">
        <v>0</v>
      </c>
      <c r="W120">
        <v>248.28800000000001</v>
      </c>
    </row>
    <row r="121" spans="1:23" s="77" customFormat="1">
      <c r="A121" s="77">
        <v>3</v>
      </c>
      <c r="B121" s="77" t="s">
        <v>723</v>
      </c>
      <c r="C121" s="362">
        <f t="shared" si="1"/>
        <v>7.8083594340641538</v>
      </c>
      <c r="D121" s="362">
        <f t="shared" si="0"/>
        <v>0.23101846851711844</v>
      </c>
      <c r="E121" s="77">
        <v>24.868811312110999</v>
      </c>
      <c r="F121" s="77">
        <v>0</v>
      </c>
      <c r="G121" s="77">
        <v>0</v>
      </c>
      <c r="H121" s="77">
        <v>0</v>
      </c>
      <c r="I121" s="77">
        <v>0</v>
      </c>
      <c r="J121" s="77">
        <v>0</v>
      </c>
      <c r="K121" s="77">
        <v>0</v>
      </c>
      <c r="L121" s="77">
        <v>0</v>
      </c>
      <c r="M121" s="77">
        <v>0</v>
      </c>
      <c r="N121" s="77">
        <v>0</v>
      </c>
      <c r="O121" s="77">
        <v>0</v>
      </c>
      <c r="P121" s="77">
        <v>0</v>
      </c>
      <c r="Q121" s="77">
        <v>0</v>
      </c>
      <c r="R121" s="77">
        <v>0</v>
      </c>
      <c r="S121" s="77">
        <v>0</v>
      </c>
      <c r="T121" s="77">
        <v>0</v>
      </c>
      <c r="U121" s="77">
        <v>0</v>
      </c>
      <c r="V121" s="77">
        <v>0</v>
      </c>
      <c r="W121" s="77">
        <v>248.28800000000001</v>
      </c>
    </row>
    <row r="122" spans="1:23" s="360" customFormat="1">
      <c r="B122" s="360" t="s">
        <v>724</v>
      </c>
      <c r="C122" s="361">
        <f t="shared" si="1"/>
        <v>8.844511891132953</v>
      </c>
      <c r="D122" s="361">
        <f t="shared" si="0"/>
        <v>1.2476994635849805</v>
      </c>
      <c r="E122" s="360">
        <v>24.22654651775137</v>
      </c>
      <c r="F122" s="360">
        <v>11.886057171920871</v>
      </c>
      <c r="G122" s="360">
        <v>5.1438495977000009</v>
      </c>
      <c r="H122" s="360">
        <v>0</v>
      </c>
      <c r="I122" s="360">
        <v>401.41527323069749</v>
      </c>
      <c r="J122" s="360">
        <v>0</v>
      </c>
      <c r="K122" s="360">
        <v>0</v>
      </c>
      <c r="L122" s="360">
        <v>0</v>
      </c>
      <c r="M122" s="360">
        <v>0</v>
      </c>
      <c r="N122" s="360">
        <v>0</v>
      </c>
      <c r="O122" s="360">
        <v>0</v>
      </c>
      <c r="P122" s="360">
        <v>0</v>
      </c>
      <c r="Q122" s="360">
        <v>0</v>
      </c>
      <c r="R122" s="360">
        <v>1.0523002937600001</v>
      </c>
      <c r="S122" s="360">
        <v>0</v>
      </c>
      <c r="T122" s="360">
        <v>0</v>
      </c>
      <c r="U122" s="360">
        <v>0</v>
      </c>
      <c r="V122" s="360">
        <v>0</v>
      </c>
      <c r="W122" s="360">
        <v>161.87509499999996</v>
      </c>
    </row>
    <row r="123" spans="1:23" s="77" customFormat="1">
      <c r="A123" s="77">
        <v>3</v>
      </c>
      <c r="B123" s="77" t="s">
        <v>725</v>
      </c>
      <c r="C123" s="362">
        <f t="shared" si="1"/>
        <v>0.16799870396371103</v>
      </c>
      <c r="D123" s="362">
        <f t="shared" si="0"/>
        <v>9.317060877704576E-3</v>
      </c>
      <c r="E123" s="77">
        <v>1.2059709106300702</v>
      </c>
      <c r="F123" s="77">
        <v>0</v>
      </c>
      <c r="G123" s="77">
        <v>0</v>
      </c>
      <c r="H123" s="77">
        <v>0</v>
      </c>
      <c r="I123" s="77">
        <v>0</v>
      </c>
      <c r="J123" s="77">
        <v>0</v>
      </c>
      <c r="K123" s="77">
        <v>0</v>
      </c>
      <c r="L123" s="77">
        <v>0</v>
      </c>
      <c r="M123" s="77">
        <v>0</v>
      </c>
      <c r="N123" s="77">
        <v>0</v>
      </c>
      <c r="O123" s="77">
        <v>0</v>
      </c>
      <c r="P123" s="77">
        <v>0</v>
      </c>
      <c r="Q123" s="77">
        <v>0</v>
      </c>
      <c r="R123" s="77">
        <v>0</v>
      </c>
      <c r="S123" s="77">
        <v>0</v>
      </c>
      <c r="T123" s="77">
        <v>0</v>
      </c>
      <c r="U123" s="77">
        <v>0</v>
      </c>
      <c r="V123" s="77">
        <v>0</v>
      </c>
      <c r="W123" s="77">
        <v>0</v>
      </c>
    </row>
    <row r="124" spans="1:23">
      <c r="A124">
        <v>2</v>
      </c>
      <c r="B124" t="s">
        <v>726</v>
      </c>
      <c r="C124" s="362">
        <f t="shared" si="1"/>
        <v>0.4922849839795515</v>
      </c>
      <c r="D124" s="362">
        <f t="shared" si="0"/>
        <v>6.8635921805810574E-2</v>
      </c>
      <c r="E124">
        <v>1.98004093846</v>
      </c>
      <c r="F124">
        <v>0</v>
      </c>
      <c r="G124">
        <v>0</v>
      </c>
      <c r="H124">
        <v>0</v>
      </c>
      <c r="I124">
        <v>0</v>
      </c>
      <c r="J124">
        <v>0</v>
      </c>
      <c r="K124">
        <v>0</v>
      </c>
      <c r="L124">
        <v>0</v>
      </c>
      <c r="M124">
        <v>0</v>
      </c>
      <c r="N124">
        <v>0</v>
      </c>
      <c r="O124">
        <v>0</v>
      </c>
      <c r="P124">
        <v>0</v>
      </c>
      <c r="Q124">
        <v>0</v>
      </c>
      <c r="R124">
        <v>1.0523002937600001</v>
      </c>
      <c r="S124">
        <v>0</v>
      </c>
      <c r="T124">
        <v>0</v>
      </c>
      <c r="U124">
        <v>0</v>
      </c>
      <c r="V124">
        <v>0</v>
      </c>
      <c r="W124">
        <v>53.960999999999999</v>
      </c>
    </row>
    <row r="125" spans="1:23" s="77" customFormat="1">
      <c r="A125" s="77">
        <v>4</v>
      </c>
      <c r="B125" s="77" t="s">
        <v>727</v>
      </c>
      <c r="C125" s="362">
        <f t="shared" si="1"/>
        <v>1.9344781653886307</v>
      </c>
      <c r="D125" s="362">
        <f t="shared" si="0"/>
        <v>7.9814234798574371E-2</v>
      </c>
      <c r="E125" s="77">
        <v>4.5854390098543005</v>
      </c>
      <c r="F125" s="77">
        <v>5.7590331598199995</v>
      </c>
      <c r="G125" s="77">
        <v>5.1438495977000009</v>
      </c>
      <c r="H125" s="77">
        <v>0</v>
      </c>
      <c r="I125" s="77">
        <v>0</v>
      </c>
      <c r="J125" s="77">
        <v>0</v>
      </c>
      <c r="K125" s="77">
        <v>0</v>
      </c>
      <c r="L125" s="77">
        <v>0</v>
      </c>
      <c r="M125" s="77">
        <v>0</v>
      </c>
      <c r="N125" s="77">
        <v>0</v>
      </c>
      <c r="O125" s="77">
        <v>0</v>
      </c>
      <c r="P125" s="77">
        <v>0</v>
      </c>
      <c r="Q125" s="77">
        <v>0</v>
      </c>
      <c r="R125" s="77">
        <v>0</v>
      </c>
      <c r="S125" s="77">
        <v>0</v>
      </c>
      <c r="T125" s="77">
        <v>0</v>
      </c>
      <c r="U125" s="77">
        <v>0</v>
      </c>
      <c r="V125" s="77">
        <v>0</v>
      </c>
      <c r="W125" s="77">
        <v>8.69</v>
      </c>
    </row>
    <row r="126" spans="1:23" s="77" customFormat="1">
      <c r="A126" s="77">
        <v>4</v>
      </c>
      <c r="B126" s="77" t="s">
        <v>728</v>
      </c>
      <c r="C126" s="362">
        <f t="shared" si="1"/>
        <v>1.8084674370882388</v>
      </c>
      <c r="D126" s="362">
        <f t="shared" si="0"/>
        <v>0.26356697987543654</v>
      </c>
      <c r="E126" s="77">
        <v>10.853799621717</v>
      </c>
      <c r="F126" s="77">
        <v>0.36929858063999998</v>
      </c>
      <c r="G126" s="77">
        <v>0</v>
      </c>
      <c r="H126" s="77">
        <v>0</v>
      </c>
      <c r="I126" s="77">
        <v>0</v>
      </c>
      <c r="J126" s="77">
        <v>0</v>
      </c>
      <c r="K126" s="77">
        <v>0</v>
      </c>
      <c r="L126" s="77">
        <v>0</v>
      </c>
      <c r="M126" s="77">
        <v>0</v>
      </c>
      <c r="N126" s="77">
        <v>0</v>
      </c>
      <c r="O126" s="77">
        <v>0</v>
      </c>
      <c r="P126" s="77">
        <v>0</v>
      </c>
      <c r="Q126" s="77">
        <v>0</v>
      </c>
      <c r="R126" s="77">
        <v>0</v>
      </c>
      <c r="S126" s="77">
        <v>0</v>
      </c>
      <c r="T126" s="77">
        <v>0</v>
      </c>
      <c r="U126" s="77">
        <v>0</v>
      </c>
      <c r="V126" s="77">
        <v>0</v>
      </c>
      <c r="W126" s="77">
        <v>96.626000000000005</v>
      </c>
    </row>
    <row r="127" spans="1:23" s="77" customFormat="1">
      <c r="A127" s="77">
        <v>4</v>
      </c>
      <c r="B127" s="77" t="s">
        <v>729</v>
      </c>
      <c r="C127" s="362">
        <f t="shared" si="1"/>
        <v>0.8099686791230154</v>
      </c>
      <c r="D127" s="362">
        <f t="shared" si="0"/>
        <v>5.3011484321560998E-2</v>
      </c>
      <c r="E127" s="77">
        <v>2.55732612057</v>
      </c>
      <c r="F127" s="77">
        <v>0.46846503492000002</v>
      </c>
      <c r="G127" s="77">
        <v>0</v>
      </c>
      <c r="H127" s="77">
        <v>0</v>
      </c>
      <c r="I127" s="77">
        <v>0</v>
      </c>
      <c r="J127" s="77">
        <v>0</v>
      </c>
      <c r="K127" s="77">
        <v>0</v>
      </c>
      <c r="L127" s="77">
        <v>0</v>
      </c>
      <c r="M127" s="77">
        <v>0</v>
      </c>
      <c r="N127" s="77">
        <v>0</v>
      </c>
      <c r="O127" s="77">
        <v>0</v>
      </c>
      <c r="P127" s="77">
        <v>0</v>
      </c>
      <c r="Q127" s="77">
        <v>0</v>
      </c>
      <c r="R127" s="77">
        <v>0</v>
      </c>
      <c r="S127" s="77">
        <v>0</v>
      </c>
      <c r="T127" s="77">
        <v>0</v>
      </c>
      <c r="U127" s="77">
        <v>0</v>
      </c>
      <c r="V127" s="77">
        <v>0</v>
      </c>
      <c r="W127" s="77">
        <v>1.6460000000000001</v>
      </c>
    </row>
    <row r="128" spans="1:23" s="77" customFormat="1">
      <c r="A128" s="77">
        <v>4</v>
      </c>
      <c r="B128" s="77" t="s">
        <v>730</v>
      </c>
      <c r="C128" s="362">
        <f t="shared" si="1"/>
        <v>1.1945134463764986E-2</v>
      </c>
      <c r="D128" s="362">
        <f t="shared" si="0"/>
        <v>0</v>
      </c>
      <c r="E128" s="77">
        <v>7.6599328988000009E-2</v>
      </c>
      <c r="F128" s="77">
        <v>0</v>
      </c>
      <c r="G128" s="77">
        <v>0</v>
      </c>
      <c r="H128" s="77">
        <v>0</v>
      </c>
      <c r="I128" s="77">
        <v>0</v>
      </c>
      <c r="J128" s="77">
        <v>0</v>
      </c>
      <c r="K128" s="77">
        <v>0</v>
      </c>
      <c r="L128" s="77">
        <v>0</v>
      </c>
      <c r="M128" s="77">
        <v>0</v>
      </c>
      <c r="N128" s="77">
        <v>0</v>
      </c>
      <c r="O128" s="77">
        <v>0</v>
      </c>
      <c r="P128" s="77">
        <v>0</v>
      </c>
      <c r="Q128" s="77">
        <v>0</v>
      </c>
      <c r="R128" s="77">
        <v>0</v>
      </c>
      <c r="S128" s="77">
        <v>0</v>
      </c>
      <c r="T128" s="77">
        <v>0</v>
      </c>
      <c r="U128" s="77">
        <v>0</v>
      </c>
      <c r="V128" s="77">
        <v>0</v>
      </c>
      <c r="W128" s="77">
        <v>0</v>
      </c>
    </row>
    <row r="129" spans="1:23" s="77" customFormat="1">
      <c r="A129" s="77">
        <v>4</v>
      </c>
      <c r="B129" s="77" t="s">
        <v>731</v>
      </c>
      <c r="C129" s="362">
        <f t="shared" si="1"/>
        <v>1.7097099326781151</v>
      </c>
      <c r="D129" s="362">
        <f t="shared" si="0"/>
        <v>0.33789095294668248</v>
      </c>
      <c r="E129" s="77">
        <v>0</v>
      </c>
      <c r="F129" s="77">
        <v>2.6604919721172005</v>
      </c>
      <c r="G129" s="77">
        <v>0</v>
      </c>
      <c r="H129" s="77">
        <v>0</v>
      </c>
      <c r="I129" s="77">
        <v>401.41527323069749</v>
      </c>
      <c r="J129" s="77">
        <v>0</v>
      </c>
      <c r="K129" s="77">
        <v>0</v>
      </c>
      <c r="L129" s="77">
        <v>0</v>
      </c>
      <c r="M129" s="77">
        <v>0</v>
      </c>
      <c r="N129" s="77">
        <v>0</v>
      </c>
      <c r="O129" s="77">
        <v>0</v>
      </c>
      <c r="P129" s="77">
        <v>0</v>
      </c>
      <c r="Q129" s="77">
        <v>0</v>
      </c>
      <c r="R129" s="77">
        <v>0</v>
      </c>
      <c r="S129" s="77">
        <v>0</v>
      </c>
      <c r="T129" s="77">
        <v>0</v>
      </c>
      <c r="U129" s="77">
        <v>0</v>
      </c>
      <c r="V129" s="77">
        <v>0</v>
      </c>
      <c r="W129" s="77">
        <v>0.94906200000000007</v>
      </c>
    </row>
    <row r="130" spans="1:23" s="77" customFormat="1">
      <c r="A130" s="77">
        <v>4</v>
      </c>
      <c r="B130" s="77" t="s">
        <v>732</v>
      </c>
      <c r="C130" s="362">
        <f t="shared" si="1"/>
        <v>1.9096588544479249</v>
      </c>
      <c r="D130" s="362">
        <f t="shared" si="0"/>
        <v>0.43546282895921085</v>
      </c>
      <c r="E130" s="77">
        <v>2.9673705875320002</v>
      </c>
      <c r="F130" s="77">
        <v>2.6287684244236722</v>
      </c>
      <c r="G130" s="77">
        <v>0</v>
      </c>
      <c r="H130" s="77">
        <v>0</v>
      </c>
      <c r="I130" s="77">
        <v>0</v>
      </c>
      <c r="J130" s="77">
        <v>0</v>
      </c>
      <c r="K130" s="77">
        <v>0</v>
      </c>
      <c r="L130" s="77">
        <v>0</v>
      </c>
      <c r="M130" s="77">
        <v>0</v>
      </c>
      <c r="N130" s="77">
        <v>0</v>
      </c>
      <c r="O130" s="77">
        <v>0</v>
      </c>
      <c r="P130" s="77">
        <v>0</v>
      </c>
      <c r="Q130" s="77">
        <v>0</v>
      </c>
      <c r="R130" s="77">
        <v>0</v>
      </c>
      <c r="S130" s="77">
        <v>0</v>
      </c>
      <c r="T130" s="77">
        <v>0</v>
      </c>
      <c r="U130" s="77">
        <v>0</v>
      </c>
      <c r="V130" s="77">
        <v>0</v>
      </c>
      <c r="W130" s="77">
        <v>3.0330000000000001E-3</v>
      </c>
    </row>
    <row r="131" spans="1:23" s="360" customFormat="1">
      <c r="B131" s="360" t="s">
        <v>733</v>
      </c>
      <c r="C131" s="361">
        <f t="shared" si="1"/>
        <v>1.2320840983547541</v>
      </c>
      <c r="D131" s="361">
        <f t="shared" si="0"/>
        <v>1.7345285667998707E-2</v>
      </c>
      <c r="E131" s="360">
        <v>1.482852032532</v>
      </c>
      <c r="F131" s="360">
        <v>1.8472884623999999</v>
      </c>
      <c r="G131" s="360">
        <v>0</v>
      </c>
      <c r="H131" s="360">
        <v>0</v>
      </c>
      <c r="I131" s="360">
        <v>0</v>
      </c>
      <c r="J131" s="360">
        <v>0</v>
      </c>
      <c r="K131" s="360">
        <v>0</v>
      </c>
      <c r="L131" s="360">
        <v>0</v>
      </c>
      <c r="M131" s="360">
        <v>0</v>
      </c>
      <c r="N131" s="360">
        <v>0</v>
      </c>
      <c r="O131" s="360">
        <v>0</v>
      </c>
      <c r="P131" s="360">
        <v>0</v>
      </c>
      <c r="Q131" s="360">
        <v>0</v>
      </c>
      <c r="R131" s="360">
        <v>0</v>
      </c>
      <c r="S131" s="360">
        <v>0</v>
      </c>
      <c r="T131" s="360">
        <v>0</v>
      </c>
      <c r="U131" s="360">
        <v>0</v>
      </c>
      <c r="V131" s="360">
        <v>0</v>
      </c>
      <c r="W131" s="360">
        <v>0</v>
      </c>
    </row>
    <row r="132" spans="1:23">
      <c r="B132" t="s">
        <v>734</v>
      </c>
      <c r="C132" s="362">
        <f t="shared" si="1"/>
        <v>1.2320840983547541</v>
      </c>
      <c r="D132" s="362">
        <f t="shared" si="0"/>
        <v>1.7345285667998707E-2</v>
      </c>
      <c r="E132">
        <v>1.482852032532</v>
      </c>
      <c r="F132">
        <v>1.8472884623999999</v>
      </c>
      <c r="G132">
        <v>0</v>
      </c>
      <c r="H132">
        <v>0</v>
      </c>
      <c r="I132">
        <v>0</v>
      </c>
      <c r="J132">
        <v>0</v>
      </c>
      <c r="K132">
        <v>0</v>
      </c>
      <c r="L132">
        <v>0</v>
      </c>
      <c r="M132">
        <v>0</v>
      </c>
      <c r="N132">
        <v>0</v>
      </c>
      <c r="O132">
        <v>0</v>
      </c>
      <c r="P132">
        <v>0</v>
      </c>
      <c r="Q132">
        <v>0</v>
      </c>
      <c r="R132">
        <v>0</v>
      </c>
      <c r="S132">
        <v>0</v>
      </c>
      <c r="T132">
        <v>0</v>
      </c>
      <c r="U132">
        <v>0</v>
      </c>
      <c r="V132">
        <v>0</v>
      </c>
      <c r="W132">
        <v>0</v>
      </c>
    </row>
    <row r="133" spans="1:23" s="360" customFormat="1">
      <c r="B133" s="360" t="s">
        <v>714</v>
      </c>
      <c r="C133" s="361">
        <f t="shared" si="1"/>
        <v>0.7798960002880081</v>
      </c>
      <c r="D133" s="361">
        <f t="shared" si="0"/>
        <v>1.1095607877020557E-2</v>
      </c>
      <c r="E133" s="360">
        <v>3.0691687261955591</v>
      </c>
      <c r="F133" s="360">
        <v>0</v>
      </c>
      <c r="G133" s="360">
        <v>0</v>
      </c>
      <c r="H133" s="360">
        <v>0</v>
      </c>
      <c r="I133" s="360">
        <v>0</v>
      </c>
      <c r="J133" s="360">
        <v>0</v>
      </c>
      <c r="K133" s="360">
        <v>0</v>
      </c>
      <c r="L133" s="360">
        <v>0</v>
      </c>
      <c r="M133" s="360">
        <v>0</v>
      </c>
      <c r="N133" s="360">
        <v>0</v>
      </c>
      <c r="O133" s="360">
        <v>0</v>
      </c>
      <c r="P133" s="360">
        <v>0</v>
      </c>
      <c r="Q133" s="360">
        <v>0</v>
      </c>
      <c r="R133" s="360">
        <v>0</v>
      </c>
      <c r="S133" s="360">
        <v>0</v>
      </c>
      <c r="T133" s="360">
        <v>0</v>
      </c>
      <c r="U133" s="360">
        <v>0</v>
      </c>
      <c r="V133" s="360">
        <v>0</v>
      </c>
      <c r="W133" s="360">
        <v>67.476929999999996</v>
      </c>
    </row>
    <row r="134" spans="1:23">
      <c r="B134" t="s">
        <v>735</v>
      </c>
      <c r="C134" s="362">
        <f t="shared" si="1"/>
        <v>0.36103032004896135</v>
      </c>
      <c r="D134" s="362">
        <f t="shared" si="0"/>
        <v>1.1095607877020557E-2</v>
      </c>
      <c r="E134">
        <v>1.4855234284074081</v>
      </c>
      <c r="F134">
        <v>0</v>
      </c>
      <c r="G134">
        <v>0</v>
      </c>
      <c r="H134">
        <v>0</v>
      </c>
      <c r="I134">
        <v>0</v>
      </c>
      <c r="J134">
        <v>0</v>
      </c>
      <c r="K134">
        <v>0</v>
      </c>
      <c r="L134">
        <v>0</v>
      </c>
      <c r="M134">
        <v>0</v>
      </c>
      <c r="N134">
        <v>0</v>
      </c>
      <c r="O134">
        <v>0</v>
      </c>
      <c r="P134">
        <v>0</v>
      </c>
      <c r="Q134">
        <v>0</v>
      </c>
      <c r="R134">
        <v>0</v>
      </c>
      <c r="S134">
        <v>0</v>
      </c>
      <c r="T134">
        <v>0</v>
      </c>
      <c r="U134">
        <v>0</v>
      </c>
      <c r="V134">
        <v>0</v>
      </c>
      <c r="W134">
        <v>0</v>
      </c>
    </row>
    <row r="135" spans="1:23" s="77" customFormat="1">
      <c r="A135" s="77">
        <v>3</v>
      </c>
      <c r="B135" s="77" t="s">
        <v>736</v>
      </c>
      <c r="C135" s="362">
        <f t="shared" si="1"/>
        <v>0.41886568023904674</v>
      </c>
      <c r="D135" s="362">
        <f t="shared" si="0"/>
        <v>0</v>
      </c>
      <c r="E135" s="77">
        <v>1.583645297788151</v>
      </c>
      <c r="F135" s="77">
        <v>0</v>
      </c>
      <c r="G135" s="77">
        <v>0</v>
      </c>
      <c r="H135" s="77">
        <v>0</v>
      </c>
      <c r="I135" s="77">
        <v>0</v>
      </c>
      <c r="J135" s="77">
        <v>0</v>
      </c>
      <c r="K135" s="77">
        <v>0</v>
      </c>
      <c r="L135" s="77">
        <v>0</v>
      </c>
      <c r="M135" s="77">
        <v>0</v>
      </c>
      <c r="N135" s="77">
        <v>0</v>
      </c>
      <c r="O135" s="77">
        <v>0</v>
      </c>
      <c r="P135" s="77">
        <v>0</v>
      </c>
      <c r="Q135" s="77">
        <v>0</v>
      </c>
      <c r="R135" s="77">
        <v>0</v>
      </c>
      <c r="S135" s="77">
        <v>0</v>
      </c>
      <c r="T135" s="77">
        <v>0</v>
      </c>
      <c r="U135" s="77">
        <v>0</v>
      </c>
      <c r="V135" s="77">
        <v>0</v>
      </c>
      <c r="W135" s="77">
        <v>67.476929999999996</v>
      </c>
    </row>
    <row r="136" spans="1:23">
      <c r="B136" t="s">
        <v>372</v>
      </c>
      <c r="C136" s="362">
        <f t="shared" si="1"/>
        <v>30.033604658530432</v>
      </c>
      <c r="D136" s="362">
        <f t="shared" si="0"/>
        <v>2.4341225013500383</v>
      </c>
      <c r="E136">
        <v>105.97151171023732</v>
      </c>
      <c r="F136">
        <v>13.733345634320871</v>
      </c>
      <c r="G136">
        <v>5.6952987876095298</v>
      </c>
      <c r="H136">
        <v>0</v>
      </c>
      <c r="I136">
        <v>401.41527323069749</v>
      </c>
      <c r="J136">
        <v>0</v>
      </c>
      <c r="K136">
        <v>0</v>
      </c>
      <c r="L136">
        <v>0</v>
      </c>
      <c r="M136">
        <v>0</v>
      </c>
      <c r="N136">
        <v>0</v>
      </c>
      <c r="O136">
        <v>0</v>
      </c>
      <c r="P136">
        <v>0</v>
      </c>
      <c r="Q136">
        <v>0</v>
      </c>
      <c r="R136">
        <v>1.0523002937600001</v>
      </c>
      <c r="S136">
        <v>0</v>
      </c>
      <c r="T136">
        <v>6721.8173789557986</v>
      </c>
      <c r="U136">
        <v>0</v>
      </c>
      <c r="V136">
        <v>0</v>
      </c>
      <c r="W136">
        <v>480.168025</v>
      </c>
    </row>
  </sheetData>
  <mergeCells count="1">
    <mergeCell ref="C2: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G214"/>
  <sheetViews>
    <sheetView topLeftCell="A58" zoomScale="80" zoomScaleNormal="80" workbookViewId="0">
      <selection activeCell="L81" activeCellId="1" sqref="G81 L81"/>
    </sheetView>
  </sheetViews>
  <sheetFormatPr baseColWidth="10" defaultColWidth="10.875" defaultRowHeight="15"/>
  <cols>
    <col min="1" max="1" width="21" style="57" customWidth="1"/>
    <col min="2" max="2" width="44.75" style="57" customWidth="1"/>
    <col min="3" max="3" width="89.625" style="57" customWidth="1"/>
    <col min="4" max="4" width="14.625" style="57" bestFit="1" customWidth="1"/>
    <col min="5" max="21" width="14.125" style="57" customWidth="1"/>
    <col min="22" max="22" width="11.625" style="57" customWidth="1"/>
    <col min="23" max="23" width="14.375" style="57" bestFit="1" customWidth="1"/>
    <col min="24" max="25" width="9.375" style="57" bestFit="1" customWidth="1"/>
    <col min="26" max="26" width="8.5" style="57" bestFit="1" customWidth="1"/>
    <col min="27" max="27" width="11" style="57" bestFit="1" customWidth="1"/>
    <col min="28" max="28" width="8.5" style="57" bestFit="1" customWidth="1"/>
    <col min="29" max="29" width="48" style="57" customWidth="1"/>
    <col min="30" max="30" width="21.125" style="57" customWidth="1"/>
    <col min="31" max="31" width="8.5" style="57" bestFit="1" customWidth="1"/>
    <col min="32" max="32" width="13.625" style="57" bestFit="1" customWidth="1"/>
    <col min="33" max="33" width="11.125" style="57" bestFit="1" customWidth="1"/>
    <col min="34" max="34" width="24.875" style="57" customWidth="1"/>
    <col min="35" max="43" width="12.5" style="57" customWidth="1"/>
    <col min="44" max="16384" width="10.875" style="57"/>
  </cols>
  <sheetData>
    <row r="1" spans="1:33">
      <c r="C1" s="51">
        <v>1</v>
      </c>
      <c r="D1" s="51">
        <v>2</v>
      </c>
      <c r="E1" s="51">
        <v>3</v>
      </c>
      <c r="F1" s="51">
        <v>4</v>
      </c>
      <c r="G1" s="51">
        <v>5</v>
      </c>
      <c r="H1" s="51">
        <v>6</v>
      </c>
      <c r="I1" s="51">
        <v>7</v>
      </c>
      <c r="J1" s="51">
        <v>8</v>
      </c>
      <c r="K1" s="51">
        <v>9</v>
      </c>
      <c r="L1" s="51">
        <v>10</v>
      </c>
      <c r="M1" s="51">
        <v>11</v>
      </c>
      <c r="N1" s="51">
        <v>12</v>
      </c>
      <c r="O1" s="51">
        <v>13</v>
      </c>
      <c r="P1" s="51">
        <v>14</v>
      </c>
      <c r="Q1" s="51">
        <v>15</v>
      </c>
      <c r="R1" s="51">
        <v>16</v>
      </c>
      <c r="S1" s="51">
        <v>17</v>
      </c>
      <c r="T1" s="51">
        <v>18</v>
      </c>
      <c r="U1" s="51">
        <v>19</v>
      </c>
      <c r="V1" s="51">
        <v>20</v>
      </c>
    </row>
    <row r="2" spans="1:33" ht="15.75">
      <c r="C2" s="51"/>
      <c r="D2" s="5" t="s">
        <v>385</v>
      </c>
      <c r="E2" s="5" t="s">
        <v>386</v>
      </c>
      <c r="F2" s="5" t="s">
        <v>383</v>
      </c>
      <c r="G2" s="5" t="s">
        <v>383</v>
      </c>
      <c r="H2" s="5" t="s">
        <v>383</v>
      </c>
      <c r="I2" s="5" t="s">
        <v>383</v>
      </c>
      <c r="J2" s="5" t="s">
        <v>383</v>
      </c>
      <c r="K2" s="5" t="s">
        <v>172</v>
      </c>
      <c r="L2" s="5" t="s">
        <v>219</v>
      </c>
      <c r="M2" s="5" t="s">
        <v>11</v>
      </c>
      <c r="N2" s="5" t="s">
        <v>383</v>
      </c>
      <c r="O2" s="5" t="s">
        <v>384</v>
      </c>
      <c r="P2" s="5" t="s">
        <v>384</v>
      </c>
      <c r="Q2" s="5" t="s">
        <v>383</v>
      </c>
      <c r="R2" s="49" t="s">
        <v>171</v>
      </c>
      <c r="S2" s="49" t="s">
        <v>218</v>
      </c>
      <c r="T2" s="5" t="s">
        <v>386</v>
      </c>
      <c r="U2" s="49" t="s">
        <v>187</v>
      </c>
      <c r="V2" s="5" t="s">
        <v>383</v>
      </c>
    </row>
    <row r="3" spans="1:33" ht="75" customHeight="1">
      <c r="C3" s="51" t="s">
        <v>373</v>
      </c>
      <c r="D3" s="65" t="s">
        <v>301</v>
      </c>
      <c r="E3" s="65" t="s">
        <v>271</v>
      </c>
      <c r="F3" s="65" t="s">
        <v>287</v>
      </c>
      <c r="G3" s="65" t="s">
        <v>229</v>
      </c>
      <c r="H3" s="65" t="s">
        <v>232</v>
      </c>
      <c r="I3" s="65" t="s">
        <v>231</v>
      </c>
      <c r="J3" s="65" t="s">
        <v>3</v>
      </c>
      <c r="K3" s="65" t="s">
        <v>4</v>
      </c>
      <c r="L3" s="65" t="s">
        <v>233</v>
      </c>
      <c r="M3" s="65" t="s">
        <v>234</v>
      </c>
      <c r="N3" s="65" t="s">
        <v>294</v>
      </c>
      <c r="O3" s="65" t="s">
        <v>282</v>
      </c>
      <c r="P3" s="65" t="s">
        <v>10</v>
      </c>
      <c r="Q3" s="65" t="s">
        <v>293</v>
      </c>
      <c r="R3" s="65" t="s">
        <v>235</v>
      </c>
      <c r="S3" s="65" t="s">
        <v>236</v>
      </c>
      <c r="T3" s="65" t="s">
        <v>17</v>
      </c>
      <c r="U3" s="65" t="s">
        <v>237</v>
      </c>
      <c r="V3" s="65" t="s">
        <v>230</v>
      </c>
      <c r="W3" s="56" t="s">
        <v>367</v>
      </c>
      <c r="X3" s="66"/>
      <c r="Y3" s="66"/>
      <c r="Z3" s="66"/>
      <c r="AA3" s="66"/>
      <c r="AB3" s="66"/>
      <c r="AC3" s="59" t="s">
        <v>374</v>
      </c>
      <c r="AD3" s="67"/>
      <c r="AE3" s="67"/>
      <c r="AF3" s="67"/>
      <c r="AG3" s="67"/>
    </row>
    <row r="4" spans="1:33" ht="15.75">
      <c r="A4" s="705"/>
      <c r="B4" s="188"/>
      <c r="C4" s="67" t="s">
        <v>335</v>
      </c>
      <c r="D4" s="66">
        <f>VLOOKUP('AggrStep1-energy'!$C4,'Energia PJ'!$B$2:$V$61,D$1,FALSE)</f>
        <v>0</v>
      </c>
      <c r="E4" s="66">
        <f>VLOOKUP('AggrStep1-energy'!$C4,'Energia PJ'!$B$2:$V$61,E$1,FALSE)</f>
        <v>0</v>
      </c>
      <c r="F4" s="66">
        <f>VLOOKUP('AggrStep1-energy'!$C4,'Energia PJ'!$B$2:$V$61,F$1,FALSE)</f>
        <v>0</v>
      </c>
      <c r="G4" s="66">
        <f>VLOOKUP('AggrStep1-energy'!$C4,'Energia PJ'!$B$2:$V$61,G$1,FALSE)</f>
        <v>0</v>
      </c>
      <c r="H4" s="66">
        <f>VLOOKUP('AggrStep1-energy'!$C4,'Energia PJ'!$B$2:$V$61,H$1,FALSE)</f>
        <v>0</v>
      </c>
      <c r="I4" s="66">
        <f>VLOOKUP('AggrStep1-energy'!$C4,'Energia PJ'!$B$2:$V$61,I$1,FALSE)</f>
        <v>0</v>
      </c>
      <c r="J4" s="66">
        <f>VLOOKUP('AggrStep1-energy'!$C4,'Energia PJ'!$B$2:$V$61,J$1,FALSE)</f>
        <v>0</v>
      </c>
      <c r="K4" s="66">
        <f>VLOOKUP('AggrStep1-energy'!$C4,'Energia PJ'!$B$2:$V$61,K$1,FALSE)</f>
        <v>1.7729999999999999</v>
      </c>
      <c r="L4" s="66">
        <f>VLOOKUP('AggrStep1-energy'!$C4,'Energia PJ'!$B$2:$V$61,L$1,FALSE)</f>
        <v>0</v>
      </c>
      <c r="M4" s="66">
        <f>VLOOKUP('AggrStep1-energy'!$C4,'Energia PJ'!$B$2:$V$61,M$1,FALSE)</f>
        <v>0</v>
      </c>
      <c r="N4" s="66">
        <f>VLOOKUP('AggrStep1-energy'!$C4,'Energia PJ'!$B$2:$V$61,N$1,FALSE)</f>
        <v>0</v>
      </c>
      <c r="O4" s="66">
        <f>VLOOKUP('AggrStep1-energy'!$C4,'Energia PJ'!$B$2:$V$61,O$1,FALSE)</f>
        <v>0</v>
      </c>
      <c r="P4" s="66">
        <f>VLOOKUP('AggrStep1-energy'!$C4,'Energia PJ'!$B$2:$V$61,P$1,FALSE)</f>
        <v>0</v>
      </c>
      <c r="Q4" s="66">
        <f>VLOOKUP('AggrStep1-energy'!$C4,'Energia PJ'!$B$2:$V$61,Q$1,FALSE)</f>
        <v>0</v>
      </c>
      <c r="R4" s="66">
        <f>VLOOKUP('AggrStep1-energy'!$C4,'Energia PJ'!$B$2:$V$61,R$1,FALSE)</f>
        <v>0</v>
      </c>
      <c r="S4" s="66">
        <f>VLOOKUP('AggrStep1-energy'!$C4,'Energia PJ'!$B$2:$V$61,S$1,FALSE)</f>
        <v>0</v>
      </c>
      <c r="T4" s="66">
        <f>VLOOKUP('AggrStep1-energy'!$C4,'Energia PJ'!$B$2:$V$61,T$1,FALSE)</f>
        <v>0</v>
      </c>
      <c r="U4" s="66">
        <f>VLOOKUP('AggrStep1-energy'!$C4,'Energia PJ'!$B$2:$V$61,U$1,FALSE)</f>
        <v>0</v>
      </c>
      <c r="V4" s="66">
        <f>VLOOKUP('AggrStep1-energy'!$C4,'Energia PJ'!$B$2:$V$61,V$1,FALSE)</f>
        <v>0</v>
      </c>
      <c r="W4" s="56">
        <f t="shared" ref="W4:W29" si="0">SUM(D4:V4)</f>
        <v>1.7729999999999999</v>
      </c>
      <c r="X4" s="66"/>
      <c r="Y4" s="66"/>
      <c r="Z4" s="66"/>
      <c r="AA4" s="66"/>
      <c r="AB4" s="66"/>
      <c r="AC4" s="68"/>
      <c r="AD4" s="60" t="s">
        <v>2</v>
      </c>
      <c r="AE4" s="69" t="s">
        <v>242</v>
      </c>
      <c r="AF4" s="66"/>
      <c r="AG4" s="66"/>
    </row>
    <row r="5" spans="1:33" ht="15.75">
      <c r="A5" s="705"/>
      <c r="B5" s="188"/>
      <c r="C5" s="67" t="s">
        <v>329</v>
      </c>
      <c r="D5" s="66">
        <f>VLOOKUP('AggrStep1-energy'!$C5,'Energia PJ'!$B$2:$V$61,D$1,FALSE)</f>
        <v>0</v>
      </c>
      <c r="E5" s="66">
        <f>VLOOKUP('AggrStep1-energy'!$C5,'Energia PJ'!$B$2:$V$61,E$1,FALSE)</f>
        <v>4.2556149999999988</v>
      </c>
      <c r="F5" s="66">
        <f>VLOOKUP('AggrStep1-energy'!$C5,'Energia PJ'!$B$2:$V$61,F$1,FALSE)</f>
        <v>94.208432999999999</v>
      </c>
      <c r="G5" s="66">
        <f>VLOOKUP('AggrStep1-energy'!$C5,'Energia PJ'!$B$2:$V$61,G$1,FALSE)</f>
        <v>1.0112719999999999</v>
      </c>
      <c r="H5" s="66">
        <f>VLOOKUP('AggrStep1-energy'!$C5,'Energia PJ'!$B$2:$V$61,H$1,FALSE)</f>
        <v>0</v>
      </c>
      <c r="I5" s="66">
        <f>VLOOKUP('AggrStep1-energy'!$C5,'Energia PJ'!$B$2:$V$61,I$1,FALSE)</f>
        <v>5.9778859999999998</v>
      </c>
      <c r="J5" s="66">
        <f>VLOOKUP('AggrStep1-energy'!$C5,'Energia PJ'!$B$2:$V$61,J$1,FALSE)</f>
        <v>35.364891</v>
      </c>
      <c r="K5" s="66">
        <f>VLOOKUP('AggrStep1-energy'!$C5,'Energia PJ'!$B$2:$V$61,K$1,FALSE)</f>
        <v>376.97500000000002</v>
      </c>
      <c r="L5" s="66">
        <f>VLOOKUP('AggrStep1-energy'!$C5,'Energia PJ'!$B$2:$V$61,L$1,FALSE)</f>
        <v>0</v>
      </c>
      <c r="M5" s="66">
        <f>VLOOKUP('AggrStep1-energy'!$C5,'Energia PJ'!$B$2:$V$61,M$1,FALSE)</f>
        <v>0.38100000000000001</v>
      </c>
      <c r="N5" s="66">
        <f>VLOOKUP('AggrStep1-energy'!$C5,'Energia PJ'!$B$2:$V$61,N$1,FALSE)</f>
        <v>30.583707</v>
      </c>
      <c r="O5" s="66">
        <f>VLOOKUP('AggrStep1-energy'!$C5,'Energia PJ'!$B$2:$V$61,O$1,FALSE)</f>
        <v>0</v>
      </c>
      <c r="P5" s="66">
        <f>VLOOKUP('AggrStep1-energy'!$C5,'Energia PJ'!$B$2:$V$61,P$1,FALSE)</f>
        <v>178.715</v>
      </c>
      <c r="Q5" s="66">
        <f>VLOOKUP('AggrStep1-energy'!$C5,'Energia PJ'!$B$2:$V$61,Q$1,FALSE)</f>
        <v>0.85200500000000001</v>
      </c>
      <c r="R5" s="66">
        <f>VLOOKUP('AggrStep1-energy'!$C5,'Energia PJ'!$B$2:$V$61,R$1,FALSE)</f>
        <v>0</v>
      </c>
      <c r="S5" s="66">
        <f>VLOOKUP('AggrStep1-energy'!$C5,'Energia PJ'!$B$2:$V$61,S$1,FALSE)</f>
        <v>0</v>
      </c>
      <c r="T5" s="66">
        <f>VLOOKUP('AggrStep1-energy'!$C5,'Energia PJ'!$B$2:$V$61,T$1,FALSE)</f>
        <v>0</v>
      </c>
      <c r="U5" s="66">
        <f>VLOOKUP('AggrStep1-energy'!$C5,'Energia PJ'!$B$2:$V$61,U$1,FALSE)</f>
        <v>0</v>
      </c>
      <c r="V5" s="66">
        <f>VLOOKUP('AggrStep1-energy'!$C5,'Energia PJ'!$B$2:$V$61,V$1,FALSE)</f>
        <v>0</v>
      </c>
      <c r="W5" s="56">
        <f t="shared" si="0"/>
        <v>728.32480899999996</v>
      </c>
      <c r="X5" s="66"/>
      <c r="Y5" s="66"/>
      <c r="Z5" s="66"/>
      <c r="AA5" s="66"/>
      <c r="AB5" s="66"/>
      <c r="AC5" s="70" t="s">
        <v>197</v>
      </c>
      <c r="AD5" s="66">
        <v>787437.35400000005</v>
      </c>
      <c r="AE5" s="71">
        <f>AD5/$AD$7</f>
        <v>0.97129257105125733</v>
      </c>
      <c r="AF5" s="66"/>
      <c r="AG5" s="66"/>
    </row>
    <row r="6" spans="1:33" ht="15.75">
      <c r="A6" s="705"/>
      <c r="B6" s="188"/>
      <c r="C6" s="67" t="s">
        <v>338</v>
      </c>
      <c r="D6" s="66">
        <f>VLOOKUP('AggrStep1-energy'!$C6,'Energia PJ'!$B$2:$V$61,D$1,FALSE)</f>
        <v>0</v>
      </c>
      <c r="E6" s="66">
        <f>VLOOKUP('AggrStep1-energy'!$C6,'Energia PJ'!$B$2:$V$61,E$1,FALSE)</f>
        <v>0</v>
      </c>
      <c r="F6" s="66">
        <f>VLOOKUP('AggrStep1-energy'!$C6,'Energia PJ'!$B$2:$V$61,F$1,FALSE)</f>
        <v>0</v>
      </c>
      <c r="G6" s="66">
        <f>VLOOKUP('AggrStep1-energy'!$C6,'Energia PJ'!$B$2:$V$61,G$1,FALSE)</f>
        <v>2.9323039999999998</v>
      </c>
      <c r="H6" s="66">
        <f>VLOOKUP('AggrStep1-energy'!$C6,'Energia PJ'!$B$2:$V$61,H$1,FALSE)</f>
        <v>65.126006000000004</v>
      </c>
      <c r="I6" s="66">
        <f>VLOOKUP('AggrStep1-energy'!$C6,'Energia PJ'!$B$2:$V$61,I$1,FALSE)</f>
        <v>2.2635710000000002</v>
      </c>
      <c r="J6" s="66">
        <f>VLOOKUP('AggrStep1-energy'!$C6,'Energia PJ'!$B$2:$V$61,J$1,FALSE)</f>
        <v>0.88261100000000003</v>
      </c>
      <c r="K6" s="66">
        <f>VLOOKUP('AggrStep1-energy'!$C6,'Energia PJ'!$B$2:$V$61,K$1,FALSE)</f>
        <v>21.582000000000001</v>
      </c>
      <c r="L6" s="66">
        <f>VLOOKUP('AggrStep1-energy'!$C6,'Energia PJ'!$B$2:$V$61,L$1,FALSE)</f>
        <v>0</v>
      </c>
      <c r="M6" s="66">
        <f>VLOOKUP('AggrStep1-energy'!$C6,'Energia PJ'!$B$2:$V$61,M$1,FALSE)</f>
        <v>0</v>
      </c>
      <c r="N6" s="66">
        <f>VLOOKUP('AggrStep1-energy'!$C6,'Energia PJ'!$B$2:$V$61,N$1,FALSE)</f>
        <v>6.2030000000000002E-3</v>
      </c>
      <c r="O6" s="66">
        <f>VLOOKUP('AggrStep1-energy'!$C6,'Energia PJ'!$B$2:$V$61,O$1,FALSE)</f>
        <v>0</v>
      </c>
      <c r="P6" s="66">
        <f>VLOOKUP('AggrStep1-energy'!$C6,'Energia PJ'!$B$2:$V$61,P$1,FALSE)</f>
        <v>115.285</v>
      </c>
      <c r="Q6" s="66">
        <f>VLOOKUP('AggrStep1-energy'!$C6,'Energia PJ'!$B$2:$V$61,Q$1,FALSE)</f>
        <v>0</v>
      </c>
      <c r="R6" s="66">
        <f>VLOOKUP('AggrStep1-energy'!$C6,'Energia PJ'!$B$2:$V$61,R$1,FALSE)</f>
        <v>0</v>
      </c>
      <c r="S6" s="66">
        <f>VLOOKUP('AggrStep1-energy'!$C6,'Energia PJ'!$B$2:$V$61,S$1,FALSE)</f>
        <v>0</v>
      </c>
      <c r="T6" s="66">
        <f>VLOOKUP('AggrStep1-energy'!$C6,'Energia PJ'!$B$2:$V$61,T$1,FALSE)</f>
        <v>0</v>
      </c>
      <c r="U6" s="66">
        <f>VLOOKUP('AggrStep1-energy'!$C6,'Energia PJ'!$B$2:$V$61,U$1,FALSE)</f>
        <v>0</v>
      </c>
      <c r="V6" s="66">
        <f>VLOOKUP('AggrStep1-energy'!$C6,'Energia PJ'!$B$2:$V$61,V$1,FALSE)</f>
        <v>0</v>
      </c>
      <c r="W6" s="56">
        <f t="shared" si="0"/>
        <v>208.07769500000001</v>
      </c>
      <c r="X6" s="66"/>
      <c r="Y6" s="66"/>
      <c r="Z6" s="66"/>
      <c r="AA6" s="66"/>
      <c r="AB6" s="66"/>
      <c r="AC6" s="70" t="s">
        <v>198</v>
      </c>
      <c r="AD6" s="66">
        <v>23273.422000000002</v>
      </c>
      <c r="AE6" s="71">
        <f>AD6/$AD$7</f>
        <v>2.870742894874263E-2</v>
      </c>
      <c r="AF6" s="66"/>
      <c r="AG6" s="66"/>
    </row>
    <row r="7" spans="1:33" ht="15.75">
      <c r="A7" s="705"/>
      <c r="B7" s="188"/>
      <c r="C7" s="67" t="s">
        <v>337</v>
      </c>
      <c r="D7" s="66">
        <f>VLOOKUP('AggrStep1-energy'!$C7,'Energia PJ'!$B$2:$V$61,D$1,FALSE)</f>
        <v>0</v>
      </c>
      <c r="E7" s="66">
        <f>VLOOKUP('AggrStep1-energy'!$C7,'Energia PJ'!$B$2:$V$61,E$1,FALSE)</f>
        <v>0</v>
      </c>
      <c r="F7" s="66">
        <f>VLOOKUP('AggrStep1-energy'!$C7,'Energia PJ'!$B$2:$V$61,F$1,FALSE)</f>
        <v>5.8601640000000002</v>
      </c>
      <c r="G7" s="66">
        <f>VLOOKUP('AggrStep1-energy'!$C7,'Energia PJ'!$B$2:$V$61,G$1,FALSE)</f>
        <v>1.4900869999999999</v>
      </c>
      <c r="H7" s="66">
        <f>VLOOKUP('AggrStep1-energy'!$C7,'Energia PJ'!$B$2:$V$61,H$1,FALSE)</f>
        <v>0</v>
      </c>
      <c r="I7" s="66">
        <f>VLOOKUP('AggrStep1-energy'!$C7,'Energia PJ'!$B$2:$V$61,I$1,FALSE)</f>
        <v>100.994443</v>
      </c>
      <c r="J7" s="66">
        <f>VLOOKUP('AggrStep1-energy'!$C7,'Energia PJ'!$B$2:$V$61,J$1,FALSE)</f>
        <v>0.26655099999999998</v>
      </c>
      <c r="K7" s="66">
        <f>VLOOKUP('AggrStep1-energy'!$C7,'Energia PJ'!$B$2:$V$61,K$1,FALSE)</f>
        <v>36.133000000000003</v>
      </c>
      <c r="L7" s="66">
        <f>VLOOKUP('AggrStep1-energy'!$C7,'Energia PJ'!$B$2:$V$61,L$1,FALSE)</f>
        <v>0</v>
      </c>
      <c r="M7" s="66">
        <f>VLOOKUP('AggrStep1-energy'!$C7,'Energia PJ'!$B$2:$V$61,M$1,FALSE)</f>
        <v>0</v>
      </c>
      <c r="N7" s="66">
        <f>VLOOKUP('AggrStep1-energy'!$C7,'Energia PJ'!$B$2:$V$61,N$1,FALSE)</f>
        <v>4.0000000000000003E-5</v>
      </c>
      <c r="O7" s="66">
        <f>VLOOKUP('AggrStep1-energy'!$C7,'Energia PJ'!$B$2:$V$61,O$1,FALSE)</f>
        <v>0</v>
      </c>
      <c r="P7" s="66">
        <f>VLOOKUP('AggrStep1-energy'!$C7,'Energia PJ'!$B$2:$V$61,P$1,FALSE)</f>
        <v>4.4249999999999998</v>
      </c>
      <c r="Q7" s="66">
        <f>VLOOKUP('AggrStep1-energy'!$C7,'Energia PJ'!$B$2:$V$61,Q$1,FALSE)</f>
        <v>0</v>
      </c>
      <c r="R7" s="66">
        <f>VLOOKUP('AggrStep1-energy'!$C7,'Energia PJ'!$B$2:$V$61,R$1,FALSE)</f>
        <v>0</v>
      </c>
      <c r="S7" s="66">
        <f>VLOOKUP('AggrStep1-energy'!$C7,'Energia PJ'!$B$2:$V$61,S$1,FALSE)</f>
        <v>0</v>
      </c>
      <c r="T7" s="66">
        <f>VLOOKUP('AggrStep1-energy'!$C7,'Energia PJ'!$B$2:$V$61,T$1,FALSE)</f>
        <v>0</v>
      </c>
      <c r="U7" s="66">
        <f>VLOOKUP('AggrStep1-energy'!$C7,'Energia PJ'!$B$2:$V$61,U$1,FALSE)</f>
        <v>0</v>
      </c>
      <c r="V7" s="66">
        <f>VLOOKUP('AggrStep1-energy'!$C7,'Energia PJ'!$B$2:$V$61,V$1,FALSE)</f>
        <v>0</v>
      </c>
      <c r="W7" s="56">
        <f t="shared" si="0"/>
        <v>149.16928500000003</v>
      </c>
      <c r="X7" s="66"/>
      <c r="Y7" s="66"/>
      <c r="Z7" s="66"/>
      <c r="AA7" s="66"/>
      <c r="AB7" s="66"/>
      <c r="AC7" s="61" t="s">
        <v>7</v>
      </c>
      <c r="AD7" s="56">
        <f>AD5+AD6</f>
        <v>810710.77600000007</v>
      </c>
      <c r="AE7" s="62">
        <f>AD7/$AD$7</f>
        <v>1</v>
      </c>
      <c r="AF7" s="66"/>
      <c r="AG7" s="66"/>
    </row>
    <row r="8" spans="1:33" ht="15.75">
      <c r="A8" s="705"/>
      <c r="B8" s="188"/>
      <c r="C8" s="67" t="s">
        <v>336</v>
      </c>
      <c r="D8" s="66">
        <f>VLOOKUP('AggrStep1-energy'!$C8,'Energia PJ'!$B$2:$V$61,D$1,FALSE)</f>
        <v>0</v>
      </c>
      <c r="E8" s="66">
        <f>VLOOKUP('AggrStep1-energy'!$C8,'Energia PJ'!$B$2:$V$61,E$1,FALSE)</f>
        <v>59.526828000000002</v>
      </c>
      <c r="F8" s="66">
        <f>VLOOKUP('AggrStep1-energy'!$C8,'Energia PJ'!$B$2:$V$61,F$1,FALSE)</f>
        <v>0</v>
      </c>
      <c r="G8" s="66">
        <f>VLOOKUP('AggrStep1-energy'!$C8,'Energia PJ'!$B$2:$V$61,G$1,FALSE)</f>
        <v>3.4816769999999999</v>
      </c>
      <c r="H8" s="66">
        <f>VLOOKUP('AggrStep1-energy'!$C8,'Energia PJ'!$B$2:$V$61,H$1,FALSE)</f>
        <v>0</v>
      </c>
      <c r="I8" s="66">
        <f>VLOOKUP('AggrStep1-energy'!$C8,'Energia PJ'!$B$2:$V$61,I$1,FALSE)</f>
        <v>0</v>
      </c>
      <c r="J8" s="66">
        <f>VLOOKUP('AggrStep1-energy'!$C8,'Energia PJ'!$B$2:$V$61,J$1,FALSE)</f>
        <v>0</v>
      </c>
      <c r="K8" s="66">
        <f>VLOOKUP('AggrStep1-energy'!$C8,'Energia PJ'!$B$2:$V$61,K$1,FALSE)</f>
        <v>4.1449999999999996</v>
      </c>
      <c r="L8" s="66">
        <f>VLOOKUP('AggrStep1-energy'!$C8,'Energia PJ'!$B$2:$V$61,L$1,FALSE)</f>
        <v>0</v>
      </c>
      <c r="M8" s="66">
        <f>VLOOKUP('AggrStep1-energy'!$C8,'Energia PJ'!$B$2:$V$61,M$1,FALSE)</f>
        <v>0</v>
      </c>
      <c r="N8" s="66">
        <f>VLOOKUP('AggrStep1-energy'!$C8,'Energia PJ'!$B$2:$V$61,N$1,FALSE)</f>
        <v>2.5599999999999999E-4</v>
      </c>
      <c r="O8" s="66">
        <f>VLOOKUP('AggrStep1-energy'!$C8,'Energia PJ'!$B$2:$V$61,O$1,FALSE)</f>
        <v>0</v>
      </c>
      <c r="P8" s="66">
        <f>VLOOKUP('AggrStep1-energy'!$C8,'Energia PJ'!$B$2:$V$61,P$1,FALSE)</f>
        <v>0</v>
      </c>
      <c r="Q8" s="66">
        <f>VLOOKUP('AggrStep1-energy'!$C8,'Energia PJ'!$B$2:$V$61,Q$1,FALSE)</f>
        <v>0</v>
      </c>
      <c r="R8" s="66">
        <f>VLOOKUP('AggrStep1-energy'!$C8,'Energia PJ'!$B$2:$V$61,R$1,FALSE)</f>
        <v>0</v>
      </c>
      <c r="S8" s="66">
        <f>VLOOKUP('AggrStep1-energy'!$C8,'Energia PJ'!$B$2:$V$61,S$1,FALSE)</f>
        <v>0</v>
      </c>
      <c r="T8" s="66">
        <f>VLOOKUP('AggrStep1-energy'!$C8,'Energia PJ'!$B$2:$V$61,T$1,FALSE)</f>
        <v>0</v>
      </c>
      <c r="U8" s="66">
        <f>VLOOKUP('AggrStep1-energy'!$C8,'Energia PJ'!$B$2:$V$61,U$1,FALSE)</f>
        <v>0</v>
      </c>
      <c r="V8" s="66">
        <f>VLOOKUP('AggrStep1-energy'!$C8,'Energia PJ'!$B$2:$V$61,V$1,FALSE)</f>
        <v>0</v>
      </c>
      <c r="W8" s="56">
        <f t="shared" si="0"/>
        <v>67.153760999999989</v>
      </c>
      <c r="X8" s="66"/>
      <c r="Y8" s="66"/>
      <c r="Z8" s="66"/>
      <c r="AA8" s="66"/>
      <c r="AB8" s="66"/>
      <c r="AC8" s="66"/>
      <c r="AD8" s="66"/>
      <c r="AE8" s="66"/>
      <c r="AF8" s="66"/>
      <c r="AG8" s="66"/>
    </row>
    <row r="9" spans="1:33" ht="15.75">
      <c r="A9" s="705"/>
      <c r="B9" s="188"/>
      <c r="C9" s="649" t="s">
        <v>286</v>
      </c>
      <c r="D9" s="66">
        <f>VLOOKUP('AggrStep1-energy'!$C9,'Energia PJ'!$B$2:$V$61,D$1,FALSE)</f>
        <v>0</v>
      </c>
      <c r="E9" s="66">
        <f>VLOOKUP('AggrStep1-energy'!$C9,'Energia PJ'!$B$2:$V$61,E$1,FALSE)</f>
        <v>0</v>
      </c>
      <c r="F9" s="66">
        <f>VLOOKUP('AggrStep1-energy'!$C9,'Energia PJ'!$B$2:$V$61,F$1,FALSE)</f>
        <v>0</v>
      </c>
      <c r="G9" s="66">
        <f>VLOOKUP('AggrStep1-energy'!$C9,'Energia PJ'!$B$2:$V$61,G$1,FALSE)</f>
        <v>9.5646999999999996E-2</v>
      </c>
      <c r="H9" s="66">
        <f>VLOOKUP('AggrStep1-energy'!$C9,'Energia PJ'!$B$2:$V$61,H$1,FALSE)</f>
        <v>0</v>
      </c>
      <c r="I9" s="66">
        <f>VLOOKUP('AggrStep1-energy'!$C9,'Energia PJ'!$B$2:$V$61,I$1,FALSE)</f>
        <v>0</v>
      </c>
      <c r="J9" s="66">
        <f>VLOOKUP('AggrStep1-energy'!$C9,'Energia PJ'!$B$2:$V$61,J$1,FALSE)</f>
        <v>0.43508999999999998</v>
      </c>
      <c r="K9" s="66">
        <f>VLOOKUP('AggrStep1-energy'!$C9,'Energia PJ'!$B$2:$V$61,K$1,FALSE)</f>
        <v>5.117</v>
      </c>
      <c r="L9" s="66">
        <f>VLOOKUP('AggrStep1-energy'!$C9,'Energia PJ'!$B$2:$V$61,L$1,FALSE)</f>
        <v>0</v>
      </c>
      <c r="M9" s="66">
        <f>VLOOKUP('AggrStep1-energy'!$C9,'Energia PJ'!$B$2:$V$61,M$1,FALSE)</f>
        <v>0</v>
      </c>
      <c r="N9" s="66">
        <f>VLOOKUP('AggrStep1-energy'!$C9,'Energia PJ'!$B$2:$V$61,N$1,FALSE)</f>
        <v>0</v>
      </c>
      <c r="O9" s="66">
        <f>VLOOKUP('AggrStep1-energy'!$C9,'Energia PJ'!$B$2:$V$61,O$1,FALSE)</f>
        <v>0</v>
      </c>
      <c r="P9" s="66">
        <f>VLOOKUP('AggrStep1-energy'!$C9,'Energia PJ'!$B$2:$V$61,P$1,FALSE)</f>
        <v>110.779</v>
      </c>
      <c r="Q9" s="66">
        <f>VLOOKUP('AggrStep1-energy'!$C9,'Energia PJ'!$B$2:$V$61,Q$1,FALSE)</f>
        <v>0</v>
      </c>
      <c r="R9" s="66">
        <f>VLOOKUP('AggrStep1-energy'!$C9,'Energia PJ'!$B$2:$V$61,R$1,FALSE)</f>
        <v>0</v>
      </c>
      <c r="S9" s="66">
        <f>VLOOKUP('AggrStep1-energy'!$C9,'Energia PJ'!$B$2:$V$61,S$1,FALSE)</f>
        <v>0</v>
      </c>
      <c r="T9" s="66">
        <f>VLOOKUP('AggrStep1-energy'!$C9,'Energia PJ'!$B$2:$V$61,T$1,FALSE)</f>
        <v>0</v>
      </c>
      <c r="U9" s="66">
        <f>VLOOKUP('AggrStep1-energy'!$C9,'Energia PJ'!$B$2:$V$61,U$1,FALSE)</f>
        <v>0</v>
      </c>
      <c r="V9" s="66">
        <f>VLOOKUP('AggrStep1-energy'!$C9,'Energia PJ'!$B$2:$V$61,V$1,FALSE)</f>
        <v>0</v>
      </c>
      <c r="W9" s="56">
        <f t="shared" si="0"/>
        <v>116.426737</v>
      </c>
      <c r="X9" s="66"/>
      <c r="Y9" s="66"/>
      <c r="Z9" s="66"/>
      <c r="AA9" s="66"/>
      <c r="AB9" s="66"/>
      <c r="AC9" s="66" t="s">
        <v>243</v>
      </c>
      <c r="AD9" s="66"/>
      <c r="AE9" s="66"/>
      <c r="AF9" s="66"/>
      <c r="AG9" s="66"/>
    </row>
    <row r="10" spans="1:33" ht="15.75">
      <c r="A10" s="705"/>
      <c r="B10" s="188"/>
      <c r="C10" s="67" t="s">
        <v>334</v>
      </c>
      <c r="D10" s="66">
        <f>VLOOKUP('AggrStep1-energy'!$C10,'Energia PJ'!$B$2:$V$61,D$1,FALSE)</f>
        <v>0</v>
      </c>
      <c r="E10" s="66">
        <f>VLOOKUP('AggrStep1-energy'!$C10,'Energia PJ'!$B$2:$V$61,E$1,FALSE)</f>
        <v>0</v>
      </c>
      <c r="F10" s="66">
        <f>VLOOKUP('AggrStep1-energy'!$C10,'Energia PJ'!$B$2:$V$61,F$1,FALSE)</f>
        <v>0</v>
      </c>
      <c r="G10" s="66">
        <f>VLOOKUP('AggrStep1-energy'!$C10,'Energia PJ'!$B$2:$V$61,G$1,FALSE)</f>
        <v>3.3719830000000002</v>
      </c>
      <c r="H10" s="66">
        <f>VLOOKUP('AggrStep1-energy'!$C10,'Energia PJ'!$B$2:$V$61,H$1,FALSE)</f>
        <v>0</v>
      </c>
      <c r="I10" s="66">
        <f>VLOOKUP('AggrStep1-energy'!$C10,'Energia PJ'!$B$2:$V$61,I$1,FALSE)</f>
        <v>1.9029609999999999</v>
      </c>
      <c r="J10" s="66">
        <f>VLOOKUP('AggrStep1-energy'!$C10,'Energia PJ'!$B$2:$V$61,J$1,FALSE)</f>
        <v>4.1992229999999999</v>
      </c>
      <c r="K10" s="66">
        <f>VLOOKUP('AggrStep1-energy'!$C10,'Energia PJ'!$B$2:$V$61,K$1,FALSE)</f>
        <v>17.125</v>
      </c>
      <c r="L10" s="66">
        <f>VLOOKUP('AggrStep1-energy'!$C10,'Energia PJ'!$B$2:$V$61,L$1,FALSE)</f>
        <v>0</v>
      </c>
      <c r="M10" s="66">
        <f>VLOOKUP('AggrStep1-energy'!$C10,'Energia PJ'!$B$2:$V$61,M$1,FALSE)</f>
        <v>0</v>
      </c>
      <c r="N10" s="66">
        <f>VLOOKUP('AggrStep1-energy'!$C10,'Energia PJ'!$B$2:$V$61,N$1,FALSE)</f>
        <v>0.83927700000000005</v>
      </c>
      <c r="O10" s="66">
        <f>VLOOKUP('AggrStep1-energy'!$C10,'Energia PJ'!$B$2:$V$61,O$1,FALSE)</f>
        <v>0</v>
      </c>
      <c r="P10" s="66">
        <f>VLOOKUP('AggrStep1-energy'!$C10,'Energia PJ'!$B$2:$V$61,P$1,FALSE)</f>
        <v>66.287999999999997</v>
      </c>
      <c r="Q10" s="66">
        <f>VLOOKUP('AggrStep1-energy'!$C10,'Energia PJ'!$B$2:$V$61,Q$1,FALSE)</f>
        <v>0</v>
      </c>
      <c r="R10" s="66">
        <f>VLOOKUP('AggrStep1-energy'!$C10,'Energia PJ'!$B$2:$V$61,R$1,FALSE)</f>
        <v>0</v>
      </c>
      <c r="S10" s="66">
        <f>VLOOKUP('AggrStep1-energy'!$C10,'Energia PJ'!$B$2:$V$61,S$1,FALSE)</f>
        <v>0</v>
      </c>
      <c r="T10" s="66">
        <f>VLOOKUP('AggrStep1-energy'!$C10,'Energia PJ'!$B$2:$V$61,T$1,FALSE)</f>
        <v>0</v>
      </c>
      <c r="U10" s="66">
        <f>VLOOKUP('AggrStep1-energy'!$C10,'Energia PJ'!$B$2:$V$61,U$1,FALSE)</f>
        <v>0</v>
      </c>
      <c r="V10" s="66">
        <f>VLOOKUP('AggrStep1-energy'!$C10,'Energia PJ'!$B$2:$V$61,V$1,FALSE)</f>
        <v>0</v>
      </c>
      <c r="W10" s="56">
        <f t="shared" si="0"/>
        <v>93.726444000000001</v>
      </c>
      <c r="X10" s="66"/>
      <c r="Y10" s="66"/>
      <c r="Z10" s="66"/>
      <c r="AA10" s="66"/>
      <c r="AB10" s="66"/>
      <c r="AC10" s="66"/>
      <c r="AD10" s="66"/>
      <c r="AE10" s="66"/>
      <c r="AF10" s="66"/>
      <c r="AG10" s="66"/>
    </row>
    <row r="11" spans="1:33" ht="15.75">
      <c r="A11" s="705"/>
      <c r="B11" s="188"/>
      <c r="C11" s="67" t="s">
        <v>333</v>
      </c>
      <c r="D11" s="66">
        <f>VLOOKUP('AggrStep1-energy'!$C11,'Energia PJ'!$B$2:$V$61,D$1,FALSE)</f>
        <v>0</v>
      </c>
      <c r="E11" s="66">
        <f>VLOOKUP('AggrStep1-energy'!$C11,'Energia PJ'!$B$2:$V$61,E$1,FALSE)</f>
        <v>0</v>
      </c>
      <c r="F11" s="66">
        <f>VLOOKUP('AggrStep1-energy'!$C11,'Energia PJ'!$B$2:$V$61,F$1,FALSE)</f>
        <v>0</v>
      </c>
      <c r="G11" s="66">
        <f>VLOOKUP('AggrStep1-energy'!$C11,'Energia PJ'!$B$2:$V$61,G$1,FALSE)</f>
        <v>2.2258830000000001</v>
      </c>
      <c r="H11" s="66">
        <f>VLOOKUP('AggrStep1-energy'!$C11,'Energia PJ'!$B$2:$V$61,H$1,FALSE)</f>
        <v>0</v>
      </c>
      <c r="I11" s="66">
        <f>VLOOKUP('AggrStep1-energy'!$C11,'Energia PJ'!$B$2:$V$61,I$1,FALSE)</f>
        <v>0</v>
      </c>
      <c r="J11" s="66">
        <f>VLOOKUP('AggrStep1-energy'!$C11,'Energia PJ'!$B$2:$V$61,J$1,FALSE)</f>
        <v>4.3686129999999999</v>
      </c>
      <c r="K11" s="66">
        <f>VLOOKUP('AggrStep1-energy'!$C11,'Energia PJ'!$B$2:$V$61,K$1,FALSE)</f>
        <v>36.293999999999997</v>
      </c>
      <c r="L11" s="66">
        <f>VLOOKUP('AggrStep1-energy'!$C11,'Energia PJ'!$B$2:$V$61,L$1,FALSE)</f>
        <v>0</v>
      </c>
      <c r="M11" s="66">
        <f>VLOOKUP('AggrStep1-energy'!$C11,'Energia PJ'!$B$2:$V$61,M$1,FALSE)</f>
        <v>0</v>
      </c>
      <c r="N11" s="66">
        <f>VLOOKUP('AggrStep1-energy'!$C11,'Energia PJ'!$B$2:$V$61,N$1,FALSE)</f>
        <v>9.3198019999999993</v>
      </c>
      <c r="O11" s="66">
        <f>VLOOKUP('AggrStep1-energy'!$C11,'Energia PJ'!$B$2:$V$61,O$1,FALSE)</f>
        <v>0</v>
      </c>
      <c r="P11" s="66">
        <f>VLOOKUP('AggrStep1-energy'!$C11,'Energia PJ'!$B$2:$V$61,P$1,FALSE)</f>
        <v>9.2739999999999991</v>
      </c>
      <c r="Q11" s="66">
        <f>VLOOKUP('AggrStep1-energy'!$C11,'Energia PJ'!$B$2:$V$61,Q$1,FALSE)</f>
        <v>0</v>
      </c>
      <c r="R11" s="66">
        <f>VLOOKUP('AggrStep1-energy'!$C11,'Energia PJ'!$B$2:$V$61,R$1,FALSE)</f>
        <v>0</v>
      </c>
      <c r="S11" s="66">
        <f>VLOOKUP('AggrStep1-energy'!$C11,'Energia PJ'!$B$2:$V$61,S$1,FALSE)</f>
        <v>0</v>
      </c>
      <c r="T11" s="66">
        <f>VLOOKUP('AggrStep1-energy'!$C11,'Energia PJ'!$B$2:$V$61,T$1,FALSE)</f>
        <v>0</v>
      </c>
      <c r="U11" s="66">
        <f>VLOOKUP('AggrStep1-energy'!$C11,'Energia PJ'!$B$2:$V$61,U$1,FALSE)</f>
        <v>0</v>
      </c>
      <c r="V11" s="66">
        <f>VLOOKUP('AggrStep1-energy'!$C11,'Energia PJ'!$B$2:$V$61,V$1,FALSE)</f>
        <v>0</v>
      </c>
      <c r="W11" s="56">
        <f t="shared" si="0"/>
        <v>61.482298</v>
      </c>
      <c r="X11" s="66"/>
      <c r="Y11" s="66"/>
      <c r="Z11" s="66"/>
      <c r="AA11" s="66"/>
      <c r="AB11" s="66"/>
      <c r="AC11" s="66"/>
      <c r="AD11" s="66"/>
      <c r="AE11" s="66"/>
      <c r="AF11" s="66"/>
      <c r="AG11" s="66"/>
    </row>
    <row r="12" spans="1:33" ht="15.75">
      <c r="A12" s="705"/>
      <c r="B12" s="188"/>
      <c r="C12" s="67" t="s">
        <v>332</v>
      </c>
      <c r="D12" s="66">
        <f>VLOOKUP('AggrStep1-energy'!$C12,'Energia PJ'!$B$2:$V$61,D$1,FALSE)</f>
        <v>0</v>
      </c>
      <c r="E12" s="66">
        <f>VLOOKUP('AggrStep1-energy'!$C12,'Energia PJ'!$B$2:$V$61,E$1,FALSE)</f>
        <v>0</v>
      </c>
      <c r="F12" s="66">
        <f>VLOOKUP('AggrStep1-energy'!$C12,'Energia PJ'!$B$2:$V$61,F$1,FALSE)</f>
        <v>0</v>
      </c>
      <c r="G12" s="66">
        <f>VLOOKUP('AggrStep1-energy'!$C12,'Energia PJ'!$B$2:$V$61,G$1,FALSE)</f>
        <v>5.1573520000000004</v>
      </c>
      <c r="H12" s="66">
        <f>VLOOKUP('AggrStep1-energy'!$C12,'Energia PJ'!$B$2:$V$61,H$1,FALSE)</f>
        <v>0</v>
      </c>
      <c r="I12" s="66">
        <f>VLOOKUP('AggrStep1-energy'!$C12,'Energia PJ'!$B$2:$V$61,I$1,FALSE)</f>
        <v>0</v>
      </c>
      <c r="J12" s="66">
        <f>VLOOKUP('AggrStep1-energy'!$C12,'Energia PJ'!$B$2:$V$61,J$1,FALSE)</f>
        <v>1.29373</v>
      </c>
      <c r="K12" s="66">
        <f>VLOOKUP('AggrStep1-energy'!$C12,'Energia PJ'!$B$2:$V$61,K$1,FALSE)</f>
        <v>10.295999999999999</v>
      </c>
      <c r="L12" s="66">
        <f>VLOOKUP('AggrStep1-energy'!$C12,'Energia PJ'!$B$2:$V$61,L$1,FALSE)</f>
        <v>0</v>
      </c>
      <c r="M12" s="66">
        <f>VLOOKUP('AggrStep1-energy'!$C12,'Energia PJ'!$B$2:$V$61,M$1,FALSE)</f>
        <v>0</v>
      </c>
      <c r="N12" s="66">
        <f>VLOOKUP('AggrStep1-energy'!$C12,'Energia PJ'!$B$2:$V$61,N$1,FALSE)</f>
        <v>0.40593800000000002</v>
      </c>
      <c r="O12" s="66">
        <f>VLOOKUP('AggrStep1-energy'!$C12,'Energia PJ'!$B$2:$V$61,O$1,FALSE)</f>
        <v>0</v>
      </c>
      <c r="P12" s="66">
        <f>VLOOKUP('AggrStep1-energy'!$C12,'Energia PJ'!$B$2:$V$61,P$1,FALSE)</f>
        <v>32.664000000000001</v>
      </c>
      <c r="Q12" s="66">
        <f>VLOOKUP('AggrStep1-energy'!$C12,'Energia PJ'!$B$2:$V$61,Q$1,FALSE)</f>
        <v>0</v>
      </c>
      <c r="R12" s="66">
        <f>VLOOKUP('AggrStep1-energy'!$C12,'Energia PJ'!$B$2:$V$61,R$1,FALSE)</f>
        <v>0</v>
      </c>
      <c r="S12" s="66">
        <f>VLOOKUP('AggrStep1-energy'!$C12,'Energia PJ'!$B$2:$V$61,S$1,FALSE)</f>
        <v>0</v>
      </c>
      <c r="T12" s="66">
        <f>VLOOKUP('AggrStep1-energy'!$C12,'Energia PJ'!$B$2:$V$61,T$1,FALSE)</f>
        <v>0</v>
      </c>
      <c r="U12" s="66">
        <f>VLOOKUP('AggrStep1-energy'!$C12,'Energia PJ'!$B$2:$V$61,U$1,FALSE)</f>
        <v>0</v>
      </c>
      <c r="V12" s="66">
        <f>VLOOKUP('AggrStep1-energy'!$C12,'Energia PJ'!$B$2:$V$61,V$1,FALSE)</f>
        <v>0</v>
      </c>
      <c r="W12" s="56">
        <f t="shared" si="0"/>
        <v>49.817019999999999</v>
      </c>
      <c r="X12" s="66"/>
      <c r="Y12" s="66"/>
      <c r="Z12" s="66"/>
      <c r="AA12" s="66"/>
      <c r="AB12" s="66"/>
      <c r="AC12" s="66"/>
      <c r="AD12" s="66"/>
      <c r="AE12" s="66"/>
      <c r="AF12" s="66"/>
      <c r="AG12" s="66"/>
    </row>
    <row r="13" spans="1:33" ht="15.75">
      <c r="A13" s="705"/>
      <c r="B13" s="188"/>
      <c r="C13" s="67" t="s">
        <v>331</v>
      </c>
      <c r="D13" s="66">
        <f>VLOOKUP('AggrStep1-energy'!$C13,'Energia PJ'!$B$2:$V$61,D$1,FALSE)</f>
        <v>0</v>
      </c>
      <c r="E13" s="66">
        <f>VLOOKUP('AggrStep1-energy'!$C13,'Energia PJ'!$B$2:$V$61,E$1,FALSE)</f>
        <v>0</v>
      </c>
      <c r="F13" s="66">
        <f>VLOOKUP('AggrStep1-energy'!$C13,'Energia PJ'!$B$2:$V$61,F$1,FALSE)</f>
        <v>0</v>
      </c>
      <c r="G13" s="66">
        <f>VLOOKUP('AggrStep1-energy'!$C13,'Energia PJ'!$B$2:$V$61,G$1,FALSE)</f>
        <v>2.3273769999999998</v>
      </c>
      <c r="H13" s="66">
        <f>VLOOKUP('AggrStep1-energy'!$C13,'Energia PJ'!$B$2:$V$61,H$1,FALSE)</f>
        <v>0</v>
      </c>
      <c r="I13" s="66">
        <f>VLOOKUP('AggrStep1-energy'!$C13,'Energia PJ'!$B$2:$V$61,I$1,FALSE)</f>
        <v>6.2199999999999998E-3</v>
      </c>
      <c r="J13" s="66">
        <f>VLOOKUP('AggrStep1-energy'!$C13,'Energia PJ'!$B$2:$V$61,J$1,FALSE)</f>
        <v>0.152535</v>
      </c>
      <c r="K13" s="66">
        <f>VLOOKUP('AggrStep1-energy'!$C13,'Energia PJ'!$B$2:$V$61,K$1,FALSE)</f>
        <v>4.1779999999999999</v>
      </c>
      <c r="L13" s="66">
        <f>VLOOKUP('AggrStep1-energy'!$C13,'Energia PJ'!$B$2:$V$61,L$1,FALSE)</f>
        <v>0</v>
      </c>
      <c r="M13" s="66">
        <f>VLOOKUP('AggrStep1-energy'!$C13,'Energia PJ'!$B$2:$V$61,M$1,FALSE)</f>
        <v>0</v>
      </c>
      <c r="N13" s="66">
        <f>VLOOKUP('AggrStep1-energy'!$C13,'Energia PJ'!$B$2:$V$61,N$1,FALSE)</f>
        <v>0.14721300000000001</v>
      </c>
      <c r="O13" s="66">
        <f>VLOOKUP('AggrStep1-energy'!$C13,'Energia PJ'!$B$2:$V$61,O$1,FALSE)</f>
        <v>0</v>
      </c>
      <c r="P13" s="66">
        <f>VLOOKUP('AggrStep1-energy'!$C13,'Energia PJ'!$B$2:$V$61,P$1,FALSE)</f>
        <v>48.554000000000002</v>
      </c>
      <c r="Q13" s="66">
        <f>VLOOKUP('AggrStep1-energy'!$C13,'Energia PJ'!$B$2:$V$61,Q$1,FALSE)</f>
        <v>0</v>
      </c>
      <c r="R13" s="66">
        <f>VLOOKUP('AggrStep1-energy'!$C13,'Energia PJ'!$B$2:$V$61,R$1,FALSE)</f>
        <v>0</v>
      </c>
      <c r="S13" s="66">
        <f>VLOOKUP('AggrStep1-energy'!$C13,'Energia PJ'!$B$2:$V$61,S$1,FALSE)</f>
        <v>0</v>
      </c>
      <c r="T13" s="66">
        <f>VLOOKUP('AggrStep1-energy'!$C13,'Energia PJ'!$B$2:$V$61,T$1,FALSE)</f>
        <v>0</v>
      </c>
      <c r="U13" s="66">
        <f>VLOOKUP('AggrStep1-energy'!$C13,'Energia PJ'!$B$2:$V$61,U$1,FALSE)</f>
        <v>0</v>
      </c>
      <c r="V13" s="66">
        <f>VLOOKUP('AggrStep1-energy'!$C13,'Energia PJ'!$B$2:$V$61,V$1,FALSE)</f>
        <v>0</v>
      </c>
      <c r="W13" s="56">
        <f t="shared" si="0"/>
        <v>55.365345000000005</v>
      </c>
      <c r="X13" s="66"/>
      <c r="Y13" s="66"/>
      <c r="Z13" s="66"/>
      <c r="AA13" s="66"/>
      <c r="AB13" s="66"/>
      <c r="AC13" s="66"/>
      <c r="AD13" s="66"/>
      <c r="AE13" s="66"/>
      <c r="AF13" s="66"/>
      <c r="AG13" s="66"/>
    </row>
    <row r="14" spans="1:33" ht="18.75">
      <c r="A14" s="705"/>
      <c r="B14" s="188"/>
      <c r="C14" s="67" t="s">
        <v>328</v>
      </c>
      <c r="D14" s="66">
        <f>VLOOKUP('AggrStep1-energy'!$C14,'Energia PJ'!$B$2:$V$61,D$1,FALSE)</f>
        <v>0</v>
      </c>
      <c r="E14" s="66">
        <f>VLOOKUP('AggrStep1-energy'!$C14,'Energia PJ'!$B$2:$V$61,E$1,FALSE)</f>
        <v>0</v>
      </c>
      <c r="F14" s="66">
        <f>VLOOKUP('AggrStep1-energy'!$C14,'Energia PJ'!$B$2:$V$61,F$1,FALSE)</f>
        <v>0</v>
      </c>
      <c r="G14" s="66">
        <f>VLOOKUP('AggrStep1-energy'!$C14,'Energia PJ'!$B$2:$V$61,G$1,FALSE)</f>
        <v>2.080508</v>
      </c>
      <c r="H14" s="66">
        <f>VLOOKUP('AggrStep1-energy'!$C14,'Energia PJ'!$B$2:$V$61,H$1,FALSE)</f>
        <v>0</v>
      </c>
      <c r="I14" s="66">
        <f>VLOOKUP('AggrStep1-energy'!$C14,'Energia PJ'!$B$2:$V$61,I$1,FALSE)</f>
        <v>0</v>
      </c>
      <c r="J14" s="66">
        <f>VLOOKUP('AggrStep1-energy'!$C14,'Energia PJ'!$B$2:$V$61,J$1,FALSE)</f>
        <v>0.140374</v>
      </c>
      <c r="K14" s="66">
        <f>VLOOKUP('AggrStep1-energy'!$C14,'Energia PJ'!$B$2:$V$61,K$1,FALSE)</f>
        <v>3.6819999999999999</v>
      </c>
      <c r="L14" s="66">
        <f>VLOOKUP('AggrStep1-energy'!$C14,'Energia PJ'!$B$2:$V$61,L$1,FALSE)</f>
        <v>0</v>
      </c>
      <c r="M14" s="66">
        <f>VLOOKUP('AggrStep1-energy'!$C14,'Energia PJ'!$B$2:$V$61,M$1,FALSE)</f>
        <v>0</v>
      </c>
      <c r="N14" s="66">
        <f>VLOOKUP('AggrStep1-energy'!$C14,'Energia PJ'!$B$2:$V$61,N$1,FALSE)</f>
        <v>0.814222</v>
      </c>
      <c r="O14" s="66">
        <f>VLOOKUP('AggrStep1-energy'!$C14,'Energia PJ'!$B$2:$V$61,O$1,FALSE)</f>
        <v>0</v>
      </c>
      <c r="P14" s="66">
        <f>VLOOKUP('AggrStep1-energy'!$C14,'Energia PJ'!$B$2:$V$61,P$1,FALSE)</f>
        <v>15.255000000000001</v>
      </c>
      <c r="Q14" s="66">
        <f>VLOOKUP('AggrStep1-energy'!$C14,'Energia PJ'!$B$2:$V$61,Q$1,FALSE)</f>
        <v>0</v>
      </c>
      <c r="R14" s="66">
        <f>VLOOKUP('AggrStep1-energy'!$C14,'Energia PJ'!$B$2:$V$61,R$1,FALSE)</f>
        <v>0</v>
      </c>
      <c r="S14" s="66">
        <f>VLOOKUP('AggrStep1-energy'!$C14,'Energia PJ'!$B$2:$V$61,S$1,FALSE)</f>
        <v>0</v>
      </c>
      <c r="T14" s="66">
        <f>VLOOKUP('AggrStep1-energy'!$C14,'Energia PJ'!$B$2:$V$61,T$1,FALSE)</f>
        <v>0</v>
      </c>
      <c r="U14" s="66">
        <f>VLOOKUP('AggrStep1-energy'!$C14,'Energia PJ'!$B$2:$V$61,U$1,FALSE)</f>
        <v>0</v>
      </c>
      <c r="V14" s="66">
        <f>VLOOKUP('AggrStep1-energy'!$C14,'Energia PJ'!$B$2:$V$61,V$1,FALSE)</f>
        <v>0</v>
      </c>
      <c r="W14" s="56">
        <f t="shared" si="0"/>
        <v>21.972104000000002</v>
      </c>
      <c r="X14" s="52"/>
      <c r="Y14" s="52"/>
      <c r="Z14" s="52"/>
      <c r="AA14" s="52"/>
      <c r="AB14" s="52"/>
      <c r="AC14" s="4" t="s">
        <v>381</v>
      </c>
      <c r="AD14" s="52"/>
      <c r="AE14" s="52"/>
      <c r="AF14" s="52"/>
      <c r="AG14" s="52"/>
    </row>
    <row r="15" spans="1:33" ht="19.5" customHeight="1">
      <c r="A15" s="705"/>
      <c r="B15" s="188"/>
      <c r="C15" s="67" t="s">
        <v>326</v>
      </c>
      <c r="D15" s="66">
        <f>VLOOKUP('AggrStep1-energy'!$C15,'Energia PJ'!$B$2:$V$61,D$1,FALSE)</f>
        <v>0</v>
      </c>
      <c r="E15" s="66">
        <f>VLOOKUP('AggrStep1-energy'!$C15,'Energia PJ'!$B$2:$V$61,E$1,FALSE)</f>
        <v>0</v>
      </c>
      <c r="F15" s="66">
        <f>VLOOKUP('AggrStep1-energy'!$C15,'Energia PJ'!$B$2:$V$61,F$1,FALSE)</f>
        <v>0</v>
      </c>
      <c r="G15" s="66">
        <f>VLOOKUP('AggrStep1-energy'!$C15,'Energia PJ'!$B$2:$V$61,G$1,FALSE)</f>
        <v>0.67199600000000004</v>
      </c>
      <c r="H15" s="66">
        <f>VLOOKUP('AggrStep1-energy'!$C15,'Energia PJ'!$B$2:$V$61,H$1,FALSE)</f>
        <v>0</v>
      </c>
      <c r="I15" s="66">
        <f>VLOOKUP('AggrStep1-energy'!$C15,'Energia PJ'!$B$2:$V$61,I$1,FALSE)</f>
        <v>0</v>
      </c>
      <c r="J15" s="66">
        <f>VLOOKUP('AggrStep1-energy'!$C15,'Energia PJ'!$B$2:$V$61,J$1,FALSE)</f>
        <v>3.5512489999999999</v>
      </c>
      <c r="K15" s="66">
        <f>VLOOKUP('AggrStep1-energy'!$C15,'Energia PJ'!$B$2:$V$61,K$1,FALSE)</f>
        <v>3.0630000000000002</v>
      </c>
      <c r="L15" s="66">
        <f>VLOOKUP('AggrStep1-energy'!$C15,'Energia PJ'!$B$2:$V$61,L$1,FALSE)</f>
        <v>0</v>
      </c>
      <c r="M15" s="66">
        <f>VLOOKUP('AggrStep1-energy'!$C15,'Energia PJ'!$B$2:$V$61,M$1,FALSE)</f>
        <v>0</v>
      </c>
      <c r="N15" s="66">
        <f>VLOOKUP('AggrStep1-energy'!$C15,'Energia PJ'!$B$2:$V$61,N$1,FALSE)</f>
        <v>1.283507</v>
      </c>
      <c r="O15" s="66">
        <f>VLOOKUP('AggrStep1-energy'!$C15,'Energia PJ'!$B$2:$V$61,O$1,FALSE)</f>
        <v>0</v>
      </c>
      <c r="P15" s="66">
        <f>VLOOKUP('AggrStep1-energy'!$C15,'Energia PJ'!$B$2:$V$61,P$1,FALSE)</f>
        <v>0.96099999999999997</v>
      </c>
      <c r="Q15" s="66">
        <f>VLOOKUP('AggrStep1-energy'!$C15,'Energia PJ'!$B$2:$V$61,Q$1,FALSE)</f>
        <v>0</v>
      </c>
      <c r="R15" s="66">
        <f>VLOOKUP('AggrStep1-energy'!$C15,'Energia PJ'!$B$2:$V$61,R$1,FALSE)</f>
        <v>0</v>
      </c>
      <c r="S15" s="66">
        <f>VLOOKUP('AggrStep1-energy'!$C15,'Energia PJ'!$B$2:$V$61,S$1,FALSE)</f>
        <v>0</v>
      </c>
      <c r="T15" s="66">
        <f>VLOOKUP('AggrStep1-energy'!$C15,'Energia PJ'!$B$2:$V$61,T$1,FALSE)</f>
        <v>0</v>
      </c>
      <c r="U15" s="66">
        <f>VLOOKUP('AggrStep1-energy'!$C15,'Energia PJ'!$B$2:$V$61,U$1,FALSE)</f>
        <v>0</v>
      </c>
      <c r="V15" s="66">
        <f>VLOOKUP('AggrStep1-energy'!$C15,'Energia PJ'!$B$2:$V$61,V$1,FALSE)</f>
        <v>0</v>
      </c>
      <c r="W15" s="56">
        <f t="shared" si="0"/>
        <v>9.5307520000000014</v>
      </c>
      <c r="AC15" s="59" t="s">
        <v>380</v>
      </c>
    </row>
    <row r="16" spans="1:33" ht="15.75">
      <c r="A16" s="705"/>
      <c r="B16" s="188"/>
      <c r="C16" s="67" t="s">
        <v>321</v>
      </c>
      <c r="D16" s="66">
        <f>VLOOKUP('AggrStep1-energy'!$C16,'Energia PJ'!$B$2:$V$61,D$1,FALSE)</f>
        <v>0</v>
      </c>
      <c r="E16" s="66">
        <f>VLOOKUP('AggrStep1-energy'!$C16,'Energia PJ'!$B$2:$V$61,E$1,FALSE)</f>
        <v>0</v>
      </c>
      <c r="F16" s="66">
        <f>VLOOKUP('AggrStep1-energy'!$C16,'Energia PJ'!$B$2:$V$61,F$1,FALSE)</f>
        <v>0</v>
      </c>
      <c r="G16" s="66">
        <f>VLOOKUP('AggrStep1-energy'!$C16,'Energia PJ'!$B$2:$V$61,G$1,FALSE)</f>
        <v>0</v>
      </c>
      <c r="H16" s="66">
        <f>VLOOKUP('AggrStep1-energy'!$C16,'Energia PJ'!$B$2:$V$61,H$1,FALSE)</f>
        <v>0</v>
      </c>
      <c r="I16" s="66">
        <f>VLOOKUP('AggrStep1-energy'!$C16,'Energia PJ'!$B$2:$V$61,I$1,FALSE)</f>
        <v>0</v>
      </c>
      <c r="J16" s="66">
        <f>VLOOKUP('AggrStep1-energy'!$C16,'Energia PJ'!$B$2:$V$61,J$1,FALSE)</f>
        <v>0.82255599999999995</v>
      </c>
      <c r="K16" s="66">
        <f>VLOOKUP('AggrStep1-energy'!$C16,'Energia PJ'!$B$2:$V$61,K$1,FALSE)</f>
        <v>7.875</v>
      </c>
      <c r="L16" s="66">
        <f>VLOOKUP('AggrStep1-energy'!$C16,'Energia PJ'!$B$2:$V$61,L$1,FALSE)</f>
        <v>0</v>
      </c>
      <c r="M16" s="66">
        <f>VLOOKUP('AggrStep1-energy'!$C16,'Energia PJ'!$B$2:$V$61,M$1,FALSE)</f>
        <v>0</v>
      </c>
      <c r="N16" s="66">
        <f>VLOOKUP('AggrStep1-energy'!$C16,'Energia PJ'!$B$2:$V$61,N$1,FALSE)</f>
        <v>0.54942100000000005</v>
      </c>
      <c r="O16" s="66">
        <f>VLOOKUP('AggrStep1-energy'!$C16,'Energia PJ'!$B$2:$V$61,O$1,FALSE)</f>
        <v>0</v>
      </c>
      <c r="P16" s="66">
        <f>VLOOKUP('AggrStep1-energy'!$C16,'Energia PJ'!$B$2:$V$61,P$1,FALSE)</f>
        <v>4.7320000000000002</v>
      </c>
      <c r="Q16" s="66">
        <f>VLOOKUP('AggrStep1-energy'!$C16,'Energia PJ'!$B$2:$V$61,Q$1,FALSE)</f>
        <v>0</v>
      </c>
      <c r="R16" s="66">
        <f>VLOOKUP('AggrStep1-energy'!$C16,'Energia PJ'!$B$2:$V$61,R$1,FALSE)</f>
        <v>0</v>
      </c>
      <c r="S16" s="66">
        <f>VLOOKUP('AggrStep1-energy'!$C16,'Energia PJ'!$B$2:$V$61,S$1,FALSE)</f>
        <v>0</v>
      </c>
      <c r="T16" s="66">
        <f>VLOOKUP('AggrStep1-energy'!$C16,'Energia PJ'!$B$2:$V$61,T$1,FALSE)</f>
        <v>0</v>
      </c>
      <c r="U16" s="66">
        <f>VLOOKUP('AggrStep1-energy'!$C16,'Energia PJ'!$B$2:$V$61,U$1,FALSE)</f>
        <v>0</v>
      </c>
      <c r="V16" s="66">
        <f>VLOOKUP('AggrStep1-energy'!$C16,'Energia PJ'!$B$2:$V$61,V$1,FALSE)</f>
        <v>0</v>
      </c>
      <c r="W16" s="56">
        <f t="shared" si="0"/>
        <v>13.978977</v>
      </c>
      <c r="X16" s="53"/>
      <c r="Y16" s="53"/>
      <c r="Z16" s="53"/>
      <c r="AA16" s="53"/>
      <c r="AB16" s="53"/>
    </row>
    <row r="17" spans="1:31" ht="15.75">
      <c r="A17" s="705"/>
      <c r="B17" s="188"/>
      <c r="C17" s="67" t="s">
        <v>314</v>
      </c>
      <c r="D17" s="66">
        <f>VLOOKUP('AggrStep1-energy'!$C17,'Energia PJ'!$B$2:$V$61,D$1,FALSE)</f>
        <v>0</v>
      </c>
      <c r="E17" s="66">
        <f>VLOOKUP('AggrStep1-energy'!$C17,'Energia PJ'!$B$2:$V$61,E$1,FALSE)</f>
        <v>0</v>
      </c>
      <c r="F17" s="66">
        <f>VLOOKUP('AggrStep1-energy'!$C17,'Energia PJ'!$B$2:$V$61,F$1,FALSE)</f>
        <v>0</v>
      </c>
      <c r="G17" s="66">
        <f>VLOOKUP('AggrStep1-energy'!$C17,'Energia PJ'!$B$2:$V$61,G$1,FALSE)</f>
        <v>0.50555899999999998</v>
      </c>
      <c r="H17" s="66">
        <f>VLOOKUP('AggrStep1-energy'!$C17,'Energia PJ'!$B$2:$V$61,H$1,FALSE)</f>
        <v>0</v>
      </c>
      <c r="I17" s="66">
        <f>VLOOKUP('AggrStep1-energy'!$C17,'Energia PJ'!$B$2:$V$61,I$1,FALSE)</f>
        <v>0</v>
      </c>
      <c r="J17" s="66">
        <f>VLOOKUP('AggrStep1-energy'!$C17,'Energia PJ'!$B$2:$V$61,J$1,FALSE)</f>
        <v>1.942977</v>
      </c>
      <c r="K17" s="66">
        <f>VLOOKUP('AggrStep1-energy'!$C17,'Energia PJ'!$B$2:$V$61,K$1,FALSE)</f>
        <v>1.6479999999999999</v>
      </c>
      <c r="L17" s="66">
        <f>VLOOKUP('AggrStep1-energy'!$C17,'Energia PJ'!$B$2:$V$61,L$1,FALSE)</f>
        <v>0</v>
      </c>
      <c r="M17" s="66">
        <f>VLOOKUP('AggrStep1-energy'!$C17,'Energia PJ'!$B$2:$V$61,M$1,FALSE)</f>
        <v>0</v>
      </c>
      <c r="N17" s="66">
        <f>VLOOKUP('AggrStep1-energy'!$C17,'Energia PJ'!$B$2:$V$61,N$1,FALSE)</f>
        <v>1.8652999999999999E-2</v>
      </c>
      <c r="O17" s="66">
        <f>VLOOKUP('AggrStep1-energy'!$C17,'Energia PJ'!$B$2:$V$61,O$1,FALSE)</f>
        <v>0</v>
      </c>
      <c r="P17" s="66">
        <f>VLOOKUP('AggrStep1-energy'!$C17,'Energia PJ'!$B$2:$V$61,P$1,FALSE)</f>
        <v>5.4610000000000003</v>
      </c>
      <c r="Q17" s="66">
        <f>VLOOKUP('AggrStep1-energy'!$C17,'Energia PJ'!$B$2:$V$61,Q$1,FALSE)</f>
        <v>0</v>
      </c>
      <c r="R17" s="66">
        <f>VLOOKUP('AggrStep1-energy'!$C17,'Energia PJ'!$B$2:$V$61,R$1,FALSE)</f>
        <v>0</v>
      </c>
      <c r="S17" s="66">
        <f>VLOOKUP('AggrStep1-energy'!$C17,'Energia PJ'!$B$2:$V$61,S$1,FALSE)</f>
        <v>0</v>
      </c>
      <c r="T17" s="66">
        <f>VLOOKUP('AggrStep1-energy'!$C17,'Energia PJ'!$B$2:$V$61,T$1,FALSE)</f>
        <v>0</v>
      </c>
      <c r="U17" s="66">
        <f>VLOOKUP('AggrStep1-energy'!$C17,'Energia PJ'!$B$2:$V$61,U$1,FALSE)</f>
        <v>0</v>
      </c>
      <c r="V17" s="66">
        <f>VLOOKUP('AggrStep1-energy'!$C17,'Energia PJ'!$B$2:$V$61,V$1,FALSE)</f>
        <v>0</v>
      </c>
      <c r="W17" s="56">
        <f t="shared" si="0"/>
        <v>9.5761889999999994</v>
      </c>
      <c r="X17" s="58"/>
      <c r="Y17" s="58"/>
      <c r="Z17" s="58"/>
      <c r="AA17" s="58"/>
      <c r="AB17" s="54"/>
      <c r="AC17" s="63" t="s">
        <v>375</v>
      </c>
      <c r="AD17" s="63" t="s">
        <v>376</v>
      </c>
      <c r="AE17" s="63" t="s">
        <v>242</v>
      </c>
    </row>
    <row r="18" spans="1:31" ht="15.75">
      <c r="A18" s="705"/>
      <c r="B18" s="188"/>
      <c r="C18" s="67" t="s">
        <v>308</v>
      </c>
      <c r="D18" s="66">
        <f>VLOOKUP('AggrStep1-energy'!$C18,'Energia PJ'!$B$2:$V$61,D$1,FALSE)</f>
        <v>0</v>
      </c>
      <c r="E18" s="66">
        <f>VLOOKUP('AggrStep1-energy'!$C18,'Energia PJ'!$B$2:$V$61,E$1,FALSE)</f>
        <v>0</v>
      </c>
      <c r="F18" s="66">
        <f>VLOOKUP('AggrStep1-energy'!$C18,'Energia PJ'!$B$2:$V$61,F$1,FALSE)</f>
        <v>0</v>
      </c>
      <c r="G18" s="66">
        <f>VLOOKUP('AggrStep1-energy'!$C18,'Energia PJ'!$B$2:$V$61,G$1,FALSE)</f>
        <v>0</v>
      </c>
      <c r="H18" s="66">
        <f>VLOOKUP('AggrStep1-energy'!$C18,'Energia PJ'!$B$2:$V$61,H$1,FALSE)</f>
        <v>0</v>
      </c>
      <c r="I18" s="66">
        <f>VLOOKUP('AggrStep1-energy'!$C18,'Energia PJ'!$B$2:$V$61,I$1,FALSE)</f>
        <v>0</v>
      </c>
      <c r="J18" s="66">
        <f>VLOOKUP('AggrStep1-energy'!$C18,'Energia PJ'!$B$2:$V$61,J$1,FALSE)</f>
        <v>0.162296</v>
      </c>
      <c r="K18" s="66">
        <f>VLOOKUP('AggrStep1-energy'!$C18,'Energia PJ'!$B$2:$V$61,K$1,FALSE)</f>
        <v>0.47499999999999998</v>
      </c>
      <c r="L18" s="66">
        <f>VLOOKUP('AggrStep1-energy'!$C18,'Energia PJ'!$B$2:$V$61,L$1,FALSE)</f>
        <v>0</v>
      </c>
      <c r="M18" s="66">
        <f>VLOOKUP('AggrStep1-energy'!$C18,'Energia PJ'!$B$2:$V$61,M$1,FALSE)</f>
        <v>0</v>
      </c>
      <c r="N18" s="66">
        <f>VLOOKUP('AggrStep1-energy'!$C18,'Energia PJ'!$B$2:$V$61,N$1,FALSE)</f>
        <v>0</v>
      </c>
      <c r="O18" s="66">
        <f>VLOOKUP('AggrStep1-energy'!$C18,'Energia PJ'!$B$2:$V$61,O$1,FALSE)</f>
        <v>0</v>
      </c>
      <c r="P18" s="66">
        <f>VLOOKUP('AggrStep1-energy'!$C18,'Energia PJ'!$B$2:$V$61,P$1,FALSE)</f>
        <v>0.51700000000000002</v>
      </c>
      <c r="Q18" s="66">
        <f>VLOOKUP('AggrStep1-energy'!$C18,'Energia PJ'!$B$2:$V$61,Q$1,FALSE)</f>
        <v>0</v>
      </c>
      <c r="R18" s="66">
        <f>VLOOKUP('AggrStep1-energy'!$C18,'Energia PJ'!$B$2:$V$61,R$1,FALSE)</f>
        <v>0</v>
      </c>
      <c r="S18" s="66">
        <f>VLOOKUP('AggrStep1-energy'!$C18,'Energia PJ'!$B$2:$V$61,S$1,FALSE)</f>
        <v>0</v>
      </c>
      <c r="T18" s="66">
        <f>VLOOKUP('AggrStep1-energy'!$C18,'Energia PJ'!$B$2:$V$61,T$1,FALSE)</f>
        <v>0</v>
      </c>
      <c r="U18" s="66">
        <f>VLOOKUP('AggrStep1-energy'!$C18,'Energia PJ'!$B$2:$V$61,U$1,FALSE)</f>
        <v>0</v>
      </c>
      <c r="V18" s="66">
        <f>VLOOKUP('AggrStep1-energy'!$C18,'Energia PJ'!$B$2:$V$61,V$1,FALSE)</f>
        <v>0</v>
      </c>
      <c r="W18" s="56">
        <f t="shared" si="0"/>
        <v>1.154296</v>
      </c>
      <c r="X18" s="58"/>
      <c r="Y18" s="58"/>
      <c r="Z18" s="58"/>
      <c r="AA18" s="58"/>
      <c r="AB18" s="54"/>
      <c r="AC18" s="70" t="s">
        <v>211</v>
      </c>
      <c r="AD18" s="66">
        <v>33.242925729969272</v>
      </c>
      <c r="AE18" s="71">
        <v>0.68431626466710116</v>
      </c>
    </row>
    <row r="19" spans="1:31" ht="15.75">
      <c r="A19" s="705"/>
      <c r="B19" s="188"/>
      <c r="C19" s="67" t="s">
        <v>300</v>
      </c>
      <c r="D19" s="66">
        <f>VLOOKUP('AggrStep1-energy'!$C19,'Energia PJ'!$B$2:$V$61,D$1,FALSE)</f>
        <v>0</v>
      </c>
      <c r="E19" s="66">
        <f>VLOOKUP('AggrStep1-energy'!$C19,'Energia PJ'!$B$2:$V$61,E$1,FALSE)</f>
        <v>0</v>
      </c>
      <c r="F19" s="66">
        <f>VLOOKUP('AggrStep1-energy'!$C19,'Energia PJ'!$B$2:$V$61,F$1,FALSE)</f>
        <v>0</v>
      </c>
      <c r="G19" s="66">
        <f>VLOOKUP('AggrStep1-energy'!$C19,'Energia PJ'!$B$2:$V$61,G$1,FALSE)</f>
        <v>8.7880000000000007E-3</v>
      </c>
      <c r="H19" s="66">
        <f>VLOOKUP('AggrStep1-energy'!$C19,'Energia PJ'!$B$2:$V$61,H$1,FALSE)</f>
        <v>0</v>
      </c>
      <c r="I19" s="66">
        <f>VLOOKUP('AggrStep1-energy'!$C19,'Energia PJ'!$B$2:$V$61,I$1,FALSE)</f>
        <v>0</v>
      </c>
      <c r="J19" s="66">
        <f>VLOOKUP('AggrStep1-energy'!$C19,'Energia PJ'!$B$2:$V$61,J$1,FALSE)</f>
        <v>0</v>
      </c>
      <c r="K19" s="66">
        <f>VLOOKUP('AggrStep1-energy'!$C19,'Energia PJ'!$B$2:$V$61,K$1,FALSE)</f>
        <v>0.24199999999999999</v>
      </c>
      <c r="L19" s="66">
        <f>VLOOKUP('AggrStep1-energy'!$C19,'Energia PJ'!$B$2:$V$61,L$1,FALSE)</f>
        <v>0</v>
      </c>
      <c r="M19" s="66">
        <f>VLOOKUP('AggrStep1-energy'!$C19,'Energia PJ'!$B$2:$V$61,M$1,FALSE)</f>
        <v>0</v>
      </c>
      <c r="N19" s="66">
        <f>VLOOKUP('AggrStep1-energy'!$C19,'Energia PJ'!$B$2:$V$61,N$1,FALSE)</f>
        <v>0</v>
      </c>
      <c r="O19" s="66">
        <f>VLOOKUP('AggrStep1-energy'!$C19,'Energia PJ'!$B$2:$V$61,O$1,FALSE)</f>
        <v>0</v>
      </c>
      <c r="P19" s="66">
        <f>VLOOKUP('AggrStep1-energy'!$C19,'Energia PJ'!$B$2:$V$61,P$1,FALSE)</f>
        <v>0.27300000000000002</v>
      </c>
      <c r="Q19" s="66">
        <f>VLOOKUP('AggrStep1-energy'!$C19,'Energia PJ'!$B$2:$V$61,Q$1,FALSE)</f>
        <v>0</v>
      </c>
      <c r="R19" s="66">
        <f>VLOOKUP('AggrStep1-energy'!$C19,'Energia PJ'!$B$2:$V$61,R$1,FALSE)</f>
        <v>0</v>
      </c>
      <c r="S19" s="66">
        <f>VLOOKUP('AggrStep1-energy'!$C19,'Energia PJ'!$B$2:$V$61,S$1,FALSE)</f>
        <v>0</v>
      </c>
      <c r="T19" s="66">
        <f>VLOOKUP('AggrStep1-energy'!$C19,'Energia PJ'!$B$2:$V$61,T$1,FALSE)</f>
        <v>0</v>
      </c>
      <c r="U19" s="66">
        <f>VLOOKUP('AggrStep1-energy'!$C19,'Energia PJ'!$B$2:$V$61,U$1,FALSE)</f>
        <v>0</v>
      </c>
      <c r="V19" s="66">
        <f>VLOOKUP('AggrStep1-energy'!$C19,'Energia PJ'!$B$2:$V$61,V$1,FALSE)</f>
        <v>0</v>
      </c>
      <c r="W19" s="56">
        <f t="shared" si="0"/>
        <v>0.52378800000000003</v>
      </c>
      <c r="X19" s="58"/>
      <c r="Y19" s="58"/>
      <c r="Z19" s="58"/>
      <c r="AA19" s="58"/>
      <c r="AB19" s="54"/>
      <c r="AC19" s="70" t="s">
        <v>377</v>
      </c>
      <c r="AD19" s="66">
        <v>2.6309999999999998</v>
      </c>
      <c r="AE19" s="71">
        <v>5.4159976981689312E-2</v>
      </c>
    </row>
    <row r="20" spans="1:31" ht="15.75">
      <c r="A20" s="705"/>
      <c r="B20" s="188"/>
      <c r="C20" s="67" t="s">
        <v>298</v>
      </c>
      <c r="D20" s="66">
        <f>VLOOKUP('AggrStep1-energy'!$C20,'Energia PJ'!$B$2:$V$61,D$1,FALSE)</f>
        <v>0</v>
      </c>
      <c r="E20" s="66">
        <f>VLOOKUP('AggrStep1-energy'!$C20,'Energia PJ'!$B$2:$V$61,E$1,FALSE)</f>
        <v>0</v>
      </c>
      <c r="F20" s="66">
        <f>VLOOKUP('AggrStep1-energy'!$C20,'Energia PJ'!$B$2:$V$61,F$1,FALSE)</f>
        <v>0</v>
      </c>
      <c r="G20" s="66">
        <f>VLOOKUP('AggrStep1-energy'!$C20,'Energia PJ'!$B$2:$V$61,G$1,FALSE)</f>
        <v>0</v>
      </c>
      <c r="H20" s="66">
        <f>VLOOKUP('AggrStep1-energy'!$C20,'Energia PJ'!$B$2:$V$61,H$1,FALSE)</f>
        <v>0</v>
      </c>
      <c r="I20" s="66">
        <f>VLOOKUP('AggrStep1-energy'!$C20,'Energia PJ'!$B$2:$V$61,I$1,FALSE)</f>
        <v>0</v>
      </c>
      <c r="J20" s="66">
        <f>VLOOKUP('AggrStep1-energy'!$C20,'Energia PJ'!$B$2:$V$61,J$1,FALSE)</f>
        <v>4.3962430000000001</v>
      </c>
      <c r="K20" s="66">
        <f>VLOOKUP('AggrStep1-energy'!$C20,'Energia PJ'!$B$2:$V$61,K$1,FALSE)</f>
        <v>50.081000000000003</v>
      </c>
      <c r="L20" s="66">
        <f>VLOOKUP('AggrStep1-energy'!$C20,'Energia PJ'!$B$2:$V$61,L$1,FALSE)</f>
        <v>0</v>
      </c>
      <c r="M20" s="66">
        <f>VLOOKUP('AggrStep1-energy'!$C20,'Energia PJ'!$B$2:$V$61,M$1,FALSE)</f>
        <v>2.819</v>
      </c>
      <c r="N20" s="66">
        <f>VLOOKUP('AggrStep1-energy'!$C20,'Energia PJ'!$B$2:$V$61,N$1,FALSE)</f>
        <v>65.030894000000004</v>
      </c>
      <c r="O20" s="66">
        <f>VLOOKUP('AggrStep1-energy'!$C20,'Energia PJ'!$B$2:$V$61,O$1,FALSE)</f>
        <v>0</v>
      </c>
      <c r="P20" s="66">
        <f>VLOOKUP('AggrStep1-energy'!$C20,'Energia PJ'!$B$2:$V$61,P$1,FALSE)</f>
        <v>11.097</v>
      </c>
      <c r="Q20" s="66">
        <f>VLOOKUP('AggrStep1-energy'!$C20,'Energia PJ'!$B$2:$V$61,Q$1,FALSE)</f>
        <v>0</v>
      </c>
      <c r="R20" s="66">
        <f>VLOOKUP('AggrStep1-energy'!$C20,'Energia PJ'!$B$2:$V$61,R$1,FALSE)</f>
        <v>0</v>
      </c>
      <c r="S20" s="66">
        <f>VLOOKUP('AggrStep1-energy'!$C20,'Energia PJ'!$B$2:$V$61,S$1,FALSE)</f>
        <v>0</v>
      </c>
      <c r="T20" s="66">
        <f>VLOOKUP('AggrStep1-energy'!$C20,'Energia PJ'!$B$2:$V$61,T$1,FALSE)</f>
        <v>0</v>
      </c>
      <c r="U20" s="66">
        <f>VLOOKUP('AggrStep1-energy'!$C20,'Energia PJ'!$B$2:$V$61,U$1,FALSE)</f>
        <v>0</v>
      </c>
      <c r="V20" s="66">
        <f>VLOOKUP('AggrStep1-energy'!$C20,'Energia PJ'!$B$2:$V$61,V$1,FALSE)</f>
        <v>0</v>
      </c>
      <c r="W20" s="56">
        <f t="shared" si="0"/>
        <v>133.424137</v>
      </c>
      <c r="X20" s="58"/>
      <c r="Y20" s="58"/>
      <c r="Z20" s="58"/>
      <c r="AA20" s="58"/>
      <c r="AB20" s="54"/>
      <c r="AC20" s="70" t="s">
        <v>378</v>
      </c>
      <c r="AD20" s="66">
        <v>12.7043814744356</v>
      </c>
      <c r="AE20" s="71">
        <v>0.2615237583512095</v>
      </c>
    </row>
    <row r="21" spans="1:31" ht="15.75">
      <c r="A21" s="705"/>
      <c r="B21" s="188"/>
      <c r="C21" s="67" t="s">
        <v>281</v>
      </c>
      <c r="D21" s="66">
        <f>VLOOKUP('AggrStep1-energy'!$C21,'Energia PJ'!$B$2:$V$61,D$1,FALSE)</f>
        <v>0</v>
      </c>
      <c r="E21" s="66">
        <f>VLOOKUP('AggrStep1-energy'!$C21,'Energia PJ'!$B$2:$V$61,E$1,FALSE)</f>
        <v>0</v>
      </c>
      <c r="F21" s="66">
        <f>VLOOKUP('AggrStep1-energy'!$C21,'Energia PJ'!$B$2:$V$61,F$1,FALSE)</f>
        <v>0</v>
      </c>
      <c r="G21" s="66">
        <f>VLOOKUP('AggrStep1-energy'!$C21,'Energia PJ'!$B$2:$V$61,G$1,FALSE)</f>
        <v>0</v>
      </c>
      <c r="H21" s="66">
        <f>VLOOKUP('AggrStep1-energy'!$C21,'Energia PJ'!$B$2:$V$61,H$1,FALSE)</f>
        <v>0</v>
      </c>
      <c r="I21" s="66">
        <f>VLOOKUP('AggrStep1-energy'!$C21,'Energia PJ'!$B$2:$V$61,I$1,FALSE)</f>
        <v>0</v>
      </c>
      <c r="J21" s="66">
        <f>VLOOKUP('AggrStep1-energy'!$C21,'Energia PJ'!$B$2:$V$61,J$1,FALSE)</f>
        <v>0</v>
      </c>
      <c r="K21" s="66">
        <f>VLOOKUP('AggrStep1-energy'!$C21,'Energia PJ'!$B$2:$V$61,K$1,FALSE)</f>
        <v>191.13900000000001</v>
      </c>
      <c r="L21" s="66">
        <f>VLOOKUP('AggrStep1-energy'!$C21,'Energia PJ'!$B$2:$V$61,L$1,FALSE)</f>
        <v>0</v>
      </c>
      <c r="M21" s="66">
        <f>VLOOKUP('AggrStep1-energy'!$C21,'Energia PJ'!$B$2:$V$61,M$1,FALSE)</f>
        <v>4.0359999999999996</v>
      </c>
      <c r="N21" s="66">
        <f>VLOOKUP('AggrStep1-energy'!$C21,'Energia PJ'!$B$2:$V$61,N$1,FALSE)</f>
        <v>256.95786800000002</v>
      </c>
      <c r="O21" s="66">
        <f>VLOOKUP('AggrStep1-energy'!$C21,'Energia PJ'!$B$2:$V$61,O$1,FALSE)</f>
        <v>0</v>
      </c>
      <c r="P21" s="66">
        <f>VLOOKUP('AggrStep1-energy'!$C21,'Energia PJ'!$B$2:$V$61,P$1,FALSE)</f>
        <v>33.802999999999997</v>
      </c>
      <c r="Q21" s="66">
        <f>VLOOKUP('AggrStep1-energy'!$C21,'Energia PJ'!$B$2:$V$61,Q$1,FALSE)</f>
        <v>0</v>
      </c>
      <c r="R21" s="66">
        <f>VLOOKUP('AggrStep1-energy'!$C21,'Energia PJ'!$B$2:$V$61,R$1,FALSE)</f>
        <v>0</v>
      </c>
      <c r="S21" s="66">
        <f>VLOOKUP('AggrStep1-energy'!$C21,'Energia PJ'!$B$2:$V$61,S$1,FALSE)</f>
        <v>0</v>
      </c>
      <c r="T21" s="66">
        <f>VLOOKUP('AggrStep1-energy'!$C21,'Energia PJ'!$B$2:$V$61,T$1,FALSE)</f>
        <v>255.42239699999999</v>
      </c>
      <c r="U21" s="66">
        <f>VLOOKUP('AggrStep1-energy'!$C21,'Energia PJ'!$B$2:$V$61,U$1,FALSE)</f>
        <v>0</v>
      </c>
      <c r="V21" s="66">
        <f>VLOOKUP('AggrStep1-energy'!$C21,'Energia PJ'!$B$2:$V$61,V$1,FALSE)</f>
        <v>1.351008</v>
      </c>
      <c r="W21" s="56">
        <f t="shared" si="0"/>
        <v>742.70927300000005</v>
      </c>
      <c r="X21" s="58"/>
      <c r="Y21" s="58"/>
      <c r="Z21" s="58"/>
      <c r="AA21" s="58"/>
      <c r="AB21" s="54"/>
      <c r="AC21" s="70" t="s">
        <v>7</v>
      </c>
      <c r="AD21" s="66">
        <v>48.578307204404872</v>
      </c>
      <c r="AE21" s="71">
        <v>1</v>
      </c>
    </row>
    <row r="22" spans="1:31" ht="15.75">
      <c r="A22" s="705"/>
      <c r="B22" s="188"/>
      <c r="C22" s="67" t="s">
        <v>297</v>
      </c>
      <c r="D22" s="66">
        <f>VLOOKUP('AggrStep1-energy'!$C22,'Energia PJ'!$B$2:$V$61,D$1,FALSE)</f>
        <v>0</v>
      </c>
      <c r="E22" s="66">
        <f>VLOOKUP('AggrStep1-energy'!$C22,'Energia PJ'!$B$2:$V$61,E$1,FALSE)</f>
        <v>0</v>
      </c>
      <c r="F22" s="66">
        <f>VLOOKUP('AggrStep1-energy'!$C22,'Energia PJ'!$B$2:$V$61,F$1,FALSE)</f>
        <v>0</v>
      </c>
      <c r="G22" s="66">
        <f>VLOOKUP('AggrStep1-energy'!$C22,'Energia PJ'!$B$2:$V$61,G$1,FALSE)</f>
        <v>0</v>
      </c>
      <c r="H22" s="66">
        <f>VLOOKUP('AggrStep1-energy'!$C22,'Energia PJ'!$B$2:$V$61,H$1,FALSE)</f>
        <v>0</v>
      </c>
      <c r="I22" s="66">
        <f>VLOOKUP('AggrStep1-energy'!$C22,'Energia PJ'!$B$2:$V$61,I$1,FALSE)</f>
        <v>0</v>
      </c>
      <c r="J22" s="66">
        <f>VLOOKUP('AggrStep1-energy'!$C22,'Energia PJ'!$B$2:$V$61,J$1,FALSE)</f>
        <v>0</v>
      </c>
      <c r="K22" s="66">
        <f>VLOOKUP('AggrStep1-energy'!$C22,'Energia PJ'!$B$2:$V$61,K$1,FALSE)</f>
        <v>33.427</v>
      </c>
      <c r="L22" s="66">
        <f>VLOOKUP('AggrStep1-energy'!$C22,'Energia PJ'!$B$2:$V$61,L$1,FALSE)</f>
        <v>0</v>
      </c>
      <c r="M22" s="66">
        <f>VLOOKUP('AggrStep1-energy'!$C22,'Energia PJ'!$B$2:$V$61,M$1,FALSE)</f>
        <v>0</v>
      </c>
      <c r="N22" s="66">
        <f>VLOOKUP('AggrStep1-energy'!$C22,'Energia PJ'!$B$2:$V$61,N$1,FALSE)</f>
        <v>0</v>
      </c>
      <c r="O22" s="66">
        <f>VLOOKUP('AggrStep1-energy'!$C22,'Energia PJ'!$B$2:$V$61,O$1,FALSE)</f>
        <v>0</v>
      </c>
      <c r="P22" s="66">
        <f>VLOOKUP('AggrStep1-energy'!$C22,'Energia PJ'!$B$2:$V$61,P$1,FALSE)</f>
        <v>0</v>
      </c>
      <c r="Q22" s="66">
        <f>VLOOKUP('AggrStep1-energy'!$C22,'Energia PJ'!$B$2:$V$61,Q$1,FALSE)</f>
        <v>0</v>
      </c>
      <c r="R22" s="66">
        <f>VLOOKUP('AggrStep1-energy'!$C22,'Energia PJ'!$B$2:$V$61,R$1,FALSE)</f>
        <v>0</v>
      </c>
      <c r="S22" s="66">
        <f>VLOOKUP('AggrStep1-energy'!$C22,'Energia PJ'!$B$2:$V$61,S$1,FALSE)</f>
        <v>0</v>
      </c>
      <c r="T22" s="66">
        <f>VLOOKUP('AggrStep1-energy'!$C22,'Energia PJ'!$B$2:$V$61,T$1,FALSE)</f>
        <v>0</v>
      </c>
      <c r="U22" s="66">
        <f>VLOOKUP('AggrStep1-energy'!$C22,'Energia PJ'!$B$2:$V$61,U$1,FALSE)</f>
        <v>0</v>
      </c>
      <c r="V22" s="66">
        <f>VLOOKUP('AggrStep1-energy'!$C22,'Energia PJ'!$B$2:$V$61,V$1,FALSE)</f>
        <v>0</v>
      </c>
      <c r="W22" s="56">
        <f t="shared" si="0"/>
        <v>33.427</v>
      </c>
      <c r="X22" s="58"/>
      <c r="Y22" s="58"/>
      <c r="Z22" s="58"/>
      <c r="AA22" s="58"/>
      <c r="AB22" s="54"/>
      <c r="AC22" s="70"/>
      <c r="AD22" s="66"/>
      <c r="AE22" s="71"/>
    </row>
    <row r="23" spans="1:31" ht="15.75">
      <c r="A23" s="705"/>
      <c r="B23" s="188"/>
      <c r="C23" s="67" t="s">
        <v>296</v>
      </c>
      <c r="D23" s="66">
        <f>VLOOKUP('AggrStep1-energy'!$C23,'Energia PJ'!$B$2:$V$61,D$1,FALSE)</f>
        <v>0</v>
      </c>
      <c r="E23" s="66">
        <f>VLOOKUP('AggrStep1-energy'!$C23,'Energia PJ'!$B$2:$V$61,E$1,FALSE)</f>
        <v>0</v>
      </c>
      <c r="F23" s="66">
        <f>VLOOKUP('AggrStep1-energy'!$C23,'Energia PJ'!$B$2:$V$61,F$1,FALSE)</f>
        <v>0</v>
      </c>
      <c r="G23" s="66">
        <f>VLOOKUP('AggrStep1-energy'!$C23,'Energia PJ'!$B$2:$V$61,G$1,FALSE)</f>
        <v>0</v>
      </c>
      <c r="H23" s="66">
        <f>VLOOKUP('AggrStep1-energy'!$C23,'Energia PJ'!$B$2:$V$61,H$1,FALSE)</f>
        <v>0</v>
      </c>
      <c r="I23" s="66">
        <f>VLOOKUP('AggrStep1-energy'!$C23,'Energia PJ'!$B$2:$V$61,I$1,FALSE)</f>
        <v>0</v>
      </c>
      <c r="J23" s="66">
        <f>VLOOKUP('AggrStep1-energy'!$C23,'Energia PJ'!$B$2:$V$61,J$1,FALSE)</f>
        <v>0</v>
      </c>
      <c r="K23" s="66">
        <f>VLOOKUP('AggrStep1-energy'!$C23,'Energia PJ'!$B$2:$V$61,K$1,FALSE)</f>
        <v>0</v>
      </c>
      <c r="L23" s="66">
        <f>VLOOKUP('AggrStep1-energy'!$C23,'Energia PJ'!$B$2:$V$61,L$1,FALSE)</f>
        <v>0</v>
      </c>
      <c r="M23" s="66">
        <f>VLOOKUP('AggrStep1-energy'!$C23,'Energia PJ'!$B$2:$V$61,M$1,FALSE)</f>
        <v>0</v>
      </c>
      <c r="N23" s="66">
        <f>VLOOKUP('AggrStep1-energy'!$C23,'Energia PJ'!$B$2:$V$61,N$1,FALSE)</f>
        <v>0</v>
      </c>
      <c r="O23" s="66">
        <f>VLOOKUP('AggrStep1-energy'!$C23,'Energia PJ'!$B$2:$V$61,O$1,FALSE)</f>
        <v>0</v>
      </c>
      <c r="P23" s="66">
        <f>VLOOKUP('AggrStep1-energy'!$C23,'Energia PJ'!$B$2:$V$61,P$1,FALSE)</f>
        <v>0</v>
      </c>
      <c r="Q23" s="66">
        <f>VLOOKUP('AggrStep1-energy'!$C23,'Energia PJ'!$B$2:$V$61,Q$1,FALSE)</f>
        <v>0.85647499999999999</v>
      </c>
      <c r="R23" s="66">
        <f>VLOOKUP('AggrStep1-energy'!$C23,'Energia PJ'!$B$2:$V$61,R$1,FALSE)</f>
        <v>0</v>
      </c>
      <c r="S23" s="66">
        <f>VLOOKUP('AggrStep1-energy'!$C23,'Energia PJ'!$B$2:$V$61,S$1,FALSE)</f>
        <v>0</v>
      </c>
      <c r="T23" s="66">
        <f>VLOOKUP('AggrStep1-energy'!$C23,'Energia PJ'!$B$2:$V$61,T$1,FALSE)</f>
        <v>0</v>
      </c>
      <c r="U23" s="66">
        <f>VLOOKUP('AggrStep1-energy'!$C23,'Energia PJ'!$B$2:$V$61,U$1,FALSE)</f>
        <v>0</v>
      </c>
      <c r="V23" s="66">
        <f>VLOOKUP('AggrStep1-energy'!$C23,'Energia PJ'!$B$2:$V$61,V$1,FALSE)</f>
        <v>126.329669</v>
      </c>
      <c r="W23" s="56">
        <f t="shared" si="0"/>
        <v>127.186144</v>
      </c>
      <c r="X23" s="58"/>
      <c r="Y23" s="58"/>
      <c r="Z23" s="58"/>
      <c r="AA23" s="58"/>
      <c r="AB23" s="54"/>
      <c r="AC23" s="70" t="s">
        <v>375</v>
      </c>
      <c r="AD23" s="56" t="s">
        <v>379</v>
      </c>
      <c r="AE23" s="62" t="s">
        <v>242</v>
      </c>
    </row>
    <row r="24" spans="1:31" ht="15.75">
      <c r="A24" s="705"/>
      <c r="B24" s="188"/>
      <c r="C24" s="77" t="s">
        <v>227</v>
      </c>
      <c r="D24" s="66">
        <f>VLOOKUP('AggrStep1-energy'!$C24,'Energia PJ'!$B$2:$V$61,D$1,FALSE)</f>
        <v>0</v>
      </c>
      <c r="E24" s="66">
        <f>VLOOKUP('AggrStep1-energy'!$C24,'Energia PJ'!$B$2:$V$61,E$1,FALSE)</f>
        <v>0</v>
      </c>
      <c r="F24" s="66">
        <f>VLOOKUP('AggrStep1-energy'!$C24,'Energia PJ'!$B$2:$V$61,F$1,FALSE)</f>
        <v>0</v>
      </c>
      <c r="G24" s="66">
        <f>VLOOKUP('AggrStep1-energy'!$C24,'Energia PJ'!$B$2:$V$61,G$1,FALSE)</f>
        <v>0</v>
      </c>
      <c r="H24" s="66">
        <f>VLOOKUP('AggrStep1-energy'!$C24,'Energia PJ'!$B$2:$V$61,H$1,FALSE)</f>
        <v>0</v>
      </c>
      <c r="I24" s="66">
        <f>VLOOKUP('AggrStep1-energy'!$C24,'Energia PJ'!$B$2:$V$61,I$1,FALSE)</f>
        <v>0</v>
      </c>
      <c r="J24" s="66">
        <f>VLOOKUP('AggrStep1-energy'!$C24,'Energia PJ'!$B$2:$V$61,J$1,FALSE)</f>
        <v>115.550152</v>
      </c>
      <c r="K24" s="66">
        <f>VLOOKUP('AggrStep1-energy'!$C24,'Energia PJ'!$B$2:$V$61,K$1,FALSE)</f>
        <v>37.027999999999999</v>
      </c>
      <c r="L24" s="66">
        <f>VLOOKUP('AggrStep1-energy'!$C24,'Energia PJ'!$B$2:$V$61,L$1,FALSE)</f>
        <v>0</v>
      </c>
      <c r="M24" s="66">
        <f>VLOOKUP('AggrStep1-energy'!$C24,'Energia PJ'!$B$2:$V$61,M$1,FALSE)</f>
        <v>0</v>
      </c>
      <c r="N24" s="66">
        <f>VLOOKUP('AggrStep1-energy'!$C24,'Energia PJ'!$B$2:$V$61,N$1,FALSE)</f>
        <v>6.0288570000000004</v>
      </c>
      <c r="O24" s="66">
        <f>VLOOKUP('AggrStep1-energy'!$C24,'Energia PJ'!$B$2:$V$61,O$1,FALSE)</f>
        <v>0</v>
      </c>
      <c r="P24" s="66">
        <f>VLOOKUP('AggrStep1-energy'!$C24,'Energia PJ'!$B$2:$V$61,P$1,FALSE)</f>
        <v>0</v>
      </c>
      <c r="Q24" s="66">
        <f>VLOOKUP('AggrStep1-energy'!$C24,'Energia PJ'!$B$2:$V$61,Q$1,FALSE)</f>
        <v>0</v>
      </c>
      <c r="R24" s="66">
        <f>VLOOKUP('AggrStep1-energy'!$C24,'Energia PJ'!$B$2:$V$61,R$1,FALSE)</f>
        <v>0</v>
      </c>
      <c r="S24" s="66">
        <f>VLOOKUP('AggrStep1-energy'!$C24,'Energia PJ'!$B$2:$V$61,S$1,FALSE)</f>
        <v>0</v>
      </c>
      <c r="T24" s="66">
        <f>VLOOKUP('AggrStep1-energy'!$C24,'Energia PJ'!$B$2:$V$61,T$1,FALSE)</f>
        <v>0</v>
      </c>
      <c r="U24" s="66">
        <f>VLOOKUP('AggrStep1-energy'!$C24,'Energia PJ'!$B$2:$V$61,U$1,FALSE)</f>
        <v>0</v>
      </c>
      <c r="V24" s="66">
        <f>VLOOKUP('AggrStep1-energy'!$C24,'Energia PJ'!$B$2:$V$61,V$1,FALSE)</f>
        <v>8.1239999999999993E-3</v>
      </c>
      <c r="W24" s="56">
        <f t="shared" si="0"/>
        <v>158.61513299999999</v>
      </c>
      <c r="X24" s="58"/>
      <c r="Y24" s="58"/>
      <c r="Z24" s="58"/>
      <c r="AA24" s="58"/>
      <c r="AB24" s="54"/>
      <c r="AC24" s="70" t="s">
        <v>378</v>
      </c>
      <c r="AD24" s="66">
        <v>5.5869501134362121E-3</v>
      </c>
      <c r="AE24" s="71">
        <v>5.4996730457973105E-2</v>
      </c>
    </row>
    <row r="25" spans="1:31" ht="15.75">
      <c r="A25" s="705"/>
      <c r="B25" s="188"/>
      <c r="C25" s="77" t="s">
        <v>280</v>
      </c>
      <c r="D25" s="66">
        <f>VLOOKUP('AggrStep1-energy'!$C25,'Energia PJ'!$B$2:$V$61,D$1,FALSE)</f>
        <v>0</v>
      </c>
      <c r="E25" s="66">
        <f>VLOOKUP('AggrStep1-energy'!$C25,'Energia PJ'!$B$2:$V$61,E$1,FALSE)</f>
        <v>0</v>
      </c>
      <c r="F25" s="66">
        <f>VLOOKUP('AggrStep1-energy'!$C25,'Energia PJ'!$B$2:$V$61,F$1,FALSE)</f>
        <v>0</v>
      </c>
      <c r="G25" s="66">
        <f>VLOOKUP('AggrStep1-energy'!$C25,'Energia PJ'!$B$2:$V$61,G$1,FALSE)</f>
        <v>0</v>
      </c>
      <c r="H25" s="66">
        <f>VLOOKUP('AggrStep1-energy'!$C25,'Energia PJ'!$B$2:$V$61,H$1,FALSE)</f>
        <v>0</v>
      </c>
      <c r="I25" s="66">
        <f>VLOOKUP('AggrStep1-energy'!$C25,'Energia PJ'!$B$2:$V$61,I$1,FALSE)</f>
        <v>0</v>
      </c>
      <c r="J25" s="66">
        <f>VLOOKUP('AggrStep1-energy'!$C25,'Energia PJ'!$B$2:$V$61,J$1,FALSE)</f>
        <v>548.57963900000004</v>
      </c>
      <c r="K25" s="66">
        <f>VLOOKUP('AggrStep1-energy'!$C25,'Energia PJ'!$B$2:$V$61,K$1,FALSE)</f>
        <v>0</v>
      </c>
      <c r="L25" s="66">
        <f>VLOOKUP('AggrStep1-energy'!$C25,'Energia PJ'!$B$2:$V$61,L$1,FALSE)</f>
        <v>0</v>
      </c>
      <c r="M25" s="66">
        <f>VLOOKUP('AggrStep1-energy'!$C25,'Energia PJ'!$B$2:$V$61,M$1,FALSE)</f>
        <v>0</v>
      </c>
      <c r="N25" s="66">
        <f>VLOOKUP('AggrStep1-energy'!$C25,'Energia PJ'!$B$2:$V$61,N$1,FALSE)</f>
        <v>54.098236</v>
      </c>
      <c r="O25" s="66">
        <f>VLOOKUP('AggrStep1-energy'!$C25,'Energia PJ'!$B$2:$V$61,O$1,FALSE)</f>
        <v>0</v>
      </c>
      <c r="P25" s="66">
        <f>VLOOKUP('AggrStep1-energy'!$C25,'Energia PJ'!$B$2:$V$61,P$1,FALSE)</f>
        <v>0.86699999999999999</v>
      </c>
      <c r="Q25" s="66">
        <f>VLOOKUP('AggrStep1-energy'!$C25,'Energia PJ'!$B$2:$V$61,Q$1,FALSE)</f>
        <v>1471.103975</v>
      </c>
      <c r="R25" s="66">
        <f>VLOOKUP('AggrStep1-energy'!$C25,'Energia PJ'!$B$2:$V$61,R$1,FALSE)</f>
        <v>0</v>
      </c>
      <c r="S25" s="66">
        <f>VLOOKUP('AggrStep1-energy'!$C25,'Energia PJ'!$B$2:$V$61,S$1,FALSE)</f>
        <v>0</v>
      </c>
      <c r="T25" s="66">
        <f>VLOOKUP('AggrStep1-energy'!$C25,'Energia PJ'!$B$2:$V$61,T$1,FALSE)</f>
        <v>0</v>
      </c>
      <c r="U25" s="66">
        <f>VLOOKUP('AggrStep1-energy'!$C25,'Energia PJ'!$B$2:$V$61,U$1,FALSE)</f>
        <v>0</v>
      </c>
      <c r="V25" s="66">
        <f>VLOOKUP('AggrStep1-energy'!$C25,'Energia PJ'!$B$2:$V$61,V$1,FALSE)</f>
        <v>0</v>
      </c>
      <c r="W25" s="56">
        <f t="shared" si="0"/>
        <v>2074.64885</v>
      </c>
      <c r="X25" s="58"/>
      <c r="Y25" s="58"/>
      <c r="Z25" s="58"/>
      <c r="AA25" s="58"/>
      <c r="AB25" s="54"/>
      <c r="AC25" s="70" t="s">
        <v>209</v>
      </c>
      <c r="AD25" s="66">
        <v>9.6000000000000002E-2</v>
      </c>
      <c r="AE25" s="71">
        <v>0.94500326954202685</v>
      </c>
    </row>
    <row r="26" spans="1:31" ht="15.75">
      <c r="A26" s="705"/>
      <c r="B26" s="188"/>
      <c r="C26" s="77" t="s">
        <v>291</v>
      </c>
      <c r="D26" s="66">
        <f>VLOOKUP('AggrStep1-energy'!$C26,'Energia PJ'!$B$2:$V$61,D$1,FALSE)</f>
        <v>0</v>
      </c>
      <c r="E26" s="66">
        <f>VLOOKUP('AggrStep1-energy'!$C26,'Energia PJ'!$B$2:$V$61,E$1,FALSE)</f>
        <v>0</v>
      </c>
      <c r="F26" s="66">
        <f>VLOOKUP('AggrStep1-energy'!$C26,'Energia PJ'!$B$2:$V$61,F$1,FALSE)</f>
        <v>0</v>
      </c>
      <c r="G26" s="66">
        <f>VLOOKUP('AggrStep1-energy'!$C26,'Energia PJ'!$B$2:$V$61,G$1,FALSE)</f>
        <v>0</v>
      </c>
      <c r="H26" s="66">
        <f>VLOOKUP('AggrStep1-energy'!$C26,'Energia PJ'!$B$2:$V$61,H$1,FALSE)</f>
        <v>0</v>
      </c>
      <c r="I26" s="66">
        <f>VLOOKUP('AggrStep1-energy'!$C26,'Energia PJ'!$B$2:$V$61,I$1,FALSE)</f>
        <v>0</v>
      </c>
      <c r="J26" s="66">
        <f>VLOOKUP('AggrStep1-energy'!$C26,'Energia PJ'!$B$2:$V$61,J$1,FALSE)</f>
        <v>0</v>
      </c>
      <c r="K26" s="66">
        <f>VLOOKUP('AggrStep1-energy'!$C26,'Energia PJ'!$B$2:$V$61,K$1,FALSE)</f>
        <v>4.0659999999999998</v>
      </c>
      <c r="L26" s="66">
        <f>VLOOKUP('AggrStep1-energy'!$C26,'Energia PJ'!$B$2:$V$61,L$1,FALSE)</f>
        <v>0</v>
      </c>
      <c r="M26" s="66">
        <f>VLOOKUP('AggrStep1-energy'!$C26,'Energia PJ'!$B$2:$V$61,M$1,FALSE)</f>
        <v>0</v>
      </c>
      <c r="N26" s="66">
        <f>VLOOKUP('AggrStep1-energy'!$C26,'Energia PJ'!$B$2:$V$61,N$1,FALSE)</f>
        <v>0</v>
      </c>
      <c r="O26" s="66">
        <f>VLOOKUP('AggrStep1-energy'!$C26,'Energia PJ'!$B$2:$V$61,O$1,FALSE)</f>
        <v>0</v>
      </c>
      <c r="P26" s="66">
        <f>VLOOKUP('AggrStep1-energy'!$C26,'Energia PJ'!$B$2:$V$61,P$1,FALSE)</f>
        <v>0</v>
      </c>
      <c r="Q26" s="66">
        <f>VLOOKUP('AggrStep1-energy'!$C26,'Energia PJ'!$B$2:$V$61,Q$1,FALSE)</f>
        <v>0</v>
      </c>
      <c r="R26" s="66">
        <f>VLOOKUP('AggrStep1-energy'!$C26,'Energia PJ'!$B$2:$V$61,R$1,FALSE)</f>
        <v>0</v>
      </c>
      <c r="S26" s="66">
        <f>VLOOKUP('AggrStep1-energy'!$C26,'Energia PJ'!$B$2:$V$61,S$1,FALSE)</f>
        <v>0</v>
      </c>
      <c r="T26" s="66">
        <f>VLOOKUP('AggrStep1-energy'!$C26,'Energia PJ'!$B$2:$V$61,T$1,FALSE)</f>
        <v>0</v>
      </c>
      <c r="U26" s="66">
        <f>VLOOKUP('AggrStep1-energy'!$C26,'Energia PJ'!$B$2:$V$61,U$1,FALSE)</f>
        <v>0</v>
      </c>
      <c r="V26" s="66">
        <f>VLOOKUP('AggrStep1-energy'!$C26,'Energia PJ'!$B$2:$V$61,V$1,FALSE)</f>
        <v>0</v>
      </c>
      <c r="W26" s="56">
        <f t="shared" si="0"/>
        <v>4.0659999999999998</v>
      </c>
      <c r="X26" s="58"/>
      <c r="Y26" s="58"/>
      <c r="Z26" s="58"/>
      <c r="AA26" s="58"/>
      <c r="AB26" s="54"/>
      <c r="AC26" s="70" t="s">
        <v>28</v>
      </c>
      <c r="AD26" s="66">
        <v>0.10158695011343621</v>
      </c>
      <c r="AE26" s="71">
        <v>1</v>
      </c>
    </row>
    <row r="27" spans="1:31" ht="15.75">
      <c r="A27" s="705"/>
      <c r="B27" s="188"/>
      <c r="C27" s="77" t="s">
        <v>295</v>
      </c>
      <c r="D27" s="66">
        <f>VLOOKUP('AggrStep1-energy'!$C27,'Energia PJ'!$B$2:$V$61,D$1,FALSE)</f>
        <v>0</v>
      </c>
      <c r="E27" s="66">
        <f>VLOOKUP('AggrStep1-energy'!$C27,'Energia PJ'!$B$2:$V$61,E$1,FALSE)</f>
        <v>0</v>
      </c>
      <c r="F27" s="66">
        <f>VLOOKUP('AggrStep1-energy'!$C27,'Energia PJ'!$B$2:$V$61,F$1,FALSE)</f>
        <v>0</v>
      </c>
      <c r="G27" s="66">
        <f>VLOOKUP('AggrStep1-energy'!$C27,'Energia PJ'!$B$2:$V$61,G$1,FALSE)</f>
        <v>0</v>
      </c>
      <c r="H27" s="66">
        <f>VLOOKUP('AggrStep1-energy'!$C27,'Energia PJ'!$B$2:$V$61,H$1,FALSE)</f>
        <v>0</v>
      </c>
      <c r="I27" s="66">
        <f>VLOOKUP('AggrStep1-energy'!$C27,'Energia PJ'!$B$2:$V$61,I$1,FALSE)</f>
        <v>0</v>
      </c>
      <c r="J27" s="66">
        <f>VLOOKUP('AggrStep1-energy'!$C27,'Energia PJ'!$B$2:$V$61,J$1,FALSE)</f>
        <v>26.448539</v>
      </c>
      <c r="K27" s="66">
        <f>VLOOKUP('AggrStep1-energy'!$C27,'Energia PJ'!$B$2:$V$61,K$1,FALSE)</f>
        <v>0.161</v>
      </c>
      <c r="L27" s="66">
        <f>VLOOKUP('AggrStep1-energy'!$C27,'Energia PJ'!$B$2:$V$61,L$1,FALSE)</f>
        <v>0</v>
      </c>
      <c r="M27" s="66">
        <f>VLOOKUP('AggrStep1-energy'!$C27,'Energia PJ'!$B$2:$V$61,M$1,FALSE)</f>
        <v>0</v>
      </c>
      <c r="N27" s="66">
        <f>VLOOKUP('AggrStep1-energy'!$C27,'Energia PJ'!$B$2:$V$61,N$1,FALSE)</f>
        <v>0</v>
      </c>
      <c r="O27" s="66">
        <f>VLOOKUP('AggrStep1-energy'!$C27,'Energia PJ'!$B$2:$V$61,O$1,FALSE)</f>
        <v>0</v>
      </c>
      <c r="P27" s="66">
        <f>VLOOKUP('AggrStep1-energy'!$C27,'Energia PJ'!$B$2:$V$61,P$1,FALSE)</f>
        <v>0</v>
      </c>
      <c r="Q27" s="66">
        <f>VLOOKUP('AggrStep1-energy'!$C27,'Energia PJ'!$B$2:$V$61,Q$1,FALSE)</f>
        <v>0</v>
      </c>
      <c r="R27" s="66">
        <f>VLOOKUP('AggrStep1-energy'!$C27,'Energia PJ'!$B$2:$V$61,R$1,FALSE)</f>
        <v>0</v>
      </c>
      <c r="S27" s="66">
        <f>VLOOKUP('AggrStep1-energy'!$C27,'Energia PJ'!$B$2:$V$61,S$1,FALSE)</f>
        <v>0</v>
      </c>
      <c r="T27" s="66">
        <f>VLOOKUP('AggrStep1-energy'!$C27,'Energia PJ'!$B$2:$V$61,T$1,FALSE)</f>
        <v>0</v>
      </c>
      <c r="U27" s="66">
        <f>VLOOKUP('AggrStep1-energy'!$C27,'Energia PJ'!$B$2:$V$61,U$1,FALSE)</f>
        <v>0</v>
      </c>
      <c r="V27" s="66">
        <f>VLOOKUP('AggrStep1-energy'!$C27,'Energia PJ'!$B$2:$V$61,V$1,FALSE)</f>
        <v>0</v>
      </c>
      <c r="W27" s="56">
        <f t="shared" si="0"/>
        <v>26.609539000000002</v>
      </c>
      <c r="X27" s="58"/>
      <c r="Y27" s="58"/>
      <c r="Z27" s="58"/>
      <c r="AA27" s="58"/>
      <c r="AB27" s="54"/>
    </row>
    <row r="28" spans="1:31" ht="15.75">
      <c r="A28" s="705"/>
      <c r="B28" s="188"/>
      <c r="C28" s="77" t="s">
        <v>292</v>
      </c>
      <c r="D28" s="66">
        <f>VLOOKUP('AggrStep1-energy'!$C28,'Energia PJ'!$B$2:$V$61,D$1,FALSE)</f>
        <v>0</v>
      </c>
      <c r="E28" s="66">
        <f>VLOOKUP('AggrStep1-energy'!$C28,'Energia PJ'!$B$2:$V$61,E$1,FALSE)</f>
        <v>0</v>
      </c>
      <c r="F28" s="66">
        <f>VLOOKUP('AggrStep1-energy'!$C28,'Energia PJ'!$B$2:$V$61,F$1,FALSE)</f>
        <v>0</v>
      </c>
      <c r="G28" s="66">
        <f>VLOOKUP('AggrStep1-energy'!$C28,'Energia PJ'!$B$2:$V$61,G$1,FALSE)</f>
        <v>8.1303E-2</v>
      </c>
      <c r="H28" s="66">
        <f>VLOOKUP('AggrStep1-energy'!$C28,'Energia PJ'!$B$2:$V$61,H$1,FALSE)</f>
        <v>0</v>
      </c>
      <c r="I28" s="66">
        <f>VLOOKUP('AggrStep1-energy'!$C28,'Energia PJ'!$B$2:$V$61,I$1,FALSE)</f>
        <v>0</v>
      </c>
      <c r="J28" s="66">
        <f>VLOOKUP('AggrStep1-energy'!$C28,'Energia PJ'!$B$2:$V$61,J$1,FALSE)</f>
        <v>28.674313999999999</v>
      </c>
      <c r="K28" s="66">
        <f>VLOOKUP('AggrStep1-energy'!$C28,'Energia PJ'!$B$2:$V$61,K$1,FALSE)</f>
        <v>0</v>
      </c>
      <c r="L28" s="66">
        <f>VLOOKUP('AggrStep1-energy'!$C28,'Energia PJ'!$B$2:$V$61,L$1,FALSE)</f>
        <v>0</v>
      </c>
      <c r="M28" s="66">
        <f>VLOOKUP('AggrStep1-energy'!$C28,'Energia PJ'!$B$2:$V$61,M$1,FALSE)</f>
        <v>0</v>
      </c>
      <c r="N28" s="66">
        <f>VLOOKUP('AggrStep1-energy'!$C28,'Energia PJ'!$B$2:$V$61,N$1,FALSE)</f>
        <v>0</v>
      </c>
      <c r="O28" s="66">
        <f>VLOOKUP('AggrStep1-energy'!$C28,'Energia PJ'!$B$2:$V$61,O$1,FALSE)</f>
        <v>0</v>
      </c>
      <c r="P28" s="66">
        <f>VLOOKUP('AggrStep1-energy'!$C28,'Energia PJ'!$B$2:$V$61,P$1,FALSE)</f>
        <v>0</v>
      </c>
      <c r="Q28" s="66">
        <f>VLOOKUP('AggrStep1-energy'!$C28,'Energia PJ'!$B$2:$V$61,Q$1,FALSE)</f>
        <v>0</v>
      </c>
      <c r="R28" s="66">
        <f>VLOOKUP('AggrStep1-energy'!$C28,'Energia PJ'!$B$2:$V$61,R$1,FALSE)</f>
        <v>0</v>
      </c>
      <c r="S28" s="66">
        <f>VLOOKUP('AggrStep1-energy'!$C28,'Energia PJ'!$B$2:$V$61,S$1,FALSE)</f>
        <v>0</v>
      </c>
      <c r="T28" s="66">
        <f>VLOOKUP('AggrStep1-energy'!$C28,'Energia PJ'!$B$2:$V$61,T$1,FALSE)</f>
        <v>0</v>
      </c>
      <c r="U28" s="66">
        <f>VLOOKUP('AggrStep1-energy'!$C28,'Energia PJ'!$B$2:$V$61,U$1,FALSE)</f>
        <v>0</v>
      </c>
      <c r="V28" s="66">
        <f>VLOOKUP('AggrStep1-energy'!$C28,'Energia PJ'!$B$2:$V$61,V$1,FALSE)</f>
        <v>0</v>
      </c>
      <c r="W28" s="64">
        <f t="shared" si="0"/>
        <v>28.755616999999997</v>
      </c>
      <c r="X28" s="58"/>
      <c r="Y28" s="58"/>
      <c r="Z28" s="58"/>
      <c r="AA28" s="58"/>
      <c r="AB28" s="54"/>
    </row>
    <row r="29" spans="1:31" ht="15.75">
      <c r="A29" s="705"/>
      <c r="B29" s="188"/>
      <c r="C29" s="649" t="s">
        <v>947</v>
      </c>
      <c r="D29" s="66">
        <f>VLOOKUP('AggrStep1-energy'!$C29,'Energia PJ'!$B$2:$V$61,D$1,FALSE)</f>
        <v>0</v>
      </c>
      <c r="E29" s="66">
        <f>VLOOKUP('AggrStep1-energy'!$C29,'Energia PJ'!$B$2:$V$61,E$1,FALSE)</f>
        <v>0</v>
      </c>
      <c r="F29" s="66">
        <f>VLOOKUP('AggrStep1-energy'!$C29,'Energia PJ'!$B$2:$V$61,F$1,FALSE)</f>
        <v>0</v>
      </c>
      <c r="G29" s="66">
        <f>VLOOKUP('AggrStep1-energy'!$C29,'Energia PJ'!$B$2:$V$61,G$1,FALSE)</f>
        <v>0</v>
      </c>
      <c r="H29" s="66">
        <f>VLOOKUP('AggrStep1-energy'!$C29,'Energia PJ'!$B$2:$V$61,H$1,FALSE)</f>
        <v>0</v>
      </c>
      <c r="I29" s="66">
        <f>VLOOKUP('AggrStep1-energy'!$C29,'Energia PJ'!$B$2:$V$61,I$1,FALSE)</f>
        <v>0</v>
      </c>
      <c r="J29" s="66">
        <f>VLOOKUP('AggrStep1-energy'!$C29,'Energia PJ'!$B$2:$V$61,J$1,FALSE)</f>
        <v>10.947546000000001</v>
      </c>
      <c r="K29" s="66">
        <f>VLOOKUP('AggrStep1-energy'!$C29,'Energia PJ'!$B$2:$V$61,K$1,FALSE)</f>
        <v>0</v>
      </c>
      <c r="L29" s="66">
        <f>VLOOKUP('AggrStep1-energy'!$C29,'Energia PJ'!$B$2:$V$61,L$1,FALSE)</f>
        <v>0</v>
      </c>
      <c r="M29" s="66">
        <f>VLOOKUP('AggrStep1-energy'!$C29,'Energia PJ'!$B$2:$V$61,M$1,FALSE)</f>
        <v>0</v>
      </c>
      <c r="N29" s="66">
        <f>VLOOKUP('AggrStep1-energy'!$C29,'Energia PJ'!$B$2:$V$61,N$1,FALSE)</f>
        <v>0</v>
      </c>
      <c r="O29" s="66">
        <f>VLOOKUP('AggrStep1-energy'!$C29,'Energia PJ'!$B$2:$V$61,O$1,FALSE)</f>
        <v>0</v>
      </c>
      <c r="P29" s="66">
        <f>VLOOKUP('AggrStep1-energy'!$C29,'Energia PJ'!$B$2:$V$61,P$1,FALSE)</f>
        <v>0</v>
      </c>
      <c r="Q29" s="66">
        <f>VLOOKUP('AggrStep1-energy'!$C29,'Energia PJ'!$B$2:$V$61,Q$1,FALSE)</f>
        <v>0</v>
      </c>
      <c r="R29" s="66">
        <f>VLOOKUP('AggrStep1-energy'!$C29,'Energia PJ'!$B$2:$V$61,R$1,FALSE)</f>
        <v>0</v>
      </c>
      <c r="S29" s="66">
        <f>VLOOKUP('AggrStep1-energy'!$C29,'Energia PJ'!$B$2:$V$61,S$1,FALSE)</f>
        <v>0</v>
      </c>
      <c r="T29" s="66">
        <f>VLOOKUP('AggrStep1-energy'!$C29,'Energia PJ'!$B$2:$V$61,T$1,FALSE)</f>
        <v>0</v>
      </c>
      <c r="U29" s="66">
        <f>VLOOKUP('AggrStep1-energy'!$C29,'Energia PJ'!$B$2:$V$61,U$1,FALSE)</f>
        <v>0</v>
      </c>
      <c r="V29" s="66">
        <f>VLOOKUP('AggrStep1-energy'!$C29,'Energia PJ'!$B$2:$V$61,V$1,FALSE)</f>
        <v>0</v>
      </c>
      <c r="W29" s="56">
        <f t="shared" si="0"/>
        <v>10.947546000000001</v>
      </c>
      <c r="X29" s="58"/>
      <c r="Y29" s="58"/>
      <c r="Z29" s="58"/>
      <c r="AA29" s="58"/>
      <c r="AB29" s="54"/>
    </row>
    <row r="30" spans="1:31" s="51" customFormat="1" ht="15.75">
      <c r="C30" s="51" t="s">
        <v>368</v>
      </c>
      <c r="D30" s="56">
        <f t="shared" ref="D30:W30" si="1">SUM(D4:D29)</f>
        <v>0</v>
      </c>
      <c r="E30" s="56">
        <f t="shared" si="1"/>
        <v>63.782443000000001</v>
      </c>
      <c r="F30" s="56">
        <f t="shared" si="1"/>
        <v>100.068597</v>
      </c>
      <c r="G30" s="56">
        <f t="shared" si="1"/>
        <v>25.441735999999999</v>
      </c>
      <c r="H30" s="56">
        <f t="shared" si="1"/>
        <v>65.126006000000004</v>
      </c>
      <c r="I30" s="56">
        <f t="shared" si="1"/>
        <v>111.145081</v>
      </c>
      <c r="J30" s="56">
        <f t="shared" si="1"/>
        <v>788.17912899999999</v>
      </c>
      <c r="K30" s="56">
        <f t="shared" si="1"/>
        <v>846.50500000000011</v>
      </c>
      <c r="L30" s="56">
        <f t="shared" si="1"/>
        <v>0</v>
      </c>
      <c r="M30" s="56">
        <f t="shared" si="1"/>
        <v>7.2359999999999998</v>
      </c>
      <c r="N30" s="56">
        <f t="shared" si="1"/>
        <v>426.08409399999999</v>
      </c>
      <c r="O30" s="56">
        <f t="shared" si="1"/>
        <v>0</v>
      </c>
      <c r="P30" s="56">
        <f t="shared" si="1"/>
        <v>638.95000000000005</v>
      </c>
      <c r="Q30" s="56">
        <f t="shared" si="1"/>
        <v>1472.812455</v>
      </c>
      <c r="R30" s="56">
        <f t="shared" si="1"/>
        <v>0</v>
      </c>
      <c r="S30" s="56">
        <f t="shared" si="1"/>
        <v>0</v>
      </c>
      <c r="T30" s="56">
        <f t="shared" si="1"/>
        <v>255.42239699999999</v>
      </c>
      <c r="U30" s="56">
        <f t="shared" si="1"/>
        <v>0</v>
      </c>
      <c r="V30" s="56">
        <f t="shared" si="1"/>
        <v>127.68880099999998</v>
      </c>
      <c r="W30" s="56">
        <f t="shared" si="1"/>
        <v>4928.4417389999999</v>
      </c>
      <c r="X30" s="54"/>
      <c r="Y30" s="54"/>
      <c r="Z30" s="54"/>
      <c r="AA30" s="54"/>
      <c r="AB30" s="54"/>
    </row>
    <row r="31" spans="1:31" s="51" customFormat="1" ht="15.75">
      <c r="D31" s="56"/>
      <c r="E31" s="56"/>
      <c r="F31" s="56"/>
      <c r="G31" s="56"/>
      <c r="H31" s="56"/>
      <c r="I31" s="56"/>
      <c r="J31" s="56"/>
      <c r="K31" s="56"/>
      <c r="L31" s="56"/>
      <c r="M31" s="56"/>
      <c r="N31" s="56"/>
      <c r="O31" s="56"/>
      <c r="P31" s="56"/>
      <c r="Q31" s="56"/>
      <c r="R31" s="56"/>
      <c r="S31" s="56"/>
      <c r="T31" s="56"/>
      <c r="U31" s="56"/>
      <c r="V31" s="56"/>
      <c r="W31" s="56"/>
      <c r="X31" s="54"/>
      <c r="Y31" s="54"/>
      <c r="Z31" s="54"/>
      <c r="AA31" s="54"/>
      <c r="AB31" s="54"/>
    </row>
    <row r="32" spans="1:31" s="51" customFormat="1" ht="15.75">
      <c r="C32" s="67" t="s">
        <v>288</v>
      </c>
      <c r="D32" s="66">
        <f>VLOOKUP('AggrStep1-energy'!$C32,'Energia PJ'!$B$2:$V$61,D$1,FALSE)</f>
        <v>0</v>
      </c>
      <c r="E32" s="66">
        <f>VLOOKUP('AggrStep1-energy'!$C32,'Energia PJ'!$B$2:$V$61,E$1,FALSE)</f>
        <v>0</v>
      </c>
      <c r="F32" s="66">
        <f>VLOOKUP('AggrStep1-energy'!$C32,'Energia PJ'!$B$2:$V$61,F$1,FALSE)</f>
        <v>0</v>
      </c>
      <c r="G32" s="66">
        <f>VLOOKUP('AggrStep1-energy'!$C32,'Energia PJ'!$B$2:$V$61,G$1,FALSE)</f>
        <v>0</v>
      </c>
      <c r="H32" s="66">
        <f>VLOOKUP('AggrStep1-energy'!$C32,'Energia PJ'!$B$2:$V$61,H$1,FALSE)</f>
        <v>3.526732</v>
      </c>
      <c r="I32" s="66">
        <f>VLOOKUP('AggrStep1-energy'!$C32,'Energia PJ'!$B$2:$V$61,I$1,FALSE)</f>
        <v>0</v>
      </c>
      <c r="J32" s="66">
        <f>VLOOKUP('AggrStep1-energy'!$C32,'Energia PJ'!$B$2:$V$61,J$1,FALSE)</f>
        <v>0</v>
      </c>
      <c r="K32" s="66">
        <f>VLOOKUP('AggrStep1-energy'!$C32,'Energia PJ'!$B$2:$V$61,K$1,FALSE)</f>
        <v>0</v>
      </c>
      <c r="L32" s="66">
        <f>VLOOKUP('AggrStep1-energy'!$C32,'Energia PJ'!$B$2:$V$61,L$1,FALSE)</f>
        <v>0</v>
      </c>
      <c r="M32" s="66">
        <f>VLOOKUP('AggrStep1-energy'!$C32,'Energia PJ'!$B$2:$V$61,M$1,FALSE)</f>
        <v>0</v>
      </c>
      <c r="N32" s="66">
        <f>VLOOKUP('AggrStep1-energy'!$C32,'Energia PJ'!$B$2:$V$61,N$1,FALSE)</f>
        <v>0</v>
      </c>
      <c r="O32" s="66">
        <f>VLOOKUP('AggrStep1-energy'!$C32,'Energia PJ'!$B$2:$V$61,O$1,FALSE)</f>
        <v>0</v>
      </c>
      <c r="P32" s="66">
        <f>VLOOKUP('AggrStep1-energy'!$C32,'Energia PJ'!$B$2:$V$61,P$1,FALSE)</f>
        <v>0</v>
      </c>
      <c r="Q32" s="66">
        <f>VLOOKUP('AggrStep1-energy'!$C32,'Energia PJ'!$B$2:$V$61,Q$1,FALSE)</f>
        <v>0</v>
      </c>
      <c r="R32" s="66">
        <f>VLOOKUP('AggrStep1-energy'!$C32,'Energia PJ'!$B$2:$V$61,R$1,FALSE)</f>
        <v>0</v>
      </c>
      <c r="S32" s="66">
        <f>VLOOKUP('AggrStep1-energy'!$C32,'Energia PJ'!$B$2:$V$61,S$1,FALSE)</f>
        <v>0</v>
      </c>
      <c r="T32" s="66">
        <f>VLOOKUP('AggrStep1-energy'!$C32,'Energia PJ'!$B$2:$V$61,T$1,FALSE)</f>
        <v>0</v>
      </c>
      <c r="U32" s="66">
        <f>VLOOKUP('AggrStep1-energy'!$C32,'Energia PJ'!$B$2:$V$61,U$1,FALSE)</f>
        <v>0</v>
      </c>
      <c r="V32" s="66">
        <f>VLOOKUP('AggrStep1-energy'!$C32,'Energia PJ'!$B$2:$V$61,V$1,FALSE)</f>
        <v>0</v>
      </c>
      <c r="W32" s="56">
        <f t="shared" ref="W32:W36" si="2">SUM(D32:V32)</f>
        <v>3.526732</v>
      </c>
      <c r="X32" s="54"/>
      <c r="Y32" s="54"/>
      <c r="Z32" s="54"/>
      <c r="AA32" s="54"/>
      <c r="AB32" s="54"/>
    </row>
    <row r="33" spans="3:28" s="51" customFormat="1" ht="15.75">
      <c r="C33" s="77" t="s">
        <v>951</v>
      </c>
      <c r="D33" s="66">
        <f>VLOOKUP('AggrStep1-energy'!$C33,'Energia PJ'!$B$2:$V$61,D$1,FALSE)</f>
        <v>0</v>
      </c>
      <c r="E33" s="66">
        <f>VLOOKUP('AggrStep1-energy'!$C33,'Energia PJ'!$B$2:$V$61,E$1,FALSE)</f>
        <v>0</v>
      </c>
      <c r="F33" s="66">
        <f>VLOOKUP('AggrStep1-energy'!$C33,'Energia PJ'!$B$2:$V$61,F$1,FALSE)</f>
        <v>0</v>
      </c>
      <c r="G33" s="66">
        <f>VLOOKUP('AggrStep1-energy'!$C33,'Energia PJ'!$B$2:$V$61,G$1,FALSE)</f>
        <v>0</v>
      </c>
      <c r="H33" s="66">
        <f>VLOOKUP('AggrStep1-energy'!$C33,'Energia PJ'!$B$2:$V$61,H$1,FALSE)</f>
        <v>0</v>
      </c>
      <c r="I33" s="66">
        <f>VLOOKUP('AggrStep1-energy'!$C33,'Energia PJ'!$B$2:$V$61,I$1,FALSE)</f>
        <v>0</v>
      </c>
      <c r="J33" s="66">
        <f>VLOOKUP('AggrStep1-energy'!$C33,'Energia PJ'!$B$2:$V$61,J$1,FALSE)</f>
        <v>0</v>
      </c>
      <c r="K33" s="66">
        <f>VLOOKUP('AggrStep1-energy'!$C33,'Energia PJ'!$B$2:$V$61,K$1,FALSE)</f>
        <v>0</v>
      </c>
      <c r="L33" s="66">
        <f>VLOOKUP('AggrStep1-energy'!$C33,'Energia PJ'!$B$2:$V$61,L$1,FALSE)</f>
        <v>0</v>
      </c>
      <c r="M33" s="66">
        <f>VLOOKUP('AggrStep1-energy'!$C33,'Energia PJ'!$B$2:$V$61,M$1,FALSE)</f>
        <v>0</v>
      </c>
      <c r="N33" s="66">
        <f>VLOOKUP('AggrStep1-energy'!$C33,'Energia PJ'!$B$2:$V$61,N$1,FALSE)</f>
        <v>0</v>
      </c>
      <c r="O33" s="66">
        <f>VLOOKUP('AggrStep1-energy'!$C33,'Energia PJ'!$B$2:$V$61,O$1,FALSE)</f>
        <v>0</v>
      </c>
      <c r="P33" s="66">
        <f>VLOOKUP('AggrStep1-energy'!$C33,'Energia PJ'!$B$2:$V$61,P$1,FALSE)</f>
        <v>112.85074853466141</v>
      </c>
      <c r="Q33" s="66">
        <f>VLOOKUP('AggrStep1-energy'!$C33,'Energia PJ'!$B$2:$V$61,Q$1,FALSE)</f>
        <v>0</v>
      </c>
      <c r="R33" s="66">
        <f>VLOOKUP('AggrStep1-energy'!$C33,'Energia PJ'!$B$2:$V$61,R$1,FALSE)</f>
        <v>0</v>
      </c>
      <c r="S33" s="66">
        <f>VLOOKUP('AggrStep1-energy'!$C33,'Energia PJ'!$B$2:$V$61,S$1,FALSE)</f>
        <v>0</v>
      </c>
      <c r="T33" s="66">
        <f>VLOOKUP('AggrStep1-energy'!$C33,'Energia PJ'!$B$2:$V$61,T$1,FALSE)</f>
        <v>0</v>
      </c>
      <c r="U33" s="66">
        <f>VLOOKUP('AggrStep1-energy'!$C33,'Energia PJ'!$B$2:$V$61,U$1,FALSE)</f>
        <v>0</v>
      </c>
      <c r="V33" s="66">
        <f>VLOOKUP('AggrStep1-energy'!$C33,'Energia PJ'!$B$2:$V$61,V$1,FALSE)</f>
        <v>0</v>
      </c>
      <c r="W33" s="56">
        <f t="shared" si="2"/>
        <v>112.85074853466141</v>
      </c>
      <c r="X33" s="54"/>
      <c r="Y33" s="54"/>
      <c r="Z33" s="54"/>
      <c r="AA33" s="54"/>
      <c r="AB33" s="54"/>
    </row>
    <row r="34" spans="3:28" s="51" customFormat="1" ht="15.75">
      <c r="C34" s="67" t="s">
        <v>285</v>
      </c>
      <c r="D34" s="66">
        <f>VLOOKUP('AggrStep1-energy'!$C34,'Energia PJ'!$B$2:$V$61,D$1,FALSE)</f>
        <v>0</v>
      </c>
      <c r="E34" s="66">
        <f>VLOOKUP('AggrStep1-energy'!$C34,'Energia PJ'!$B$2:$V$61,E$1,FALSE)</f>
        <v>0</v>
      </c>
      <c r="F34" s="66">
        <f>VLOOKUP('AggrStep1-energy'!$C34,'Energia PJ'!$B$2:$V$61,F$1,FALSE)</f>
        <v>0</v>
      </c>
      <c r="G34" s="66">
        <f>VLOOKUP('AggrStep1-energy'!$C34,'Energia PJ'!$B$2:$V$61,G$1,FALSE)</f>
        <v>0</v>
      </c>
      <c r="H34" s="66">
        <f>VLOOKUP('AggrStep1-energy'!$C34,'Energia PJ'!$B$2:$V$61,H$1,FALSE)</f>
        <v>0</v>
      </c>
      <c r="I34" s="66">
        <f>VLOOKUP('AggrStep1-energy'!$C34,'Energia PJ'!$B$2:$V$61,I$1,FALSE)</f>
        <v>0</v>
      </c>
      <c r="J34" s="66">
        <f>VLOOKUP('AggrStep1-energy'!$C34,'Energia PJ'!$B$2:$V$61,J$1,FALSE)</f>
        <v>0</v>
      </c>
      <c r="K34" s="66">
        <f>VLOOKUP('AggrStep1-energy'!$C34,'Energia PJ'!$B$2:$V$61,K$1,FALSE)</f>
        <v>0</v>
      </c>
      <c r="L34" s="66">
        <f>VLOOKUP('AggrStep1-energy'!$C34,'Energia PJ'!$B$2:$V$61,L$1,FALSE)</f>
        <v>0</v>
      </c>
      <c r="M34" s="66">
        <f>VLOOKUP('AggrStep1-energy'!$C34,'Energia PJ'!$B$2:$V$61,M$1,FALSE)</f>
        <v>0</v>
      </c>
      <c r="N34" s="66">
        <f>VLOOKUP('AggrStep1-energy'!$C34,'Energia PJ'!$B$2:$V$61,N$1,FALSE)</f>
        <v>0</v>
      </c>
      <c r="O34" s="66">
        <f>VLOOKUP('AggrStep1-energy'!$C34,'Energia PJ'!$B$2:$V$61,O$1,FALSE)</f>
        <v>132.85906083999998</v>
      </c>
      <c r="P34" s="66">
        <f>VLOOKUP('AggrStep1-energy'!$C34,'Energia PJ'!$B$2:$V$61,P$1,FALSE)</f>
        <v>250.59017733356711</v>
      </c>
      <c r="Q34" s="66">
        <f>VLOOKUP('AggrStep1-energy'!$C34,'Energia PJ'!$B$2:$V$61,Q$1,FALSE)</f>
        <v>0</v>
      </c>
      <c r="R34" s="66">
        <f>VLOOKUP('AggrStep1-energy'!$C34,'Energia PJ'!$B$2:$V$61,R$1,FALSE)</f>
        <v>0</v>
      </c>
      <c r="S34" s="66">
        <f>VLOOKUP('AggrStep1-energy'!$C34,'Energia PJ'!$B$2:$V$61,S$1,FALSE)</f>
        <v>0</v>
      </c>
      <c r="T34" s="66">
        <f>VLOOKUP('AggrStep1-energy'!$C34,'Energia PJ'!$B$2:$V$61,T$1,FALSE)</f>
        <v>0</v>
      </c>
      <c r="U34" s="66">
        <f>VLOOKUP('AggrStep1-energy'!$C34,'Energia PJ'!$B$2:$V$61,U$1,FALSE)</f>
        <v>0</v>
      </c>
      <c r="V34" s="66">
        <f>VLOOKUP('AggrStep1-energy'!$C34,'Energia PJ'!$B$2:$V$61,V$1,FALSE)</f>
        <v>0</v>
      </c>
      <c r="W34" s="56">
        <f t="shared" si="2"/>
        <v>383.4492381735671</v>
      </c>
      <c r="X34" s="54"/>
      <c r="Y34" s="54"/>
      <c r="Z34" s="54"/>
      <c r="AA34" s="54"/>
      <c r="AB34" s="54"/>
    </row>
    <row r="35" spans="3:28" s="51" customFormat="1" ht="15.75">
      <c r="C35" s="67" t="s">
        <v>284</v>
      </c>
      <c r="D35" s="66">
        <f>VLOOKUP('AggrStep1-energy'!$C35,'Energia PJ'!$B$2:$V$61,D$1,FALSE)</f>
        <v>0</v>
      </c>
      <c r="E35" s="66">
        <f>VLOOKUP('AggrStep1-energy'!$C35,'Energia PJ'!$B$2:$V$61,E$1,FALSE)</f>
        <v>0</v>
      </c>
      <c r="F35" s="66">
        <f>VLOOKUP('AggrStep1-energy'!$C35,'Energia PJ'!$B$2:$V$61,F$1,FALSE)</f>
        <v>0</v>
      </c>
      <c r="G35" s="66">
        <f>VLOOKUP('AggrStep1-energy'!$C35,'Energia PJ'!$B$2:$V$61,G$1,FALSE)</f>
        <v>0</v>
      </c>
      <c r="H35" s="66">
        <f>VLOOKUP('AggrStep1-energy'!$C35,'Energia PJ'!$B$2:$V$61,H$1,FALSE)</f>
        <v>0</v>
      </c>
      <c r="I35" s="66">
        <f>VLOOKUP('AggrStep1-energy'!$C35,'Energia PJ'!$B$2:$V$61,I$1,FALSE)</f>
        <v>0</v>
      </c>
      <c r="J35" s="66">
        <f>VLOOKUP('AggrStep1-energy'!$C35,'Energia PJ'!$B$2:$V$61,J$1,FALSE)</f>
        <v>0</v>
      </c>
      <c r="K35" s="66">
        <f>VLOOKUP('AggrStep1-energy'!$C35,'Energia PJ'!$B$2:$V$61,K$1,FALSE)</f>
        <v>0</v>
      </c>
      <c r="L35" s="66">
        <f>VLOOKUP('AggrStep1-energy'!$C35,'Energia PJ'!$B$2:$V$61,L$1,FALSE)</f>
        <v>0</v>
      </c>
      <c r="M35" s="66">
        <f>VLOOKUP('AggrStep1-energy'!$C35,'Energia PJ'!$B$2:$V$61,M$1,FALSE)</f>
        <v>0</v>
      </c>
      <c r="N35" s="66">
        <f>VLOOKUP('AggrStep1-energy'!$C35,'Energia PJ'!$B$2:$V$61,N$1,FALSE)</f>
        <v>0</v>
      </c>
      <c r="O35" s="66">
        <f>VLOOKUP('AggrStep1-energy'!$C35,'Energia PJ'!$B$2:$V$61,O$1,FALSE)</f>
        <v>0</v>
      </c>
      <c r="P35" s="66">
        <f>VLOOKUP('AggrStep1-energy'!$C35,'Energia PJ'!$B$2:$V$61,P$1,FALSE)</f>
        <v>96.149994922306163</v>
      </c>
      <c r="Q35" s="66">
        <f>VLOOKUP('AggrStep1-energy'!$C35,'Energia PJ'!$B$2:$V$61,Q$1,FALSE)</f>
        <v>0</v>
      </c>
      <c r="R35" s="66">
        <f>VLOOKUP('AggrStep1-energy'!$C35,'Energia PJ'!$B$2:$V$61,R$1,FALSE)</f>
        <v>0</v>
      </c>
      <c r="S35" s="66">
        <f>VLOOKUP('AggrStep1-energy'!$C35,'Energia PJ'!$B$2:$V$61,S$1,FALSE)</f>
        <v>0</v>
      </c>
      <c r="T35" s="66">
        <f>VLOOKUP('AggrStep1-energy'!$C35,'Energia PJ'!$B$2:$V$61,T$1,FALSE)</f>
        <v>0</v>
      </c>
      <c r="U35" s="66">
        <f>VLOOKUP('AggrStep1-energy'!$C35,'Energia PJ'!$B$2:$V$61,U$1,FALSE)</f>
        <v>0</v>
      </c>
      <c r="V35" s="66">
        <f>VLOOKUP('AggrStep1-energy'!$C35,'Energia PJ'!$B$2:$V$61,V$1,FALSE)</f>
        <v>0</v>
      </c>
      <c r="W35" s="56">
        <f t="shared" si="2"/>
        <v>96.149994922306163</v>
      </c>
      <c r="X35" s="54"/>
      <c r="Y35" s="54"/>
      <c r="Z35" s="54"/>
      <c r="AA35" s="54"/>
      <c r="AB35" s="54"/>
    </row>
    <row r="36" spans="3:28" s="51" customFormat="1" ht="15.75">
      <c r="C36" s="67" t="s">
        <v>283</v>
      </c>
      <c r="D36" s="66">
        <f>VLOOKUP('AggrStep1-energy'!$C36,'Energia PJ'!$B$2:$V$61,D$1,FALSE)</f>
        <v>0</v>
      </c>
      <c r="E36" s="66">
        <f>VLOOKUP('AggrStep1-energy'!$C36,'Energia PJ'!$B$2:$V$61,E$1,FALSE)</f>
        <v>0</v>
      </c>
      <c r="F36" s="66">
        <f>VLOOKUP('AggrStep1-energy'!$C36,'Energia PJ'!$B$2:$V$61,F$1,FALSE)</f>
        <v>0</v>
      </c>
      <c r="G36" s="66">
        <f>VLOOKUP('AggrStep1-energy'!$C36,'Energia PJ'!$B$2:$V$61,G$1,FALSE)</f>
        <v>0</v>
      </c>
      <c r="H36" s="66">
        <f>VLOOKUP('AggrStep1-energy'!$C36,'Energia PJ'!$B$2:$V$61,H$1,FALSE)</f>
        <v>0</v>
      </c>
      <c r="I36" s="66">
        <f>VLOOKUP('AggrStep1-energy'!$C36,'Energia PJ'!$B$2:$V$61,I$1,FALSE)</f>
        <v>0</v>
      </c>
      <c r="J36" s="66">
        <f>VLOOKUP('AggrStep1-energy'!$C36,'Energia PJ'!$B$2:$V$61,J$1,FALSE)</f>
        <v>0</v>
      </c>
      <c r="K36" s="66">
        <f>VLOOKUP('AggrStep1-energy'!$C36,'Energia PJ'!$B$2:$V$61,K$1,FALSE)</f>
        <v>0</v>
      </c>
      <c r="L36" s="66">
        <f>VLOOKUP('AggrStep1-energy'!$C36,'Energia PJ'!$B$2:$V$61,L$1,FALSE)</f>
        <v>0</v>
      </c>
      <c r="M36" s="66">
        <f>VLOOKUP('AggrStep1-energy'!$C36,'Energia PJ'!$B$2:$V$61,M$1,FALSE)</f>
        <v>0</v>
      </c>
      <c r="N36" s="66">
        <f>VLOOKUP('AggrStep1-energy'!$C36,'Energia PJ'!$B$2:$V$61,N$1,FALSE)</f>
        <v>0</v>
      </c>
      <c r="O36" s="66">
        <f>VLOOKUP('AggrStep1-energy'!$C36,'Energia PJ'!$B$2:$V$61,O$1,FALSE)</f>
        <v>169.09335016</v>
      </c>
      <c r="P36" s="66">
        <f>VLOOKUP('AggrStep1-energy'!$C36,'Energia PJ'!$B$2:$V$61,P$1,FALSE)</f>
        <v>96.888034597104721</v>
      </c>
      <c r="Q36" s="66">
        <f>VLOOKUP('AggrStep1-energy'!$C36,'Energia PJ'!$B$2:$V$61,Q$1,FALSE)</f>
        <v>0</v>
      </c>
      <c r="R36" s="66">
        <f>VLOOKUP('AggrStep1-energy'!$C36,'Energia PJ'!$B$2:$V$61,R$1,FALSE)</f>
        <v>0</v>
      </c>
      <c r="S36" s="66">
        <f>VLOOKUP('AggrStep1-energy'!$C36,'Energia PJ'!$B$2:$V$61,S$1,FALSE)</f>
        <v>0</v>
      </c>
      <c r="T36" s="66">
        <f>VLOOKUP('AggrStep1-energy'!$C36,'Energia PJ'!$B$2:$V$61,T$1,FALSE)</f>
        <v>0</v>
      </c>
      <c r="U36" s="66">
        <f>VLOOKUP('AggrStep1-energy'!$C36,'Energia PJ'!$B$2:$V$61,U$1,FALSE)</f>
        <v>0</v>
      </c>
      <c r="V36" s="66">
        <f>VLOOKUP('AggrStep1-energy'!$C36,'Energia PJ'!$B$2:$V$61,V$1,FALSE)</f>
        <v>0</v>
      </c>
      <c r="W36" s="56">
        <f t="shared" si="2"/>
        <v>265.98138475710471</v>
      </c>
      <c r="X36" s="54"/>
      <c r="Y36" s="54"/>
      <c r="Z36" s="54"/>
      <c r="AA36" s="54"/>
      <c r="AB36" s="54"/>
    </row>
    <row r="37" spans="3:28" s="51" customFormat="1" ht="15.75">
      <c r="C37" s="3" t="s">
        <v>368</v>
      </c>
      <c r="D37" s="56">
        <f t="shared" ref="D37:W37" si="3">SUM(D32:D36)</f>
        <v>0</v>
      </c>
      <c r="E37" s="56">
        <f t="shared" si="3"/>
        <v>0</v>
      </c>
      <c r="F37" s="56">
        <f t="shared" si="3"/>
        <v>0</v>
      </c>
      <c r="G37" s="56">
        <f t="shared" si="3"/>
        <v>0</v>
      </c>
      <c r="H37" s="56">
        <f t="shared" si="3"/>
        <v>3.526732</v>
      </c>
      <c r="I37" s="56">
        <f t="shared" si="3"/>
        <v>0</v>
      </c>
      <c r="J37" s="56">
        <f t="shared" si="3"/>
        <v>0</v>
      </c>
      <c r="K37" s="56">
        <f t="shared" si="3"/>
        <v>0</v>
      </c>
      <c r="L37" s="56">
        <f t="shared" si="3"/>
        <v>0</v>
      </c>
      <c r="M37" s="56">
        <f t="shared" si="3"/>
        <v>0</v>
      </c>
      <c r="N37" s="56">
        <f t="shared" si="3"/>
        <v>0</v>
      </c>
      <c r="O37" s="56">
        <f t="shared" si="3"/>
        <v>301.95241099999998</v>
      </c>
      <c r="P37" s="56">
        <f t="shared" si="3"/>
        <v>556.47895538763942</v>
      </c>
      <c r="Q37" s="56">
        <f t="shared" si="3"/>
        <v>0</v>
      </c>
      <c r="R37" s="56">
        <f t="shared" si="3"/>
        <v>0</v>
      </c>
      <c r="S37" s="56">
        <f t="shared" si="3"/>
        <v>0</v>
      </c>
      <c r="T37" s="56">
        <f t="shared" si="3"/>
        <v>0</v>
      </c>
      <c r="U37" s="56">
        <f t="shared" si="3"/>
        <v>0</v>
      </c>
      <c r="V37" s="56">
        <f t="shared" si="3"/>
        <v>0</v>
      </c>
      <c r="W37" s="56">
        <f t="shared" si="3"/>
        <v>861.95809838763932</v>
      </c>
      <c r="X37" s="54"/>
      <c r="Y37" s="54"/>
      <c r="Z37" s="54"/>
      <c r="AA37" s="54"/>
      <c r="AB37" s="54"/>
    </row>
    <row r="38" spans="3:28" s="51" customFormat="1" ht="15.75">
      <c r="C38" s="67"/>
      <c r="D38" s="66"/>
      <c r="E38" s="66"/>
      <c r="F38" s="66"/>
      <c r="G38" s="66"/>
      <c r="H38" s="66"/>
      <c r="I38" s="66"/>
      <c r="J38" s="66"/>
      <c r="K38" s="66"/>
      <c r="L38" s="66"/>
      <c r="M38" s="66"/>
      <c r="N38" s="66"/>
      <c r="O38" s="66"/>
      <c r="P38" s="66"/>
      <c r="Q38" s="66"/>
      <c r="R38" s="66"/>
      <c r="S38" s="66"/>
      <c r="T38" s="66"/>
      <c r="U38" s="66"/>
      <c r="V38" s="66"/>
      <c r="W38" s="56"/>
      <c r="X38" s="54"/>
      <c r="Y38" s="54"/>
      <c r="Z38" s="54"/>
      <c r="AA38" s="54"/>
      <c r="AB38" s="54"/>
    </row>
    <row r="39" spans="3:28" s="51" customFormat="1" ht="15.75">
      <c r="D39" s="56"/>
      <c r="E39" s="56"/>
      <c r="F39" s="56"/>
      <c r="G39" s="56"/>
      <c r="H39" s="56"/>
      <c r="I39" s="56"/>
      <c r="J39" s="56"/>
      <c r="K39" s="56"/>
      <c r="L39" s="56"/>
      <c r="M39" s="56"/>
      <c r="N39" s="56"/>
      <c r="O39" s="56"/>
      <c r="P39" s="56"/>
      <c r="Q39" s="56"/>
      <c r="R39" s="56"/>
      <c r="S39" s="56"/>
      <c r="T39" s="56"/>
      <c r="U39" s="56"/>
      <c r="V39" s="56"/>
      <c r="W39" s="56"/>
      <c r="X39" s="54"/>
      <c r="Y39" s="54"/>
      <c r="Z39" s="54"/>
      <c r="AA39" s="54"/>
      <c r="AB39" s="54"/>
    </row>
    <row r="40" spans="3:28" s="51" customFormat="1" ht="15.75">
      <c r="C40" s="51" t="s">
        <v>567</v>
      </c>
      <c r="D40" s="56"/>
      <c r="E40" s="56"/>
      <c r="F40" s="56"/>
      <c r="G40" s="56"/>
      <c r="H40" s="56"/>
      <c r="I40" s="56"/>
      <c r="J40" s="56"/>
      <c r="K40" s="56"/>
      <c r="L40" s="56"/>
      <c r="M40" s="56"/>
      <c r="N40" s="56"/>
      <c r="O40" s="56"/>
      <c r="P40" s="56"/>
      <c r="Q40" s="56"/>
      <c r="R40" s="56"/>
      <c r="S40" s="56"/>
      <c r="T40" s="56"/>
      <c r="U40" s="56"/>
      <c r="V40" s="56"/>
      <c r="W40" s="56"/>
      <c r="X40" s="54"/>
      <c r="Y40" s="54"/>
      <c r="Z40" s="54"/>
      <c r="AA40" s="54"/>
      <c r="AB40" s="54"/>
    </row>
    <row r="41" spans="3:28">
      <c r="C41" s="57" t="s">
        <v>227</v>
      </c>
      <c r="D41" s="58">
        <f>D24</f>
        <v>0</v>
      </c>
      <c r="E41" s="58">
        <f t="shared" ref="E41:W41" si="4">E24</f>
        <v>0</v>
      </c>
      <c r="F41" s="58">
        <f t="shared" si="4"/>
        <v>0</v>
      </c>
      <c r="G41" s="58">
        <f t="shared" si="4"/>
        <v>0</v>
      </c>
      <c r="H41" s="58">
        <f t="shared" si="4"/>
        <v>0</v>
      </c>
      <c r="I41" s="58">
        <f t="shared" si="4"/>
        <v>0</v>
      </c>
      <c r="J41" s="58">
        <f t="shared" si="4"/>
        <v>115.550152</v>
      </c>
      <c r="K41" s="58">
        <f t="shared" si="4"/>
        <v>37.027999999999999</v>
      </c>
      <c r="L41" s="58">
        <f t="shared" si="4"/>
        <v>0</v>
      </c>
      <c r="M41" s="58">
        <f t="shared" si="4"/>
        <v>0</v>
      </c>
      <c r="N41" s="58">
        <f t="shared" si="4"/>
        <v>6.0288570000000004</v>
      </c>
      <c r="O41" s="58">
        <f t="shared" si="4"/>
        <v>0</v>
      </c>
      <c r="P41" s="58">
        <f t="shared" si="4"/>
        <v>0</v>
      </c>
      <c r="Q41" s="58">
        <f t="shared" si="4"/>
        <v>0</v>
      </c>
      <c r="R41" s="58">
        <f t="shared" si="4"/>
        <v>0</v>
      </c>
      <c r="S41" s="58">
        <f t="shared" si="4"/>
        <v>0</v>
      </c>
      <c r="T41" s="58">
        <f t="shared" si="4"/>
        <v>0</v>
      </c>
      <c r="U41" s="58">
        <f t="shared" si="4"/>
        <v>0</v>
      </c>
      <c r="V41" s="58">
        <f t="shared" si="4"/>
        <v>8.1239999999999993E-3</v>
      </c>
      <c r="W41" s="58">
        <f t="shared" si="4"/>
        <v>158.61513299999999</v>
      </c>
      <c r="X41" s="58"/>
      <c r="Y41" s="58"/>
      <c r="Z41" s="58"/>
      <c r="AA41" s="58"/>
      <c r="AB41" s="54"/>
    </row>
    <row r="42" spans="3:28">
      <c r="C42" s="189" t="s">
        <v>274</v>
      </c>
      <c r="D42" s="58">
        <f>SUM(D4:D19,D29)</f>
        <v>0</v>
      </c>
      <c r="E42" s="58">
        <f t="shared" ref="E42:W42" si="5">SUM(E4:E19,E29)</f>
        <v>63.782443000000001</v>
      </c>
      <c r="F42" s="58">
        <f t="shared" si="5"/>
        <v>100.068597</v>
      </c>
      <c r="G42" s="58">
        <f t="shared" si="5"/>
        <v>25.360433</v>
      </c>
      <c r="H42" s="58">
        <f t="shared" si="5"/>
        <v>65.126006000000004</v>
      </c>
      <c r="I42" s="58">
        <f t="shared" si="5"/>
        <v>111.145081</v>
      </c>
      <c r="J42" s="58">
        <f t="shared" si="5"/>
        <v>64.530241999999987</v>
      </c>
      <c r="K42" s="58">
        <f t="shared" si="5"/>
        <v>530.60300000000007</v>
      </c>
      <c r="L42" s="58">
        <f t="shared" si="5"/>
        <v>0</v>
      </c>
      <c r="M42" s="58">
        <f t="shared" si="5"/>
        <v>0.38100000000000001</v>
      </c>
      <c r="N42" s="58">
        <f t="shared" si="5"/>
        <v>43.968239000000004</v>
      </c>
      <c r="O42" s="58">
        <f t="shared" si="5"/>
        <v>0</v>
      </c>
      <c r="P42" s="58">
        <f t="shared" si="5"/>
        <v>593.18300000000011</v>
      </c>
      <c r="Q42" s="58">
        <f t="shared" si="5"/>
        <v>0.85200500000000001</v>
      </c>
      <c r="R42" s="58">
        <f t="shared" si="5"/>
        <v>0</v>
      </c>
      <c r="S42" s="58">
        <f t="shared" si="5"/>
        <v>0</v>
      </c>
      <c r="T42" s="58">
        <f t="shared" si="5"/>
        <v>0</v>
      </c>
      <c r="U42" s="58">
        <f t="shared" si="5"/>
        <v>0</v>
      </c>
      <c r="V42" s="58">
        <f t="shared" si="5"/>
        <v>0</v>
      </c>
      <c r="W42" s="58">
        <f t="shared" si="5"/>
        <v>1599.0000459999997</v>
      </c>
      <c r="X42" s="58"/>
      <c r="Y42" s="58"/>
      <c r="Z42" s="58"/>
      <c r="AA42" s="58"/>
      <c r="AB42" s="54"/>
    </row>
    <row r="43" spans="3:28">
      <c r="C43" s="57" t="s">
        <v>48</v>
      </c>
      <c r="D43" s="72">
        <f>SUM(D25:D28,D23)</f>
        <v>0</v>
      </c>
      <c r="E43" s="72">
        <f t="shared" ref="E43:W43" si="6">SUM(E25:E28,E23)</f>
        <v>0</v>
      </c>
      <c r="F43" s="72">
        <f t="shared" si="6"/>
        <v>0</v>
      </c>
      <c r="G43" s="72">
        <f t="shared" si="6"/>
        <v>8.1303E-2</v>
      </c>
      <c r="H43" s="72">
        <f t="shared" si="6"/>
        <v>0</v>
      </c>
      <c r="I43" s="72">
        <f t="shared" si="6"/>
        <v>0</v>
      </c>
      <c r="J43" s="72">
        <f t="shared" si="6"/>
        <v>603.70249200000001</v>
      </c>
      <c r="K43" s="72">
        <f t="shared" si="6"/>
        <v>4.2269999999999994</v>
      </c>
      <c r="L43" s="72">
        <f t="shared" si="6"/>
        <v>0</v>
      </c>
      <c r="M43" s="72">
        <f t="shared" si="6"/>
        <v>0</v>
      </c>
      <c r="N43" s="72">
        <f t="shared" si="6"/>
        <v>54.098236</v>
      </c>
      <c r="O43" s="72">
        <f t="shared" si="6"/>
        <v>0</v>
      </c>
      <c r="P43" s="72">
        <f t="shared" si="6"/>
        <v>0.86699999999999999</v>
      </c>
      <c r="Q43" s="72">
        <f t="shared" si="6"/>
        <v>1471.96045</v>
      </c>
      <c r="R43" s="72">
        <f t="shared" si="6"/>
        <v>0</v>
      </c>
      <c r="S43" s="72">
        <f t="shared" si="6"/>
        <v>0</v>
      </c>
      <c r="T43" s="72">
        <f t="shared" si="6"/>
        <v>0</v>
      </c>
      <c r="U43" s="72">
        <f t="shared" si="6"/>
        <v>0</v>
      </c>
      <c r="V43" s="72">
        <f t="shared" si="6"/>
        <v>126.329669</v>
      </c>
      <c r="W43" s="72">
        <f t="shared" si="6"/>
        <v>2261.2661499999995</v>
      </c>
      <c r="X43" s="58"/>
      <c r="Y43" s="58"/>
      <c r="Z43" s="58"/>
      <c r="AA43" s="58"/>
      <c r="AB43" s="54"/>
    </row>
    <row r="44" spans="3:28" ht="15.75">
      <c r="C44" s="57" t="s">
        <v>369</v>
      </c>
      <c r="D44" s="58">
        <f t="shared" ref="D44:V44" si="7">SUM(D20:D22)</f>
        <v>0</v>
      </c>
      <c r="E44" s="58">
        <f t="shared" si="7"/>
        <v>0</v>
      </c>
      <c r="F44" s="58">
        <f t="shared" si="7"/>
        <v>0</v>
      </c>
      <c r="G44" s="58">
        <f t="shared" si="7"/>
        <v>0</v>
      </c>
      <c r="H44" s="58">
        <f t="shared" si="7"/>
        <v>0</v>
      </c>
      <c r="I44" s="58">
        <f t="shared" si="7"/>
        <v>0</v>
      </c>
      <c r="J44" s="58">
        <f t="shared" si="7"/>
        <v>4.3962430000000001</v>
      </c>
      <c r="K44" s="58">
        <f t="shared" si="7"/>
        <v>274.64700000000005</v>
      </c>
      <c r="L44" s="58">
        <f t="shared" si="7"/>
        <v>0</v>
      </c>
      <c r="M44" s="58">
        <f t="shared" si="7"/>
        <v>6.8549999999999995</v>
      </c>
      <c r="N44" s="58">
        <f t="shared" si="7"/>
        <v>321.98876200000001</v>
      </c>
      <c r="O44" s="58">
        <f t="shared" si="7"/>
        <v>0</v>
      </c>
      <c r="P44" s="58">
        <f t="shared" si="7"/>
        <v>44.9</v>
      </c>
      <c r="Q44" s="58">
        <f t="shared" si="7"/>
        <v>0</v>
      </c>
      <c r="R44" s="58">
        <f t="shared" si="7"/>
        <v>0</v>
      </c>
      <c r="S44" s="58">
        <f t="shared" si="7"/>
        <v>0</v>
      </c>
      <c r="T44" s="58">
        <f t="shared" si="7"/>
        <v>255.42239699999999</v>
      </c>
      <c r="U44" s="58">
        <f t="shared" si="7"/>
        <v>0</v>
      </c>
      <c r="V44" s="58">
        <f t="shared" si="7"/>
        <v>1.351008</v>
      </c>
      <c r="W44" s="66">
        <f>SUM(D44:V44)</f>
        <v>909.56040999999993</v>
      </c>
      <c r="X44" s="58"/>
      <c r="Y44" s="58"/>
      <c r="Z44" s="58"/>
      <c r="AA44" s="58"/>
      <c r="AB44" s="54"/>
    </row>
    <row r="45" spans="3:28" ht="15.75">
      <c r="D45" s="58"/>
      <c r="E45" s="58"/>
      <c r="F45" s="58"/>
      <c r="G45" s="58"/>
      <c r="H45" s="58"/>
      <c r="I45" s="58"/>
      <c r="J45" s="58"/>
      <c r="K45" s="58"/>
      <c r="L45" s="58"/>
      <c r="M45" s="58"/>
      <c r="N45" s="58"/>
      <c r="O45" s="58"/>
      <c r="P45" s="58"/>
      <c r="Q45" s="58"/>
      <c r="R45" s="58"/>
      <c r="S45" s="58"/>
      <c r="T45" s="58"/>
      <c r="U45" s="58"/>
      <c r="V45" s="58"/>
      <c r="W45" s="66"/>
      <c r="X45" s="58"/>
      <c r="Y45" s="58"/>
      <c r="Z45" s="58"/>
      <c r="AA45" s="58"/>
      <c r="AB45" s="54"/>
    </row>
    <row r="46" spans="3:28" ht="15.75">
      <c r="D46" s="58"/>
      <c r="E46" s="58"/>
      <c r="F46" s="58"/>
      <c r="G46" s="58"/>
      <c r="H46" s="58"/>
      <c r="I46" s="58"/>
      <c r="J46" s="58"/>
      <c r="K46" s="58"/>
      <c r="L46" s="58"/>
      <c r="M46" s="58"/>
      <c r="N46" s="58"/>
      <c r="O46" s="58"/>
      <c r="P46" s="58"/>
      <c r="Q46" s="58"/>
      <c r="R46" s="58"/>
      <c r="S46" s="58"/>
      <c r="T46" s="58"/>
      <c r="U46" s="58"/>
      <c r="V46" s="58"/>
      <c r="W46" s="66"/>
      <c r="X46" s="58"/>
      <c r="Y46" s="58"/>
      <c r="Z46" s="58"/>
      <c r="AA46" s="58"/>
      <c r="AB46" s="54"/>
    </row>
    <row r="47" spans="3:28" ht="15.75">
      <c r="C47" s="51" t="s">
        <v>566</v>
      </c>
      <c r="D47" s="56">
        <f t="shared" ref="D47:W47" si="8">SUM(D41:D44)</f>
        <v>0</v>
      </c>
      <c r="E47" s="56">
        <f t="shared" si="8"/>
        <v>63.782443000000001</v>
      </c>
      <c r="F47" s="56">
        <f t="shared" si="8"/>
        <v>100.068597</v>
      </c>
      <c r="G47" s="56">
        <f t="shared" si="8"/>
        <v>25.441735999999999</v>
      </c>
      <c r="H47" s="56">
        <f t="shared" si="8"/>
        <v>65.126006000000004</v>
      </c>
      <c r="I47" s="56">
        <f t="shared" si="8"/>
        <v>111.145081</v>
      </c>
      <c r="J47" s="56">
        <f t="shared" si="8"/>
        <v>788.17912899999999</v>
      </c>
      <c r="K47" s="56">
        <f t="shared" si="8"/>
        <v>846.50500000000011</v>
      </c>
      <c r="L47" s="56">
        <f t="shared" si="8"/>
        <v>0</v>
      </c>
      <c r="M47" s="56">
        <f t="shared" si="8"/>
        <v>7.2359999999999998</v>
      </c>
      <c r="N47" s="56">
        <f t="shared" si="8"/>
        <v>426.08409400000005</v>
      </c>
      <c r="O47" s="56">
        <f t="shared" si="8"/>
        <v>0</v>
      </c>
      <c r="P47" s="56">
        <f t="shared" si="8"/>
        <v>638.95000000000005</v>
      </c>
      <c r="Q47" s="56">
        <f t="shared" si="8"/>
        <v>1472.812455</v>
      </c>
      <c r="R47" s="56">
        <f t="shared" si="8"/>
        <v>0</v>
      </c>
      <c r="S47" s="56">
        <f t="shared" si="8"/>
        <v>0</v>
      </c>
      <c r="T47" s="56">
        <f t="shared" si="8"/>
        <v>255.42239699999999</v>
      </c>
      <c r="U47" s="56">
        <f t="shared" si="8"/>
        <v>0</v>
      </c>
      <c r="V47" s="56">
        <f t="shared" si="8"/>
        <v>127.68880099999998</v>
      </c>
      <c r="W47" s="56">
        <f t="shared" si="8"/>
        <v>4928.441738999999</v>
      </c>
      <c r="X47" s="58"/>
      <c r="Y47" s="58"/>
      <c r="Z47" s="58"/>
      <c r="AA47" s="58"/>
      <c r="AB47" s="54"/>
    </row>
    <row r="48" spans="3:28" ht="15.75">
      <c r="C48" s="51"/>
      <c r="D48" s="56"/>
      <c r="E48" s="56"/>
      <c r="F48" s="56"/>
      <c r="G48" s="56"/>
      <c r="H48" s="56"/>
      <c r="I48" s="56"/>
      <c r="J48" s="56"/>
      <c r="K48" s="56"/>
      <c r="L48" s="56"/>
      <c r="M48" s="56"/>
      <c r="N48" s="56"/>
      <c r="O48" s="56"/>
      <c r="P48" s="56"/>
      <c r="Q48" s="56"/>
      <c r="R48" s="56"/>
      <c r="S48" s="56"/>
      <c r="T48" s="56"/>
      <c r="U48" s="56"/>
      <c r="V48" s="56"/>
      <c r="W48" s="56"/>
      <c r="X48" s="58"/>
      <c r="Y48" s="58"/>
      <c r="Z48" s="58"/>
      <c r="AA48" s="58"/>
      <c r="AB48" s="54"/>
    </row>
    <row r="49" spans="1:28" ht="15.75">
      <c r="C49" s="267" t="s">
        <v>565</v>
      </c>
      <c r="D49" s="56">
        <f t="shared" ref="D49:V49" si="9">D37</f>
        <v>0</v>
      </c>
      <c r="E49" s="56">
        <f t="shared" si="9"/>
        <v>0</v>
      </c>
      <c r="F49" s="56">
        <f t="shared" si="9"/>
        <v>0</v>
      </c>
      <c r="G49" s="56">
        <f t="shared" si="9"/>
        <v>0</v>
      </c>
      <c r="H49" s="56">
        <f t="shared" si="9"/>
        <v>3.526732</v>
      </c>
      <c r="I49" s="56">
        <f t="shared" si="9"/>
        <v>0</v>
      </c>
      <c r="J49" s="56">
        <f t="shared" si="9"/>
        <v>0</v>
      </c>
      <c r="K49" s="56">
        <f t="shared" si="9"/>
        <v>0</v>
      </c>
      <c r="L49" s="56">
        <f t="shared" si="9"/>
        <v>0</v>
      </c>
      <c r="M49" s="56">
        <f t="shared" si="9"/>
        <v>0</v>
      </c>
      <c r="N49" s="56">
        <f t="shared" si="9"/>
        <v>0</v>
      </c>
      <c r="O49" s="56">
        <f t="shared" si="9"/>
        <v>301.95241099999998</v>
      </c>
      <c r="P49" s="56">
        <f t="shared" si="9"/>
        <v>556.47895538763942</v>
      </c>
      <c r="Q49" s="56">
        <f t="shared" si="9"/>
        <v>0</v>
      </c>
      <c r="R49" s="56">
        <f t="shared" si="9"/>
        <v>0</v>
      </c>
      <c r="S49" s="56">
        <f t="shared" si="9"/>
        <v>0</v>
      </c>
      <c r="T49" s="56">
        <f t="shared" si="9"/>
        <v>0</v>
      </c>
      <c r="U49" s="56">
        <f t="shared" si="9"/>
        <v>0</v>
      </c>
      <c r="V49" s="56">
        <f t="shared" si="9"/>
        <v>0</v>
      </c>
      <c r="W49" s="56">
        <f>SUM(D49:V49)</f>
        <v>861.95809838763944</v>
      </c>
      <c r="X49" s="58"/>
      <c r="Y49" s="58"/>
      <c r="Z49" s="58"/>
      <c r="AA49" s="58"/>
      <c r="AB49" s="54"/>
    </row>
    <row r="50" spans="1:28" ht="15.75">
      <c r="C50" s="267"/>
      <c r="D50" s="56"/>
      <c r="E50" s="56"/>
      <c r="F50" s="56"/>
      <c r="G50" s="56"/>
      <c r="H50" s="56"/>
      <c r="I50" s="56"/>
      <c r="J50" s="56"/>
      <c r="K50" s="56"/>
      <c r="L50" s="56"/>
      <c r="M50" s="56"/>
      <c r="N50" s="56"/>
      <c r="O50" s="56"/>
      <c r="P50" s="56"/>
      <c r="Q50" s="56"/>
      <c r="R50" s="56"/>
      <c r="S50" s="56"/>
      <c r="T50" s="56"/>
      <c r="U50" s="56"/>
      <c r="V50" s="56"/>
      <c r="W50" s="66"/>
      <c r="X50" s="58"/>
      <c r="Y50" s="58"/>
      <c r="Z50" s="58"/>
      <c r="AA50" s="58"/>
      <c r="AB50" s="54"/>
    </row>
    <row r="51" spans="1:28" ht="15.75">
      <c r="C51" s="51" t="s">
        <v>546</v>
      </c>
      <c r="D51" s="56">
        <f>D47+D49</f>
        <v>0</v>
      </c>
      <c r="E51" s="56">
        <f t="shared" ref="E51:W51" si="10">E47+E49</f>
        <v>63.782443000000001</v>
      </c>
      <c r="F51" s="56">
        <f t="shared" si="10"/>
        <v>100.068597</v>
      </c>
      <c r="G51" s="56">
        <f t="shared" si="10"/>
        <v>25.441735999999999</v>
      </c>
      <c r="H51" s="56">
        <f t="shared" si="10"/>
        <v>68.652737999999999</v>
      </c>
      <c r="I51" s="56">
        <f t="shared" si="10"/>
        <v>111.145081</v>
      </c>
      <c r="J51" s="56">
        <f t="shared" si="10"/>
        <v>788.17912899999999</v>
      </c>
      <c r="K51" s="56">
        <f t="shared" si="10"/>
        <v>846.50500000000011</v>
      </c>
      <c r="L51" s="56">
        <f t="shared" si="10"/>
        <v>0</v>
      </c>
      <c r="M51" s="56">
        <f t="shared" si="10"/>
        <v>7.2359999999999998</v>
      </c>
      <c r="N51" s="56">
        <f t="shared" si="10"/>
        <v>426.08409400000005</v>
      </c>
      <c r="O51" s="56">
        <f t="shared" si="10"/>
        <v>301.95241099999998</v>
      </c>
      <c r="P51" s="56">
        <f t="shared" si="10"/>
        <v>1195.4289553876395</v>
      </c>
      <c r="Q51" s="56">
        <f t="shared" si="10"/>
        <v>1472.812455</v>
      </c>
      <c r="R51" s="56">
        <f t="shared" si="10"/>
        <v>0</v>
      </c>
      <c r="S51" s="56">
        <f t="shared" si="10"/>
        <v>0</v>
      </c>
      <c r="T51" s="56">
        <f t="shared" si="10"/>
        <v>255.42239699999999</v>
      </c>
      <c r="U51" s="56">
        <f t="shared" si="10"/>
        <v>0</v>
      </c>
      <c r="V51" s="56">
        <f t="shared" si="10"/>
        <v>127.68880099999998</v>
      </c>
      <c r="W51" s="56">
        <f t="shared" si="10"/>
        <v>5790.3998373876384</v>
      </c>
      <c r="X51" s="58"/>
      <c r="Y51" s="58"/>
      <c r="Z51" s="58"/>
      <c r="AA51" s="58"/>
      <c r="AB51" s="54"/>
    </row>
    <row r="52" spans="1:28">
      <c r="D52" s="58"/>
      <c r="E52" s="58"/>
      <c r="F52" s="58"/>
      <c r="G52" s="58"/>
      <c r="H52" s="58"/>
      <c r="I52" s="58"/>
      <c r="J52" s="58"/>
      <c r="K52" s="54"/>
      <c r="U52" s="58"/>
      <c r="V52" s="58"/>
      <c r="W52" s="58"/>
      <c r="X52" s="58"/>
      <c r="Y52" s="58"/>
      <c r="Z52" s="58"/>
      <c r="AA52" s="58"/>
      <c r="AB52" s="54"/>
    </row>
    <row r="53" spans="1:28">
      <c r="A53" s="74"/>
      <c r="B53" s="74"/>
      <c r="C53" s="74"/>
      <c r="D53" s="75"/>
      <c r="E53" s="75"/>
      <c r="F53" s="75"/>
      <c r="G53" s="75"/>
      <c r="H53" s="75"/>
      <c r="I53" s="75"/>
      <c r="J53" s="75"/>
      <c r="K53" s="76"/>
      <c r="L53" s="74"/>
      <c r="M53" s="74"/>
      <c r="N53" s="74"/>
      <c r="O53" s="74"/>
      <c r="P53" s="74"/>
      <c r="Q53" s="74"/>
      <c r="R53" s="74"/>
      <c r="S53" s="74"/>
      <c r="T53" s="74"/>
      <c r="U53" s="75"/>
      <c r="V53" s="75"/>
      <c r="W53" s="75"/>
      <c r="X53" s="75"/>
      <c r="Y53" s="75"/>
      <c r="Z53" s="75"/>
      <c r="AA53" s="75"/>
      <c r="AB53" s="54"/>
    </row>
    <row r="54" spans="1:28" ht="30">
      <c r="B54" s="191" t="s">
        <v>539</v>
      </c>
      <c r="D54" s="141" t="s">
        <v>383</v>
      </c>
      <c r="E54" s="141" t="s">
        <v>384</v>
      </c>
      <c r="F54" s="91" t="s">
        <v>172</v>
      </c>
      <c r="G54" s="51" t="s">
        <v>7</v>
      </c>
      <c r="I54" s="91" t="s">
        <v>386</v>
      </c>
      <c r="J54" s="91" t="s">
        <v>385</v>
      </c>
      <c r="K54" s="91" t="s">
        <v>219</v>
      </c>
      <c r="L54" s="91" t="s">
        <v>11</v>
      </c>
      <c r="M54" s="91" t="s">
        <v>218</v>
      </c>
      <c r="N54" s="91" t="s">
        <v>171</v>
      </c>
      <c r="O54" s="91" t="s">
        <v>187</v>
      </c>
      <c r="P54" s="51" t="s">
        <v>7</v>
      </c>
      <c r="Q54" s="141"/>
      <c r="R54" s="91" t="s">
        <v>657</v>
      </c>
      <c r="S54" s="91"/>
      <c r="T54" s="91"/>
      <c r="U54" s="91"/>
      <c r="V54" s="91"/>
      <c r="W54" s="91"/>
      <c r="X54" s="91"/>
      <c r="Y54" s="91"/>
      <c r="Z54" s="51"/>
      <c r="AA54" s="58"/>
      <c r="AB54" s="54"/>
    </row>
    <row r="55" spans="1:28" ht="15.75">
      <c r="A55" s="57" t="s">
        <v>274</v>
      </c>
      <c r="B55" s="190" t="s">
        <v>206</v>
      </c>
      <c r="C55" s="294" t="s">
        <v>335</v>
      </c>
      <c r="D55" s="58">
        <f>SUMIFS($D4:$V4,$D$2:$V$2,D$54)</f>
        <v>0</v>
      </c>
      <c r="E55" s="58">
        <f t="shared" ref="D55:F80" si="11">SUMIFS($D4:$V4,$D$2:$V$2,E$54)</f>
        <v>0</v>
      </c>
      <c r="F55" s="58">
        <f t="shared" si="11"/>
        <v>1.7729999999999999</v>
      </c>
      <c r="G55" s="54">
        <f t="shared" ref="G55:G90" si="12">SUM(D55:F55)</f>
        <v>1.7729999999999999</v>
      </c>
      <c r="I55" s="58">
        <f t="shared" ref="I55:O64" si="13">SUMIFS($D4:$V4,$D$2:$V$2,I$54)</f>
        <v>0</v>
      </c>
      <c r="J55" s="58">
        <f t="shared" si="13"/>
        <v>0</v>
      </c>
      <c r="K55" s="58">
        <f t="shared" si="13"/>
        <v>0</v>
      </c>
      <c r="L55" s="58">
        <f t="shared" si="13"/>
        <v>0</v>
      </c>
      <c r="M55" s="58">
        <f t="shared" si="13"/>
        <v>0</v>
      </c>
      <c r="N55" s="58">
        <f t="shared" si="13"/>
        <v>0</v>
      </c>
      <c r="O55" s="58">
        <f t="shared" si="13"/>
        <v>0</v>
      </c>
      <c r="P55" s="54">
        <f t="shared" ref="P55:P100" si="14">SUM(G55,I55:O55)</f>
        <v>1.7729999999999999</v>
      </c>
      <c r="Q55" s="73"/>
      <c r="R55" s="54">
        <f t="shared" ref="R55:R102" si="15">SUM(K55:O55)</f>
        <v>0</v>
      </c>
      <c r="T55" s="73"/>
      <c r="U55" s="73"/>
      <c r="V55" s="73"/>
      <c r="W55" s="73"/>
      <c r="X55" s="73"/>
      <c r="Y55" s="73"/>
      <c r="Z55" s="54"/>
      <c r="AA55" s="58"/>
      <c r="AB55" s="54"/>
    </row>
    <row r="56" spans="1:28" ht="15.75">
      <c r="A56" s="57" t="s">
        <v>274</v>
      </c>
      <c r="B56" s="728" t="s">
        <v>387</v>
      </c>
      <c r="C56" s="294" t="s">
        <v>545</v>
      </c>
      <c r="D56" s="58">
        <f t="shared" si="11"/>
        <v>167.99819399999998</v>
      </c>
      <c r="E56" s="58">
        <f t="shared" si="11"/>
        <v>178.715</v>
      </c>
      <c r="F56" s="58">
        <f t="shared" si="11"/>
        <v>376.97500000000002</v>
      </c>
      <c r="G56" s="54">
        <f t="shared" si="12"/>
        <v>723.68819400000007</v>
      </c>
      <c r="I56" s="58">
        <f t="shared" si="13"/>
        <v>4.2556149999999988</v>
      </c>
      <c r="J56" s="58">
        <f t="shared" si="13"/>
        <v>0</v>
      </c>
      <c r="K56" s="58">
        <f t="shared" si="13"/>
        <v>0</v>
      </c>
      <c r="L56" s="58">
        <f t="shared" si="13"/>
        <v>0.38100000000000001</v>
      </c>
      <c r="M56" s="58">
        <f t="shared" si="13"/>
        <v>0</v>
      </c>
      <c r="N56" s="58">
        <f t="shared" si="13"/>
        <v>0</v>
      </c>
      <c r="O56" s="58">
        <f t="shared" si="13"/>
        <v>0</v>
      </c>
      <c r="P56" s="54">
        <f t="shared" si="14"/>
        <v>728.32480900000007</v>
      </c>
      <c r="Q56" s="73"/>
      <c r="R56" s="54">
        <f t="shared" si="15"/>
        <v>0.38100000000000001</v>
      </c>
      <c r="S56" s="73"/>
      <c r="T56" s="73"/>
      <c r="U56" s="73"/>
      <c r="V56" s="73"/>
      <c r="W56" s="73"/>
      <c r="X56" s="73"/>
      <c r="Y56" s="73"/>
      <c r="Z56" s="54"/>
      <c r="AA56" s="58"/>
      <c r="AB56" s="54"/>
    </row>
    <row r="57" spans="1:28" ht="15.75">
      <c r="A57" s="57" t="s">
        <v>274</v>
      </c>
      <c r="B57" s="190" t="s">
        <v>203</v>
      </c>
      <c r="C57" s="294" t="s">
        <v>338</v>
      </c>
      <c r="D57" s="58">
        <f t="shared" si="11"/>
        <v>71.210695000000001</v>
      </c>
      <c r="E57" s="58">
        <f t="shared" si="11"/>
        <v>115.285</v>
      </c>
      <c r="F57" s="58">
        <f t="shared" si="11"/>
        <v>21.582000000000001</v>
      </c>
      <c r="G57" s="54">
        <f t="shared" si="12"/>
        <v>208.07769500000001</v>
      </c>
      <c r="I57" s="58">
        <f t="shared" si="13"/>
        <v>0</v>
      </c>
      <c r="J57" s="58">
        <f t="shared" si="13"/>
        <v>0</v>
      </c>
      <c r="K57" s="58">
        <f t="shared" si="13"/>
        <v>0</v>
      </c>
      <c r="L57" s="58">
        <f t="shared" si="13"/>
        <v>0</v>
      </c>
      <c r="M57" s="58">
        <f t="shared" si="13"/>
        <v>0</v>
      </c>
      <c r="N57" s="58">
        <f t="shared" si="13"/>
        <v>0</v>
      </c>
      <c r="O57" s="58">
        <f t="shared" si="13"/>
        <v>0</v>
      </c>
      <c r="P57" s="54">
        <f t="shared" si="14"/>
        <v>208.07769500000001</v>
      </c>
      <c r="Q57" s="73"/>
      <c r="R57" s="54">
        <f t="shared" si="15"/>
        <v>0</v>
      </c>
      <c r="S57" s="73"/>
      <c r="T57" s="73"/>
      <c r="U57" s="73"/>
      <c r="V57" s="73"/>
      <c r="W57" s="73"/>
      <c r="X57" s="73"/>
      <c r="Y57" s="73"/>
      <c r="Z57" s="54"/>
      <c r="AA57" s="58"/>
      <c r="AB57" s="54"/>
    </row>
    <row r="58" spans="1:28" ht="15.75">
      <c r="A58" s="57" t="s">
        <v>274</v>
      </c>
      <c r="B58" s="190" t="s">
        <v>202</v>
      </c>
      <c r="C58" s="294" t="s">
        <v>337</v>
      </c>
      <c r="D58" s="58">
        <f t="shared" si="11"/>
        <v>108.61128500000001</v>
      </c>
      <c r="E58" s="58">
        <f t="shared" si="11"/>
        <v>4.4249999999999998</v>
      </c>
      <c r="F58" s="58">
        <f t="shared" si="11"/>
        <v>36.133000000000003</v>
      </c>
      <c r="G58" s="54">
        <f t="shared" si="12"/>
        <v>149.169285</v>
      </c>
      <c r="I58" s="58">
        <f t="shared" si="13"/>
        <v>0</v>
      </c>
      <c r="J58" s="58">
        <f t="shared" si="13"/>
        <v>0</v>
      </c>
      <c r="K58" s="58">
        <f t="shared" si="13"/>
        <v>0</v>
      </c>
      <c r="L58" s="58">
        <f t="shared" si="13"/>
        <v>0</v>
      </c>
      <c r="M58" s="58">
        <f t="shared" si="13"/>
        <v>0</v>
      </c>
      <c r="N58" s="58">
        <f t="shared" si="13"/>
        <v>0</v>
      </c>
      <c r="O58" s="58">
        <f t="shared" si="13"/>
        <v>0</v>
      </c>
      <c r="P58" s="54">
        <f t="shared" si="14"/>
        <v>149.169285</v>
      </c>
      <c r="Q58" s="73"/>
      <c r="R58" s="54">
        <f t="shared" si="15"/>
        <v>0</v>
      </c>
      <c r="S58" s="73"/>
      <c r="T58" s="73"/>
      <c r="U58" s="73"/>
      <c r="V58" s="73"/>
      <c r="W58" s="73"/>
      <c r="X58" s="73"/>
      <c r="Y58" s="73"/>
      <c r="Z58" s="54"/>
      <c r="AA58" s="58"/>
      <c r="AB58" s="54"/>
    </row>
    <row r="59" spans="1:28" ht="15.75">
      <c r="A59" s="57" t="s">
        <v>274</v>
      </c>
      <c r="B59" s="192" t="s">
        <v>199</v>
      </c>
      <c r="C59" s="294" t="s">
        <v>336</v>
      </c>
      <c r="D59" s="58">
        <f t="shared" si="11"/>
        <v>3.4819329999999997</v>
      </c>
      <c r="E59" s="58">
        <f t="shared" si="11"/>
        <v>0</v>
      </c>
      <c r="F59" s="58">
        <f t="shared" si="11"/>
        <v>4.1449999999999996</v>
      </c>
      <c r="G59" s="54">
        <f t="shared" si="12"/>
        <v>7.6269329999999993</v>
      </c>
      <c r="I59" s="58">
        <f t="shared" si="13"/>
        <v>59.526828000000002</v>
      </c>
      <c r="J59" s="58">
        <f t="shared" si="13"/>
        <v>0</v>
      </c>
      <c r="K59" s="58">
        <f t="shared" si="13"/>
        <v>0</v>
      </c>
      <c r="L59" s="58">
        <f t="shared" si="13"/>
        <v>0</v>
      </c>
      <c r="M59" s="58">
        <f t="shared" si="13"/>
        <v>0</v>
      </c>
      <c r="N59" s="58">
        <f t="shared" si="13"/>
        <v>0</v>
      </c>
      <c r="O59" s="58">
        <f t="shared" si="13"/>
        <v>0</v>
      </c>
      <c r="P59" s="54">
        <f t="shared" si="14"/>
        <v>67.153761000000003</v>
      </c>
      <c r="Q59" s="73"/>
      <c r="R59" s="54">
        <f t="shared" si="15"/>
        <v>0</v>
      </c>
      <c r="S59" s="73"/>
      <c r="T59" s="73"/>
      <c r="U59" s="73"/>
      <c r="V59" s="73"/>
      <c r="W59" s="73"/>
      <c r="X59" s="73"/>
      <c r="Y59" s="73"/>
      <c r="Z59" s="54"/>
      <c r="AA59" s="58"/>
      <c r="AB59" s="54"/>
    </row>
    <row r="60" spans="1:28" ht="15.75">
      <c r="A60" s="57" t="s">
        <v>274</v>
      </c>
      <c r="B60" s="728" t="s">
        <v>954</v>
      </c>
      <c r="C60" s="294" t="s">
        <v>286</v>
      </c>
      <c r="D60" s="58">
        <f t="shared" si="11"/>
        <v>0.53073700000000001</v>
      </c>
      <c r="E60" s="58">
        <f t="shared" si="11"/>
        <v>110.779</v>
      </c>
      <c r="F60" s="58">
        <f t="shared" si="11"/>
        <v>5.117</v>
      </c>
      <c r="G60" s="54">
        <f t="shared" si="12"/>
        <v>116.426737</v>
      </c>
      <c r="I60" s="58">
        <f t="shared" si="13"/>
        <v>0</v>
      </c>
      <c r="J60" s="58">
        <f t="shared" si="13"/>
        <v>0</v>
      </c>
      <c r="K60" s="58">
        <f t="shared" si="13"/>
        <v>0</v>
      </c>
      <c r="L60" s="58">
        <f t="shared" si="13"/>
        <v>0</v>
      </c>
      <c r="M60" s="58">
        <f t="shared" si="13"/>
        <v>0</v>
      </c>
      <c r="N60" s="58">
        <f t="shared" si="13"/>
        <v>0</v>
      </c>
      <c r="O60" s="58">
        <f t="shared" si="13"/>
        <v>0</v>
      </c>
      <c r="P60" s="54">
        <f t="shared" si="14"/>
        <v>116.426737</v>
      </c>
      <c r="Q60" s="73"/>
      <c r="R60" s="54">
        <f t="shared" si="15"/>
        <v>0</v>
      </c>
      <c r="S60" s="73"/>
      <c r="T60" s="73"/>
      <c r="U60" s="73"/>
      <c r="V60" s="73"/>
      <c r="W60" s="73"/>
      <c r="X60" s="73"/>
      <c r="Y60" s="73"/>
      <c r="Z60" s="54"/>
      <c r="AA60" s="58"/>
      <c r="AB60" s="54"/>
    </row>
    <row r="61" spans="1:28" ht="15.75">
      <c r="A61" s="57" t="s">
        <v>274</v>
      </c>
      <c r="B61" s="728" t="s">
        <v>954</v>
      </c>
      <c r="C61" s="294" t="s">
        <v>334</v>
      </c>
      <c r="D61" s="58">
        <f t="shared" si="11"/>
        <v>10.313444</v>
      </c>
      <c r="E61" s="58">
        <f t="shared" si="11"/>
        <v>66.287999999999997</v>
      </c>
      <c r="F61" s="58">
        <f t="shared" si="11"/>
        <v>17.125</v>
      </c>
      <c r="G61" s="54">
        <f t="shared" si="12"/>
        <v>93.726444000000001</v>
      </c>
      <c r="I61" s="58">
        <f t="shared" si="13"/>
        <v>0</v>
      </c>
      <c r="J61" s="58">
        <f t="shared" si="13"/>
        <v>0</v>
      </c>
      <c r="K61" s="58">
        <f t="shared" si="13"/>
        <v>0</v>
      </c>
      <c r="L61" s="58">
        <f t="shared" si="13"/>
        <v>0</v>
      </c>
      <c r="M61" s="58">
        <f t="shared" si="13"/>
        <v>0</v>
      </c>
      <c r="N61" s="58">
        <f t="shared" si="13"/>
        <v>0</v>
      </c>
      <c r="O61" s="58">
        <f t="shared" si="13"/>
        <v>0</v>
      </c>
      <c r="P61" s="54">
        <f t="shared" si="14"/>
        <v>93.726444000000001</v>
      </c>
      <c r="Q61" s="73"/>
      <c r="R61" s="54">
        <f t="shared" si="15"/>
        <v>0</v>
      </c>
      <c r="T61" s="73"/>
      <c r="U61" s="73"/>
      <c r="V61" s="73"/>
      <c r="W61" s="73"/>
      <c r="X61" s="73"/>
      <c r="Y61" s="73"/>
      <c r="Z61" s="54"/>
      <c r="AA61" s="58"/>
      <c r="AB61" s="54"/>
    </row>
    <row r="62" spans="1:28" ht="15.75">
      <c r="A62" s="57" t="s">
        <v>274</v>
      </c>
      <c r="B62" s="728" t="s">
        <v>387</v>
      </c>
      <c r="C62" s="294" t="s">
        <v>333</v>
      </c>
      <c r="D62" s="58">
        <f t="shared" si="11"/>
        <v>15.914297999999999</v>
      </c>
      <c r="E62" s="58">
        <f t="shared" si="11"/>
        <v>9.2739999999999991</v>
      </c>
      <c r="F62" s="58">
        <f t="shared" si="11"/>
        <v>36.293999999999997</v>
      </c>
      <c r="G62" s="54">
        <f t="shared" si="12"/>
        <v>61.482297999999993</v>
      </c>
      <c r="I62" s="58">
        <f t="shared" si="13"/>
        <v>0</v>
      </c>
      <c r="J62" s="58">
        <f t="shared" si="13"/>
        <v>0</v>
      </c>
      <c r="K62" s="58">
        <f t="shared" si="13"/>
        <v>0</v>
      </c>
      <c r="L62" s="58">
        <f t="shared" si="13"/>
        <v>0</v>
      </c>
      <c r="M62" s="58">
        <f t="shared" si="13"/>
        <v>0</v>
      </c>
      <c r="N62" s="58">
        <f t="shared" si="13"/>
        <v>0</v>
      </c>
      <c r="O62" s="58">
        <f t="shared" si="13"/>
        <v>0</v>
      </c>
      <c r="P62" s="54">
        <f t="shared" si="14"/>
        <v>61.482297999999993</v>
      </c>
      <c r="Q62" s="73"/>
      <c r="R62" s="54">
        <f t="shared" si="15"/>
        <v>0</v>
      </c>
      <c r="S62" s="73"/>
      <c r="T62" s="73"/>
      <c r="U62" s="73"/>
      <c r="V62" s="73"/>
      <c r="W62" s="73"/>
      <c r="X62" s="73"/>
      <c r="Y62" s="73"/>
      <c r="Z62" s="54"/>
      <c r="AA62" s="58"/>
      <c r="AB62" s="54"/>
    </row>
    <row r="63" spans="1:28" ht="15.75">
      <c r="A63" s="57" t="s">
        <v>274</v>
      </c>
      <c r="B63" s="190" t="s">
        <v>200</v>
      </c>
      <c r="C63" s="294" t="s">
        <v>332</v>
      </c>
      <c r="D63" s="58">
        <f t="shared" si="11"/>
        <v>6.8570200000000003</v>
      </c>
      <c r="E63" s="58">
        <f t="shared" si="11"/>
        <v>32.664000000000001</v>
      </c>
      <c r="F63" s="58">
        <f t="shared" si="11"/>
        <v>10.295999999999999</v>
      </c>
      <c r="G63" s="54">
        <f t="shared" si="12"/>
        <v>49.817019999999999</v>
      </c>
      <c r="I63" s="58">
        <f t="shared" si="13"/>
        <v>0</v>
      </c>
      <c r="J63" s="58">
        <f t="shared" si="13"/>
        <v>0</v>
      </c>
      <c r="K63" s="58">
        <f t="shared" si="13"/>
        <v>0</v>
      </c>
      <c r="L63" s="58">
        <f t="shared" si="13"/>
        <v>0</v>
      </c>
      <c r="M63" s="58">
        <f t="shared" si="13"/>
        <v>0</v>
      </c>
      <c r="N63" s="58">
        <f t="shared" si="13"/>
        <v>0</v>
      </c>
      <c r="O63" s="58">
        <f t="shared" si="13"/>
        <v>0</v>
      </c>
      <c r="P63" s="54">
        <f t="shared" si="14"/>
        <v>49.817019999999999</v>
      </c>
      <c r="Q63" s="73"/>
      <c r="R63" s="54">
        <f t="shared" si="15"/>
        <v>0</v>
      </c>
      <c r="S63" s="73"/>
      <c r="T63" s="73"/>
      <c r="U63" s="73"/>
      <c r="V63" s="73"/>
      <c r="W63" s="73"/>
      <c r="X63" s="73"/>
      <c r="Y63" s="73"/>
      <c r="Z63" s="54"/>
      <c r="AA63" s="58"/>
      <c r="AB63" s="54"/>
    </row>
    <row r="64" spans="1:28" ht="15.75">
      <c r="A64" s="57" t="s">
        <v>274</v>
      </c>
      <c r="B64" s="728" t="s">
        <v>387</v>
      </c>
      <c r="C64" s="294" t="s">
        <v>331</v>
      </c>
      <c r="D64" s="58">
        <f t="shared" si="11"/>
        <v>2.6333449999999994</v>
      </c>
      <c r="E64" s="58">
        <f t="shared" si="11"/>
        <v>48.554000000000002</v>
      </c>
      <c r="F64" s="58">
        <f t="shared" si="11"/>
        <v>4.1779999999999999</v>
      </c>
      <c r="G64" s="54">
        <f t="shared" si="12"/>
        <v>55.365344999999998</v>
      </c>
      <c r="I64" s="58">
        <f t="shared" si="13"/>
        <v>0</v>
      </c>
      <c r="J64" s="58">
        <f t="shared" si="13"/>
        <v>0</v>
      </c>
      <c r="K64" s="58">
        <f t="shared" si="13"/>
        <v>0</v>
      </c>
      <c r="L64" s="58">
        <f t="shared" si="13"/>
        <v>0</v>
      </c>
      <c r="M64" s="58">
        <f t="shared" si="13"/>
        <v>0</v>
      </c>
      <c r="N64" s="58">
        <f t="shared" si="13"/>
        <v>0</v>
      </c>
      <c r="O64" s="58">
        <f t="shared" si="13"/>
        <v>0</v>
      </c>
      <c r="P64" s="54">
        <f t="shared" si="14"/>
        <v>55.365344999999998</v>
      </c>
      <c r="Q64" s="73"/>
      <c r="R64" s="54">
        <f t="shared" si="15"/>
        <v>0</v>
      </c>
      <c r="S64" s="73"/>
      <c r="T64" s="73"/>
      <c r="U64" s="73"/>
      <c r="V64" s="73"/>
      <c r="W64" s="73"/>
      <c r="X64" s="73"/>
      <c r="Y64" s="73"/>
      <c r="Z64" s="54"/>
      <c r="AA64" s="58"/>
      <c r="AB64" s="54"/>
    </row>
    <row r="65" spans="1:28" ht="15.75">
      <c r="A65" s="57" t="s">
        <v>274</v>
      </c>
      <c r="B65" s="192" t="s">
        <v>199</v>
      </c>
      <c r="C65" s="294" t="s">
        <v>328</v>
      </c>
      <c r="D65" s="58">
        <f t="shared" si="11"/>
        <v>3.035104</v>
      </c>
      <c r="E65" s="58">
        <f t="shared" si="11"/>
        <v>15.255000000000001</v>
      </c>
      <c r="F65" s="58">
        <f t="shared" si="11"/>
        <v>3.6819999999999999</v>
      </c>
      <c r="G65" s="54">
        <f t="shared" si="12"/>
        <v>21.972103999999998</v>
      </c>
      <c r="I65" s="58">
        <f t="shared" ref="I65:O74" si="16">SUMIFS($D14:$V14,$D$2:$V$2,I$54)</f>
        <v>0</v>
      </c>
      <c r="J65" s="58">
        <f t="shared" si="16"/>
        <v>0</v>
      </c>
      <c r="K65" s="58">
        <f t="shared" si="16"/>
        <v>0</v>
      </c>
      <c r="L65" s="58">
        <f t="shared" si="16"/>
        <v>0</v>
      </c>
      <c r="M65" s="58">
        <f t="shared" si="16"/>
        <v>0</v>
      </c>
      <c r="N65" s="58">
        <f t="shared" si="16"/>
        <v>0</v>
      </c>
      <c r="O65" s="58">
        <f t="shared" si="16"/>
        <v>0</v>
      </c>
      <c r="P65" s="54">
        <f t="shared" si="14"/>
        <v>21.972103999999998</v>
      </c>
      <c r="Q65" s="73"/>
      <c r="R65" s="54">
        <f t="shared" si="15"/>
        <v>0</v>
      </c>
      <c r="S65" s="73"/>
      <c r="T65" s="73"/>
      <c r="U65" s="73"/>
      <c r="V65" s="73"/>
      <c r="W65" s="73"/>
      <c r="X65" s="73"/>
      <c r="Y65" s="73"/>
      <c r="Z65" s="54"/>
      <c r="AA65" s="58"/>
      <c r="AB65" s="54"/>
    </row>
    <row r="66" spans="1:28" ht="15.75">
      <c r="A66" s="57" t="s">
        <v>274</v>
      </c>
      <c r="B66" s="192" t="s">
        <v>199</v>
      </c>
      <c r="C66" s="294" t="s">
        <v>326</v>
      </c>
      <c r="D66" s="58">
        <f t="shared" si="11"/>
        <v>5.5067520000000005</v>
      </c>
      <c r="E66" s="58">
        <f t="shared" si="11"/>
        <v>0.96099999999999997</v>
      </c>
      <c r="F66" s="58">
        <f t="shared" si="11"/>
        <v>3.0630000000000002</v>
      </c>
      <c r="G66" s="54">
        <f t="shared" si="12"/>
        <v>9.5307520000000014</v>
      </c>
      <c r="I66" s="58">
        <f t="shared" si="16"/>
        <v>0</v>
      </c>
      <c r="J66" s="58">
        <f t="shared" si="16"/>
        <v>0</v>
      </c>
      <c r="K66" s="58">
        <f t="shared" si="16"/>
        <v>0</v>
      </c>
      <c r="L66" s="58">
        <f t="shared" si="16"/>
        <v>0</v>
      </c>
      <c r="M66" s="58">
        <f t="shared" si="16"/>
        <v>0</v>
      </c>
      <c r="N66" s="58">
        <f t="shared" si="16"/>
        <v>0</v>
      </c>
      <c r="O66" s="58">
        <f t="shared" si="16"/>
        <v>0</v>
      </c>
      <c r="P66" s="54">
        <f t="shared" si="14"/>
        <v>9.5307520000000014</v>
      </c>
      <c r="Q66" s="73"/>
      <c r="R66" s="54">
        <f t="shared" si="15"/>
        <v>0</v>
      </c>
      <c r="S66" s="73"/>
      <c r="T66" s="73"/>
      <c r="U66" s="73"/>
      <c r="V66" s="73"/>
      <c r="W66" s="73"/>
      <c r="X66" s="73"/>
      <c r="Y66" s="73"/>
      <c r="Z66" s="54"/>
      <c r="AA66" s="58"/>
      <c r="AB66" s="54"/>
    </row>
    <row r="67" spans="1:28" ht="15.75">
      <c r="A67" s="57" t="s">
        <v>274</v>
      </c>
      <c r="B67" s="728" t="s">
        <v>387</v>
      </c>
      <c r="C67" s="294" t="s">
        <v>321</v>
      </c>
      <c r="D67" s="58">
        <f t="shared" si="11"/>
        <v>1.371977</v>
      </c>
      <c r="E67" s="58">
        <f t="shared" si="11"/>
        <v>4.7320000000000002</v>
      </c>
      <c r="F67" s="58">
        <f t="shared" si="11"/>
        <v>7.875</v>
      </c>
      <c r="G67" s="54">
        <f t="shared" si="12"/>
        <v>13.978977</v>
      </c>
      <c r="I67" s="58">
        <f t="shared" si="16"/>
        <v>0</v>
      </c>
      <c r="J67" s="58">
        <f t="shared" si="16"/>
        <v>0</v>
      </c>
      <c r="K67" s="58">
        <f t="shared" si="16"/>
        <v>0</v>
      </c>
      <c r="L67" s="58">
        <f t="shared" si="16"/>
        <v>0</v>
      </c>
      <c r="M67" s="58">
        <f t="shared" si="16"/>
        <v>0</v>
      </c>
      <c r="N67" s="58">
        <f t="shared" si="16"/>
        <v>0</v>
      </c>
      <c r="O67" s="58">
        <f t="shared" si="16"/>
        <v>0</v>
      </c>
      <c r="P67" s="54">
        <f t="shared" si="14"/>
        <v>13.978977</v>
      </c>
      <c r="Q67" s="73"/>
      <c r="R67" s="54">
        <f t="shared" si="15"/>
        <v>0</v>
      </c>
      <c r="S67" s="73"/>
      <c r="T67" s="73"/>
      <c r="U67" s="73"/>
      <c r="V67" s="73"/>
      <c r="W67" s="73"/>
      <c r="X67" s="73"/>
      <c r="Y67" s="73"/>
      <c r="Z67" s="54"/>
      <c r="AA67" s="58"/>
      <c r="AB67" s="54"/>
    </row>
    <row r="68" spans="1:28" ht="15.75">
      <c r="A68" s="57" t="s">
        <v>274</v>
      </c>
      <c r="B68" s="728" t="s">
        <v>387</v>
      </c>
      <c r="C68" s="294" t="s">
        <v>314</v>
      </c>
      <c r="D68" s="58">
        <f t="shared" si="11"/>
        <v>2.4671889999999999</v>
      </c>
      <c r="E68" s="58">
        <f t="shared" si="11"/>
        <v>5.4610000000000003</v>
      </c>
      <c r="F68" s="58">
        <f t="shared" si="11"/>
        <v>1.6479999999999999</v>
      </c>
      <c r="G68" s="54">
        <f t="shared" si="12"/>
        <v>9.5761889999999994</v>
      </c>
      <c r="I68" s="58">
        <f t="shared" si="16"/>
        <v>0</v>
      </c>
      <c r="J68" s="58">
        <f t="shared" si="16"/>
        <v>0</v>
      </c>
      <c r="K68" s="58">
        <f t="shared" si="16"/>
        <v>0</v>
      </c>
      <c r="L68" s="58">
        <f t="shared" si="16"/>
        <v>0</v>
      </c>
      <c r="M68" s="58">
        <f t="shared" si="16"/>
        <v>0</v>
      </c>
      <c r="N68" s="58">
        <f t="shared" si="16"/>
        <v>0</v>
      </c>
      <c r="O68" s="58">
        <f t="shared" si="16"/>
        <v>0</v>
      </c>
      <c r="P68" s="54">
        <f t="shared" si="14"/>
        <v>9.5761889999999994</v>
      </c>
      <c r="Q68" s="73"/>
      <c r="R68" s="54">
        <f t="shared" si="15"/>
        <v>0</v>
      </c>
      <c r="S68" s="73"/>
      <c r="T68" s="73"/>
      <c r="U68" s="73"/>
      <c r="V68" s="73"/>
      <c r="W68" s="73"/>
      <c r="X68" s="73"/>
      <c r="Y68" s="73"/>
      <c r="Z68" s="54"/>
      <c r="AA68" s="58"/>
      <c r="AB68" s="54"/>
    </row>
    <row r="69" spans="1:28" ht="15.75">
      <c r="A69" s="57" t="s">
        <v>274</v>
      </c>
      <c r="B69" s="728" t="s">
        <v>387</v>
      </c>
      <c r="C69" s="294" t="s">
        <v>308</v>
      </c>
      <c r="D69" s="58">
        <f t="shared" si="11"/>
        <v>0.162296</v>
      </c>
      <c r="E69" s="58">
        <f t="shared" si="11"/>
        <v>0.51700000000000002</v>
      </c>
      <c r="F69" s="58">
        <f t="shared" si="11"/>
        <v>0.47499999999999998</v>
      </c>
      <c r="G69" s="54">
        <f t="shared" si="12"/>
        <v>1.154296</v>
      </c>
      <c r="I69" s="58">
        <f t="shared" si="16"/>
        <v>0</v>
      </c>
      <c r="J69" s="58">
        <f t="shared" si="16"/>
        <v>0</v>
      </c>
      <c r="K69" s="58">
        <f t="shared" si="16"/>
        <v>0</v>
      </c>
      <c r="L69" s="58">
        <f t="shared" si="16"/>
        <v>0</v>
      </c>
      <c r="M69" s="58">
        <f t="shared" si="16"/>
        <v>0</v>
      </c>
      <c r="N69" s="58">
        <f t="shared" si="16"/>
        <v>0</v>
      </c>
      <c r="O69" s="58">
        <f t="shared" si="16"/>
        <v>0</v>
      </c>
      <c r="P69" s="54">
        <f t="shared" si="14"/>
        <v>1.154296</v>
      </c>
      <c r="Q69" s="73"/>
      <c r="R69" s="54">
        <f t="shared" si="15"/>
        <v>0</v>
      </c>
      <c r="S69" s="73"/>
      <c r="T69" s="73"/>
      <c r="U69" s="73"/>
      <c r="V69" s="73"/>
      <c r="W69" s="73"/>
      <c r="X69" s="73"/>
      <c r="Y69" s="73"/>
      <c r="Z69" s="54"/>
      <c r="AA69" s="58"/>
      <c r="AB69" s="54"/>
    </row>
    <row r="70" spans="1:28" ht="15.75">
      <c r="A70" s="57" t="s">
        <v>274</v>
      </c>
      <c r="B70" s="192" t="s">
        <v>199</v>
      </c>
      <c r="C70" s="294" t="s">
        <v>300</v>
      </c>
      <c r="D70" s="58">
        <f t="shared" si="11"/>
        <v>8.7880000000000007E-3</v>
      </c>
      <c r="E70" s="58">
        <f t="shared" si="11"/>
        <v>0.27300000000000002</v>
      </c>
      <c r="F70" s="58">
        <f t="shared" si="11"/>
        <v>0.24199999999999999</v>
      </c>
      <c r="G70" s="54">
        <f t="shared" si="12"/>
        <v>0.52378800000000003</v>
      </c>
      <c r="I70" s="58">
        <f t="shared" si="16"/>
        <v>0</v>
      </c>
      <c r="J70" s="58">
        <f t="shared" si="16"/>
        <v>0</v>
      </c>
      <c r="K70" s="58">
        <f t="shared" si="16"/>
        <v>0</v>
      </c>
      <c r="L70" s="58">
        <f t="shared" si="16"/>
        <v>0</v>
      </c>
      <c r="M70" s="58">
        <f t="shared" si="16"/>
        <v>0</v>
      </c>
      <c r="N70" s="58">
        <f t="shared" si="16"/>
        <v>0</v>
      </c>
      <c r="O70" s="58">
        <f t="shared" si="16"/>
        <v>0</v>
      </c>
      <c r="P70" s="54">
        <f t="shared" si="14"/>
        <v>0.52378800000000003</v>
      </c>
      <c r="Q70" s="73"/>
      <c r="R70" s="54">
        <f t="shared" si="15"/>
        <v>0</v>
      </c>
      <c r="S70" s="73"/>
      <c r="T70" s="73"/>
      <c r="U70" s="73"/>
      <c r="V70" s="73"/>
      <c r="W70" s="73"/>
      <c r="X70" s="73"/>
      <c r="Y70" s="73"/>
      <c r="Z70" s="54"/>
      <c r="AA70" s="58"/>
      <c r="AB70" s="54"/>
    </row>
    <row r="71" spans="1:28" ht="15.75">
      <c r="A71" s="294" t="s">
        <v>298</v>
      </c>
      <c r="B71" s="190" t="s">
        <v>214</v>
      </c>
      <c r="C71" s="294" t="s">
        <v>298</v>
      </c>
      <c r="D71" s="58">
        <f>SUMIFS($D20:$V20,$D$2:$V$2,D$54)</f>
        <v>69.427137000000002</v>
      </c>
      <c r="E71" s="58">
        <f t="shared" si="11"/>
        <v>11.097</v>
      </c>
      <c r="F71" s="58">
        <f t="shared" si="11"/>
        <v>50.081000000000003</v>
      </c>
      <c r="G71" s="54">
        <f t="shared" si="12"/>
        <v>130.60513700000001</v>
      </c>
      <c r="I71" s="58">
        <f t="shared" si="16"/>
        <v>0</v>
      </c>
      <c r="J71" s="58">
        <f t="shared" si="16"/>
        <v>0</v>
      </c>
      <c r="K71" s="58">
        <f t="shared" si="16"/>
        <v>0</v>
      </c>
      <c r="L71" s="58">
        <f t="shared" si="16"/>
        <v>2.819</v>
      </c>
      <c r="M71" s="58">
        <f t="shared" si="16"/>
        <v>0</v>
      </c>
      <c r="N71" s="58">
        <f t="shared" si="16"/>
        <v>0</v>
      </c>
      <c r="O71" s="58">
        <f t="shared" si="16"/>
        <v>0</v>
      </c>
      <c r="P71" s="54">
        <f t="shared" si="14"/>
        <v>133.424137</v>
      </c>
      <c r="Q71" s="73"/>
      <c r="R71" s="54">
        <f t="shared" si="15"/>
        <v>2.819</v>
      </c>
      <c r="S71" s="73"/>
      <c r="T71" s="73"/>
      <c r="U71" s="73"/>
      <c r="V71" s="73"/>
      <c r="W71" s="73"/>
      <c r="X71" s="73"/>
      <c r="Y71" s="73"/>
      <c r="Z71" s="54"/>
      <c r="AA71" s="58"/>
      <c r="AB71" s="54"/>
    </row>
    <row r="72" spans="1:28" ht="15.75">
      <c r="A72" s="294" t="s">
        <v>281</v>
      </c>
      <c r="B72" s="190" t="s">
        <v>543</v>
      </c>
      <c r="C72" s="294" t="s">
        <v>281</v>
      </c>
      <c r="D72" s="58">
        <f t="shared" si="11"/>
        <v>258.308876</v>
      </c>
      <c r="E72" s="58">
        <f t="shared" si="11"/>
        <v>33.802999999999997</v>
      </c>
      <c r="F72" s="58">
        <f t="shared" si="11"/>
        <v>191.13900000000001</v>
      </c>
      <c r="G72" s="54">
        <f t="shared" si="12"/>
        <v>483.25087600000001</v>
      </c>
      <c r="I72" s="58">
        <f t="shared" si="16"/>
        <v>255.42239699999999</v>
      </c>
      <c r="J72" s="58">
        <f t="shared" si="16"/>
        <v>0</v>
      </c>
      <c r="K72" s="58">
        <f t="shared" si="16"/>
        <v>0</v>
      </c>
      <c r="L72" s="58">
        <f t="shared" si="16"/>
        <v>4.0359999999999996</v>
      </c>
      <c r="M72" s="58">
        <f t="shared" si="16"/>
        <v>0</v>
      </c>
      <c r="N72" s="58">
        <f t="shared" si="16"/>
        <v>0</v>
      </c>
      <c r="O72" s="58">
        <f t="shared" si="16"/>
        <v>0</v>
      </c>
      <c r="P72" s="54">
        <f t="shared" si="14"/>
        <v>742.70927299999994</v>
      </c>
      <c r="Q72" s="73"/>
      <c r="R72" s="54">
        <f t="shared" si="15"/>
        <v>4.0359999999999996</v>
      </c>
      <c r="S72" s="73"/>
      <c r="T72" s="73"/>
      <c r="U72" s="73"/>
      <c r="V72" s="73"/>
      <c r="W72" s="73"/>
      <c r="X72" s="73"/>
      <c r="Y72" s="73"/>
      <c r="Z72" s="54"/>
      <c r="AA72" s="58"/>
      <c r="AB72" s="54"/>
    </row>
    <row r="73" spans="1:28" ht="15.75">
      <c r="A73" s="294" t="s">
        <v>297</v>
      </c>
      <c r="B73" s="190" t="s">
        <v>542</v>
      </c>
      <c r="C73" s="294" t="s">
        <v>297</v>
      </c>
      <c r="D73" s="58">
        <f t="shared" si="11"/>
        <v>0</v>
      </c>
      <c r="E73" s="58">
        <f t="shared" si="11"/>
        <v>0</v>
      </c>
      <c r="F73" s="58">
        <f t="shared" si="11"/>
        <v>33.427</v>
      </c>
      <c r="G73" s="54">
        <f t="shared" si="12"/>
        <v>33.427</v>
      </c>
      <c r="I73" s="58">
        <f t="shared" si="16"/>
        <v>0</v>
      </c>
      <c r="J73" s="58">
        <f t="shared" si="16"/>
        <v>0</v>
      </c>
      <c r="K73" s="58">
        <f t="shared" si="16"/>
        <v>0</v>
      </c>
      <c r="L73" s="58">
        <f t="shared" si="16"/>
        <v>0</v>
      </c>
      <c r="M73" s="58">
        <f t="shared" si="16"/>
        <v>0</v>
      </c>
      <c r="N73" s="58">
        <f t="shared" si="16"/>
        <v>0</v>
      </c>
      <c r="O73" s="58">
        <f t="shared" si="16"/>
        <v>0</v>
      </c>
      <c r="P73" s="54">
        <f t="shared" si="14"/>
        <v>33.427</v>
      </c>
      <c r="Q73" s="73"/>
      <c r="R73" s="54">
        <f t="shared" si="15"/>
        <v>0</v>
      </c>
      <c r="S73" s="73"/>
      <c r="T73" s="73"/>
      <c r="U73" s="73"/>
      <c r="V73" s="73"/>
      <c r="W73" s="73"/>
      <c r="X73" s="73"/>
      <c r="Y73" s="73"/>
      <c r="Z73" s="54"/>
      <c r="AA73" s="58"/>
      <c r="AB73" s="54"/>
    </row>
    <row r="74" spans="1:28" ht="15.75">
      <c r="A74" s="57" t="s">
        <v>48</v>
      </c>
      <c r="B74" s="190" t="s">
        <v>208</v>
      </c>
      <c r="C74" s="294" t="s">
        <v>296</v>
      </c>
      <c r="D74" s="58">
        <f t="shared" si="11"/>
        <v>127.186144</v>
      </c>
      <c r="E74" s="58">
        <f t="shared" si="11"/>
        <v>0</v>
      </c>
      <c r="F74" s="58">
        <f t="shared" si="11"/>
        <v>0</v>
      </c>
      <c r="G74" s="54">
        <f t="shared" si="12"/>
        <v>127.186144</v>
      </c>
      <c r="I74" s="58">
        <f t="shared" si="16"/>
        <v>0</v>
      </c>
      <c r="J74" s="58">
        <f t="shared" si="16"/>
        <v>0</v>
      </c>
      <c r="K74" s="58">
        <f t="shared" si="16"/>
        <v>0</v>
      </c>
      <c r="L74" s="58">
        <f t="shared" si="16"/>
        <v>0</v>
      </c>
      <c r="M74" s="58">
        <f t="shared" si="16"/>
        <v>0</v>
      </c>
      <c r="N74" s="58">
        <f t="shared" si="16"/>
        <v>0</v>
      </c>
      <c r="O74" s="58">
        <f t="shared" si="16"/>
        <v>0</v>
      </c>
      <c r="P74" s="54">
        <f t="shared" si="14"/>
        <v>127.186144</v>
      </c>
      <c r="Q74" s="73"/>
      <c r="R74" s="54">
        <f t="shared" si="15"/>
        <v>0</v>
      </c>
      <c r="S74" s="73"/>
      <c r="T74" s="73"/>
      <c r="U74" s="73"/>
      <c r="V74" s="73"/>
      <c r="W74" s="73"/>
      <c r="X74" s="73"/>
      <c r="Y74" s="73"/>
      <c r="Z74" s="54"/>
      <c r="AA74" s="58"/>
      <c r="AB74" s="54"/>
    </row>
    <row r="75" spans="1:28" ht="15.75">
      <c r="A75" s="57" t="s">
        <v>227</v>
      </c>
      <c r="B75" s="190" t="s">
        <v>540</v>
      </c>
      <c r="C75" s="294" t="s">
        <v>227</v>
      </c>
      <c r="D75" s="58">
        <f t="shared" si="11"/>
        <v>121.58713299999999</v>
      </c>
      <c r="E75" s="58">
        <f t="shared" si="11"/>
        <v>0</v>
      </c>
      <c r="F75" s="58">
        <f t="shared" si="11"/>
        <v>37.027999999999999</v>
      </c>
      <c r="G75" s="54">
        <f t="shared" si="12"/>
        <v>158.61513299999999</v>
      </c>
      <c r="I75" s="58">
        <f t="shared" ref="I75:O80" si="17">SUMIFS($D24:$V24,$D$2:$V$2,I$54)</f>
        <v>0</v>
      </c>
      <c r="J75" s="58">
        <f t="shared" si="17"/>
        <v>0</v>
      </c>
      <c r="K75" s="58">
        <f t="shared" si="17"/>
        <v>0</v>
      </c>
      <c r="L75" s="58">
        <f t="shared" si="17"/>
        <v>0</v>
      </c>
      <c r="M75" s="58">
        <f t="shared" si="17"/>
        <v>0</v>
      </c>
      <c r="N75" s="58">
        <f t="shared" si="17"/>
        <v>0</v>
      </c>
      <c r="O75" s="58">
        <f t="shared" si="17"/>
        <v>0</v>
      </c>
      <c r="P75" s="54">
        <f t="shared" si="14"/>
        <v>158.61513299999999</v>
      </c>
      <c r="Q75" s="73"/>
      <c r="R75" s="54">
        <f t="shared" si="15"/>
        <v>0</v>
      </c>
      <c r="S75" s="73"/>
      <c r="T75" s="73"/>
      <c r="U75" s="73"/>
      <c r="V75" s="73"/>
      <c r="W75" s="73"/>
      <c r="X75" s="73"/>
      <c r="Y75" s="73"/>
      <c r="Z75" s="54"/>
      <c r="AA75" s="58"/>
      <c r="AB75" s="54"/>
    </row>
    <row r="76" spans="1:28" ht="15.75">
      <c r="A76" s="57" t="s">
        <v>48</v>
      </c>
      <c r="B76" s="722" t="s">
        <v>544</v>
      </c>
      <c r="C76" s="294" t="s">
        <v>280</v>
      </c>
      <c r="D76" s="58">
        <f t="shared" si="11"/>
        <v>2073.7818500000003</v>
      </c>
      <c r="E76" s="58">
        <f t="shared" si="11"/>
        <v>0.86699999999999999</v>
      </c>
      <c r="F76" s="58">
        <f t="shared" si="11"/>
        <v>0</v>
      </c>
      <c r="G76" s="54">
        <f t="shared" si="12"/>
        <v>2074.6488500000005</v>
      </c>
      <c r="I76" s="58">
        <f t="shared" si="17"/>
        <v>0</v>
      </c>
      <c r="J76" s="58">
        <f t="shared" si="17"/>
        <v>0</v>
      </c>
      <c r="K76" s="58">
        <f t="shared" si="17"/>
        <v>0</v>
      </c>
      <c r="L76" s="58">
        <f t="shared" si="17"/>
        <v>0</v>
      </c>
      <c r="M76" s="58">
        <f t="shared" si="17"/>
        <v>0</v>
      </c>
      <c r="N76" s="58">
        <f t="shared" si="17"/>
        <v>0</v>
      </c>
      <c r="O76" s="58">
        <f t="shared" si="17"/>
        <v>0</v>
      </c>
      <c r="P76" s="54">
        <f t="shared" si="14"/>
        <v>2074.6488500000005</v>
      </c>
      <c r="Q76" s="73"/>
      <c r="R76" s="54">
        <f t="shared" si="15"/>
        <v>0</v>
      </c>
      <c r="S76" s="73"/>
      <c r="T76" s="73"/>
      <c r="U76" s="73"/>
      <c r="V76" s="73"/>
      <c r="W76" s="73"/>
      <c r="X76" s="73"/>
      <c r="Y76" s="73"/>
      <c r="Z76" s="54"/>
      <c r="AA76" s="58"/>
      <c r="AB76" s="54"/>
    </row>
    <row r="77" spans="1:28" ht="15.75">
      <c r="A77" s="57" t="s">
        <v>48</v>
      </c>
      <c r="B77" s="190" t="s">
        <v>541</v>
      </c>
      <c r="C77" s="294" t="s">
        <v>295</v>
      </c>
      <c r="D77" s="58">
        <f>SUMIFS($D27:$V27,$D$2:$V$2,D$54)</f>
        <v>26.448539</v>
      </c>
      <c r="E77" s="58">
        <f>SUMIFS($D27:$V27,$D$2:$V$2,E$54)</f>
        <v>0</v>
      </c>
      <c r="F77" s="58">
        <f>SUMIFS($D27:$V27,$D$2:$V$2,F$54)</f>
        <v>0.161</v>
      </c>
      <c r="G77" s="54">
        <f t="shared" si="12"/>
        <v>26.609539000000002</v>
      </c>
      <c r="I77" s="58">
        <f t="shared" si="17"/>
        <v>0</v>
      </c>
      <c r="J77" s="58">
        <f t="shared" si="17"/>
        <v>0</v>
      </c>
      <c r="K77" s="58">
        <f t="shared" si="17"/>
        <v>0</v>
      </c>
      <c r="L77" s="58">
        <f t="shared" si="17"/>
        <v>0</v>
      </c>
      <c r="M77" s="58">
        <f t="shared" si="17"/>
        <v>0</v>
      </c>
      <c r="N77" s="58">
        <f t="shared" si="17"/>
        <v>0</v>
      </c>
      <c r="O77" s="58">
        <f t="shared" si="17"/>
        <v>0</v>
      </c>
      <c r="P77" s="54">
        <f t="shared" si="14"/>
        <v>26.609539000000002</v>
      </c>
      <c r="Q77" s="73"/>
      <c r="R77" s="54">
        <f t="shared" si="15"/>
        <v>0</v>
      </c>
      <c r="S77" s="73"/>
      <c r="T77" s="73"/>
      <c r="U77" s="73"/>
      <c r="V77" s="73"/>
      <c r="W77" s="73"/>
      <c r="X77" s="73"/>
      <c r="Y77" s="73"/>
      <c r="Z77" s="54"/>
      <c r="AA77" s="58"/>
      <c r="AB77" s="54"/>
    </row>
    <row r="78" spans="1:28" ht="15.75">
      <c r="A78" s="57" t="s">
        <v>48</v>
      </c>
      <c r="B78" s="190" t="s">
        <v>210</v>
      </c>
      <c r="C78" s="294" t="s">
        <v>292</v>
      </c>
      <c r="D78" s="58">
        <f>SUMIFS($D28:$V28,$D$2:$V$2,D$54)</f>
        <v>28.755616999999997</v>
      </c>
      <c r="E78" s="58">
        <f>SUMIFS($D28:$V28,$D$2:$V$2,E$54)</f>
        <v>0</v>
      </c>
      <c r="F78" s="58">
        <f>SUMIFS($D28:$V28,$D$2:$V$2,F$54)</f>
        <v>0</v>
      </c>
      <c r="G78" s="54">
        <f t="shared" si="12"/>
        <v>28.755616999999997</v>
      </c>
      <c r="I78" s="58">
        <f t="shared" si="17"/>
        <v>0</v>
      </c>
      <c r="J78" s="58">
        <f t="shared" si="17"/>
        <v>0</v>
      </c>
      <c r="K78" s="58">
        <f t="shared" si="17"/>
        <v>0</v>
      </c>
      <c r="L78" s="58">
        <f t="shared" si="17"/>
        <v>0</v>
      </c>
      <c r="M78" s="58">
        <f t="shared" si="17"/>
        <v>0</v>
      </c>
      <c r="N78" s="58">
        <f t="shared" si="17"/>
        <v>0</v>
      </c>
      <c r="O78" s="58">
        <f t="shared" si="17"/>
        <v>0</v>
      </c>
      <c r="P78" s="54">
        <f t="shared" si="14"/>
        <v>28.755616999999997</v>
      </c>
      <c r="Q78" s="73"/>
      <c r="R78" s="54">
        <f t="shared" si="15"/>
        <v>0</v>
      </c>
      <c r="S78" s="73"/>
      <c r="T78" s="73"/>
      <c r="U78" s="73"/>
      <c r="V78" s="73"/>
      <c r="W78" s="73"/>
      <c r="X78" s="73"/>
      <c r="Y78" s="73"/>
      <c r="Z78" s="54"/>
      <c r="AA78" s="58"/>
      <c r="AB78" s="54"/>
    </row>
    <row r="79" spans="1:28" ht="15.75">
      <c r="A79" s="57" t="s">
        <v>48</v>
      </c>
      <c r="B79" s="190" t="s">
        <v>541</v>
      </c>
      <c r="C79" s="294" t="s">
        <v>291</v>
      </c>
      <c r="D79" s="58">
        <f>SUMIFS($D26:$V26,$D$2:$V$2,D$54)</f>
        <v>0</v>
      </c>
      <c r="E79" s="58">
        <f>SUMIFS($D26:$V26,$D$2:$V$2,E$54)</f>
        <v>0</v>
      </c>
      <c r="F79" s="58">
        <f>SUMIFS($D26:$V26,$D$2:$V$2,F$54)</f>
        <v>4.0659999999999998</v>
      </c>
      <c r="G79" s="54">
        <f t="shared" si="12"/>
        <v>4.0659999999999998</v>
      </c>
      <c r="I79" s="58">
        <f t="shared" si="17"/>
        <v>0</v>
      </c>
      <c r="J79" s="58">
        <f t="shared" si="17"/>
        <v>0</v>
      </c>
      <c r="K79" s="58">
        <f t="shared" si="17"/>
        <v>0</v>
      </c>
      <c r="L79" s="58">
        <f t="shared" si="17"/>
        <v>0</v>
      </c>
      <c r="M79" s="58">
        <f t="shared" si="17"/>
        <v>0</v>
      </c>
      <c r="N79" s="58">
        <f t="shared" si="17"/>
        <v>0</v>
      </c>
      <c r="O79" s="58">
        <f t="shared" si="17"/>
        <v>0</v>
      </c>
      <c r="P79" s="54">
        <f t="shared" si="14"/>
        <v>4.0659999999999998</v>
      </c>
      <c r="Q79" s="73"/>
      <c r="R79" s="54">
        <f t="shared" si="15"/>
        <v>0</v>
      </c>
      <c r="S79" s="73"/>
      <c r="T79" s="73"/>
      <c r="U79" s="73"/>
      <c r="V79" s="73"/>
      <c r="W79" s="73"/>
      <c r="X79" s="73"/>
      <c r="Y79" s="73"/>
      <c r="Z79" s="54"/>
      <c r="AA79" s="58"/>
      <c r="AB79" s="54"/>
    </row>
    <row r="80" spans="1:28" ht="15.75">
      <c r="A80" s="659" t="s">
        <v>274</v>
      </c>
      <c r="B80" s="190" t="s">
        <v>206</v>
      </c>
      <c r="C80" s="294" t="s">
        <v>950</v>
      </c>
      <c r="D80" s="58">
        <f>SUMIFS($D29:$V29,$D$2:$V$2,D$54)</f>
        <v>10.947546000000001</v>
      </c>
      <c r="E80" s="58">
        <f t="shared" si="11"/>
        <v>0</v>
      </c>
      <c r="F80" s="58">
        <f t="shared" si="11"/>
        <v>0</v>
      </c>
      <c r="G80" s="54">
        <f t="shared" si="12"/>
        <v>10.947546000000001</v>
      </c>
      <c r="I80" s="58">
        <f t="shared" si="17"/>
        <v>0</v>
      </c>
      <c r="J80" s="58">
        <f t="shared" si="17"/>
        <v>0</v>
      </c>
      <c r="K80" s="58">
        <f t="shared" si="17"/>
        <v>0</v>
      </c>
      <c r="L80" s="58">
        <f t="shared" si="17"/>
        <v>0</v>
      </c>
      <c r="M80" s="58">
        <f t="shared" si="17"/>
        <v>0</v>
      </c>
      <c r="N80" s="58">
        <f t="shared" si="17"/>
        <v>0</v>
      </c>
      <c r="O80" s="58">
        <f t="shared" si="17"/>
        <v>0</v>
      </c>
      <c r="P80" s="54">
        <f t="shared" si="14"/>
        <v>10.947546000000001</v>
      </c>
      <c r="Q80" s="73"/>
      <c r="R80" s="54">
        <f t="shared" si="15"/>
        <v>0</v>
      </c>
      <c r="S80" s="73"/>
      <c r="T80" s="73"/>
      <c r="U80" s="73"/>
      <c r="V80" s="73"/>
      <c r="W80" s="73"/>
      <c r="X80" s="73"/>
      <c r="Y80" s="73"/>
      <c r="Z80" s="54"/>
      <c r="AA80" s="58"/>
      <c r="AB80" s="54"/>
    </row>
    <row r="81" spans="3:28">
      <c r="C81" s="51" t="s">
        <v>368</v>
      </c>
      <c r="D81" s="54">
        <f>SUM(D55:D80)</f>
        <v>3116.5458990000002</v>
      </c>
      <c r="E81" s="54">
        <f>SUM(E55:E80)</f>
        <v>638.95000000000005</v>
      </c>
      <c r="F81" s="54">
        <f>SUM(F55:F80)</f>
        <v>846.50500000000011</v>
      </c>
      <c r="G81" s="54">
        <f t="shared" si="12"/>
        <v>4602.0008990000006</v>
      </c>
      <c r="I81" s="54">
        <f t="shared" ref="I81:O81" si="18">SUM(I55:I80)</f>
        <v>319.20483999999999</v>
      </c>
      <c r="J81" s="54">
        <f t="shared" si="18"/>
        <v>0</v>
      </c>
      <c r="K81" s="54">
        <f t="shared" si="18"/>
        <v>0</v>
      </c>
      <c r="L81" s="54">
        <f t="shared" si="18"/>
        <v>7.2359999999999998</v>
      </c>
      <c r="M81" s="54">
        <f t="shared" si="18"/>
        <v>0</v>
      </c>
      <c r="N81" s="54">
        <f t="shared" si="18"/>
        <v>0</v>
      </c>
      <c r="O81" s="54">
        <f t="shared" si="18"/>
        <v>0</v>
      </c>
      <c r="P81" s="54">
        <f t="shared" si="14"/>
        <v>4928.4417390000008</v>
      </c>
      <c r="Q81" s="54"/>
      <c r="R81" s="54">
        <f t="shared" si="15"/>
        <v>7.2359999999999998</v>
      </c>
      <c r="S81" s="54"/>
      <c r="T81" s="54"/>
      <c r="U81" s="54"/>
      <c r="V81" s="54"/>
      <c r="W81" s="54"/>
      <c r="X81" s="54"/>
      <c r="Y81" s="54"/>
      <c r="Z81" s="54"/>
      <c r="AA81" s="58"/>
      <c r="AB81" s="54"/>
    </row>
    <row r="82" spans="3:28">
      <c r="C82" s="51"/>
      <c r="D82" s="54"/>
      <c r="E82" s="54"/>
      <c r="F82" s="54"/>
      <c r="I82" s="54"/>
      <c r="J82" s="54"/>
      <c r="K82" s="54"/>
      <c r="L82" s="54"/>
      <c r="M82" s="54"/>
      <c r="N82" s="54"/>
      <c r="O82" s="54"/>
      <c r="P82" s="54"/>
      <c r="Q82" s="54"/>
      <c r="R82" s="54"/>
      <c r="S82" s="54"/>
      <c r="T82" s="54"/>
      <c r="U82" s="54"/>
      <c r="V82" s="54"/>
      <c r="W82" s="54"/>
      <c r="X82" s="54"/>
      <c r="Y82" s="54"/>
      <c r="Z82" s="54"/>
      <c r="AA82" s="58"/>
      <c r="AB82" s="54"/>
    </row>
    <row r="83" spans="3:28" ht="15.75">
      <c r="C83" s="67" t="s">
        <v>288</v>
      </c>
      <c r="D83" s="58">
        <f t="shared" ref="D83:F87" si="19">SUMIFS($D32:$V32,$D$2:$V$2,D$54)</f>
        <v>3.526732</v>
      </c>
      <c r="E83" s="58">
        <f t="shared" si="19"/>
        <v>0</v>
      </c>
      <c r="F83" s="58">
        <f t="shared" si="19"/>
        <v>0</v>
      </c>
      <c r="G83" s="54">
        <f t="shared" si="12"/>
        <v>3.526732</v>
      </c>
      <c r="I83" s="58">
        <f t="shared" ref="I83:O87" si="20">SUMIFS($D32:$V32,$D$2:$V$2,I$54)</f>
        <v>0</v>
      </c>
      <c r="J83" s="58">
        <f t="shared" si="20"/>
        <v>0</v>
      </c>
      <c r="K83" s="58">
        <f t="shared" si="20"/>
        <v>0</v>
      </c>
      <c r="L83" s="58">
        <f t="shared" si="20"/>
        <v>0</v>
      </c>
      <c r="M83" s="58">
        <f t="shared" si="20"/>
        <v>0</v>
      </c>
      <c r="N83" s="58">
        <f t="shared" si="20"/>
        <v>0</v>
      </c>
      <c r="O83" s="58">
        <f t="shared" si="20"/>
        <v>0</v>
      </c>
      <c r="P83" s="54">
        <f t="shared" si="14"/>
        <v>3.526732</v>
      </c>
      <c r="Q83" s="54"/>
      <c r="R83" s="54">
        <f t="shared" si="15"/>
        <v>0</v>
      </c>
      <c r="S83" s="54"/>
      <c r="T83" s="54"/>
      <c r="U83" s="54"/>
      <c r="V83" s="54"/>
      <c r="W83" s="54"/>
      <c r="X83" s="54"/>
      <c r="Y83" s="54"/>
      <c r="Z83" s="54"/>
      <c r="AA83" s="58"/>
      <c r="AB83" s="54"/>
    </row>
    <row r="84" spans="3:28" ht="15.75">
      <c r="C84" s="67" t="s">
        <v>563</v>
      </c>
      <c r="D84" s="58">
        <f t="shared" si="19"/>
        <v>0</v>
      </c>
      <c r="E84" s="58">
        <f t="shared" si="19"/>
        <v>112.85074853466141</v>
      </c>
      <c r="F84" s="58">
        <f t="shared" si="19"/>
        <v>0</v>
      </c>
      <c r="G84" s="54">
        <f t="shared" si="12"/>
        <v>112.85074853466141</v>
      </c>
      <c r="I84" s="58">
        <f t="shared" si="20"/>
        <v>0</v>
      </c>
      <c r="J84" s="58">
        <f t="shared" si="20"/>
        <v>0</v>
      </c>
      <c r="K84" s="58">
        <f t="shared" si="20"/>
        <v>0</v>
      </c>
      <c r="L84" s="58">
        <f t="shared" si="20"/>
        <v>0</v>
      </c>
      <c r="M84" s="58">
        <f t="shared" si="20"/>
        <v>0</v>
      </c>
      <c r="N84" s="58">
        <f t="shared" si="20"/>
        <v>0</v>
      </c>
      <c r="O84" s="58">
        <f t="shared" si="20"/>
        <v>0</v>
      </c>
      <c r="P84" s="54">
        <f t="shared" si="14"/>
        <v>112.85074853466141</v>
      </c>
      <c r="Q84" s="54"/>
      <c r="R84" s="54">
        <f t="shared" si="15"/>
        <v>0</v>
      </c>
      <c r="S84" s="54"/>
      <c r="T84" s="54"/>
      <c r="U84" s="54"/>
      <c r="V84" s="54"/>
      <c r="W84" s="54"/>
      <c r="X84" s="54"/>
      <c r="Y84" s="54"/>
      <c r="Z84" s="54"/>
      <c r="AA84" s="58"/>
      <c r="AB84" s="54"/>
    </row>
    <row r="85" spans="3:28" ht="15.75">
      <c r="C85" s="67" t="s">
        <v>285</v>
      </c>
      <c r="D85" s="58">
        <f t="shared" si="19"/>
        <v>0</v>
      </c>
      <c r="E85" s="58">
        <f t="shared" si="19"/>
        <v>383.4492381735671</v>
      </c>
      <c r="F85" s="58">
        <f t="shared" si="19"/>
        <v>0</v>
      </c>
      <c r="G85" s="54">
        <f t="shared" si="12"/>
        <v>383.4492381735671</v>
      </c>
      <c r="I85" s="58">
        <f t="shared" si="20"/>
        <v>0</v>
      </c>
      <c r="J85" s="58">
        <f t="shared" si="20"/>
        <v>0</v>
      </c>
      <c r="K85" s="58">
        <f t="shared" si="20"/>
        <v>0</v>
      </c>
      <c r="L85" s="58">
        <f t="shared" si="20"/>
        <v>0</v>
      </c>
      <c r="M85" s="58">
        <f t="shared" si="20"/>
        <v>0</v>
      </c>
      <c r="N85" s="58">
        <f t="shared" si="20"/>
        <v>0</v>
      </c>
      <c r="O85" s="58">
        <f t="shared" si="20"/>
        <v>0</v>
      </c>
      <c r="P85" s="54">
        <f t="shared" si="14"/>
        <v>383.4492381735671</v>
      </c>
      <c r="Q85" s="54"/>
      <c r="R85" s="54">
        <f t="shared" si="15"/>
        <v>0</v>
      </c>
      <c r="S85" s="54"/>
      <c r="T85" s="54"/>
      <c r="U85" s="54"/>
      <c r="V85" s="54"/>
      <c r="W85" s="54"/>
      <c r="X85" s="54"/>
      <c r="Y85" s="54"/>
      <c r="Z85" s="54"/>
      <c r="AA85" s="58"/>
      <c r="AB85" s="54"/>
    </row>
    <row r="86" spans="3:28" ht="15.75">
      <c r="C86" s="67" t="s">
        <v>284</v>
      </c>
      <c r="D86" s="58">
        <f t="shared" si="19"/>
        <v>0</v>
      </c>
      <c r="E86" s="58">
        <f t="shared" si="19"/>
        <v>96.149994922306163</v>
      </c>
      <c r="F86" s="58">
        <f t="shared" si="19"/>
        <v>0</v>
      </c>
      <c r="G86" s="54">
        <f t="shared" si="12"/>
        <v>96.149994922306163</v>
      </c>
      <c r="I86" s="58">
        <f t="shared" si="20"/>
        <v>0</v>
      </c>
      <c r="J86" s="58">
        <f t="shared" si="20"/>
        <v>0</v>
      </c>
      <c r="K86" s="58">
        <f t="shared" si="20"/>
        <v>0</v>
      </c>
      <c r="L86" s="58">
        <f t="shared" si="20"/>
        <v>0</v>
      </c>
      <c r="M86" s="58">
        <f t="shared" si="20"/>
        <v>0</v>
      </c>
      <c r="N86" s="58">
        <f t="shared" si="20"/>
        <v>0</v>
      </c>
      <c r="O86" s="58">
        <f t="shared" si="20"/>
        <v>0</v>
      </c>
      <c r="P86" s="54">
        <f t="shared" si="14"/>
        <v>96.149994922306163</v>
      </c>
      <c r="Q86" s="54"/>
      <c r="R86" s="54">
        <f t="shared" si="15"/>
        <v>0</v>
      </c>
      <c r="S86" s="54"/>
      <c r="T86" s="54"/>
      <c r="U86" s="54"/>
      <c r="V86" s="54"/>
      <c r="W86" s="54"/>
      <c r="X86" s="54"/>
      <c r="Y86" s="54"/>
      <c r="Z86" s="54"/>
      <c r="AA86" s="58"/>
      <c r="AB86" s="54"/>
    </row>
    <row r="87" spans="3:28" ht="15.75">
      <c r="C87" s="67" t="s">
        <v>283</v>
      </c>
      <c r="D87" s="58">
        <f t="shared" si="19"/>
        <v>0</v>
      </c>
      <c r="E87" s="58">
        <f t="shared" si="19"/>
        <v>265.98138475710471</v>
      </c>
      <c r="F87" s="58">
        <f t="shared" si="19"/>
        <v>0</v>
      </c>
      <c r="G87" s="54">
        <f t="shared" si="12"/>
        <v>265.98138475710471</v>
      </c>
      <c r="I87" s="58">
        <f t="shared" si="20"/>
        <v>0</v>
      </c>
      <c r="J87" s="58">
        <f t="shared" si="20"/>
        <v>0</v>
      </c>
      <c r="K87" s="58">
        <f t="shared" si="20"/>
        <v>0</v>
      </c>
      <c r="L87" s="58">
        <f t="shared" si="20"/>
        <v>0</v>
      </c>
      <c r="M87" s="58">
        <f t="shared" si="20"/>
        <v>0</v>
      </c>
      <c r="N87" s="58">
        <f t="shared" si="20"/>
        <v>0</v>
      </c>
      <c r="O87" s="58">
        <f t="shared" si="20"/>
        <v>0</v>
      </c>
      <c r="P87" s="54">
        <f t="shared" si="14"/>
        <v>265.98138475710471</v>
      </c>
      <c r="Q87" s="54"/>
      <c r="R87" s="54">
        <f t="shared" si="15"/>
        <v>0</v>
      </c>
      <c r="S87" s="54"/>
      <c r="T87" s="54"/>
      <c r="U87" s="54"/>
      <c r="V87" s="54"/>
      <c r="W87" s="54"/>
      <c r="X87" s="54"/>
      <c r="Y87" s="54"/>
      <c r="Z87" s="54"/>
      <c r="AA87" s="58"/>
      <c r="AB87" s="54"/>
    </row>
    <row r="88" spans="3:28" ht="15.75">
      <c r="C88" s="3" t="s">
        <v>368</v>
      </c>
      <c r="D88" s="56">
        <f>SUM(D83:D87)</f>
        <v>3.526732</v>
      </c>
      <c r="E88" s="56">
        <f t="shared" ref="E88:F88" si="21">SUM(E83:E87)</f>
        <v>858.4313663876394</v>
      </c>
      <c r="F88" s="56">
        <f t="shared" si="21"/>
        <v>0</v>
      </c>
      <c r="G88" s="54">
        <f t="shared" si="12"/>
        <v>861.95809838763944</v>
      </c>
      <c r="I88" s="56">
        <f t="shared" ref="I88:O88" si="22">SUM(I83:I87)</f>
        <v>0</v>
      </c>
      <c r="J88" s="56">
        <f t="shared" si="22"/>
        <v>0</v>
      </c>
      <c r="K88" s="56">
        <f t="shared" si="22"/>
        <v>0</v>
      </c>
      <c r="L88" s="56">
        <f t="shared" si="22"/>
        <v>0</v>
      </c>
      <c r="M88" s="56">
        <f t="shared" si="22"/>
        <v>0</v>
      </c>
      <c r="N88" s="56">
        <f t="shared" si="22"/>
        <v>0</v>
      </c>
      <c r="O88" s="56">
        <f t="shared" si="22"/>
        <v>0</v>
      </c>
      <c r="P88" s="54">
        <f t="shared" si="14"/>
        <v>861.95809838763944</v>
      </c>
      <c r="Q88" s="54"/>
      <c r="R88" s="54">
        <f t="shared" si="15"/>
        <v>0</v>
      </c>
      <c r="S88" s="54"/>
      <c r="T88" s="54"/>
      <c r="U88" s="54"/>
      <c r="V88" s="54"/>
      <c r="W88" s="54"/>
      <c r="X88" s="54"/>
      <c r="Y88" s="54"/>
      <c r="Z88" s="54"/>
      <c r="AA88" s="58"/>
      <c r="AB88" s="54"/>
    </row>
    <row r="89" spans="3:28" ht="15.75">
      <c r="C89" s="67"/>
      <c r="D89" s="54"/>
      <c r="E89" s="54"/>
      <c r="F89" s="54"/>
      <c r="I89" s="54"/>
      <c r="J89" s="54"/>
      <c r="K89" s="54"/>
      <c r="L89" s="54"/>
      <c r="M89" s="54"/>
      <c r="N89" s="54"/>
      <c r="O89" s="54"/>
      <c r="P89" s="54"/>
      <c r="Q89" s="54"/>
      <c r="R89" s="54"/>
      <c r="S89" s="54"/>
      <c r="T89" s="54"/>
      <c r="U89" s="54"/>
      <c r="V89" s="54"/>
      <c r="W89" s="54"/>
      <c r="X89" s="54"/>
      <c r="Y89" s="54"/>
      <c r="Z89" s="54"/>
      <c r="AA89" s="58"/>
      <c r="AB89" s="54"/>
    </row>
    <row r="90" spans="3:28" ht="15.75">
      <c r="C90" s="51" t="s">
        <v>628</v>
      </c>
      <c r="D90" s="56">
        <f>'SEC elec-SIE'!I20</f>
        <v>828.16700000000003</v>
      </c>
      <c r="E90" s="56">
        <f>'SEC elec-SIE'!J20</f>
        <v>1303.69</v>
      </c>
      <c r="F90" s="56">
        <v>0</v>
      </c>
      <c r="G90" s="54">
        <f t="shared" si="12"/>
        <v>2131.857</v>
      </c>
      <c r="I90" s="56">
        <f>'SEC elec-SIE'!L20+'SEC elec-SIE'!N26</f>
        <v>60.542000000000002</v>
      </c>
      <c r="J90" s="56">
        <v>0</v>
      </c>
      <c r="K90" s="56">
        <f>'SEC elec-SIE'!L27</f>
        <v>15.064</v>
      </c>
      <c r="L90" s="56">
        <f>'SEC elec-SIE'!M27</f>
        <v>0.36</v>
      </c>
      <c r="M90" s="56">
        <f>'SEC elec-SIE'!J27</f>
        <v>100.87700000000001</v>
      </c>
      <c r="N90" s="56">
        <f>'SEC elec-SIE'!K27</f>
        <v>131.316</v>
      </c>
      <c r="O90" s="56">
        <f>'SEC elec-SIE'!I27</f>
        <v>122.598</v>
      </c>
      <c r="P90" s="54"/>
      <c r="Q90" s="54"/>
      <c r="R90" s="356">
        <f t="shared" si="15"/>
        <v>370.21500000000003</v>
      </c>
      <c r="S90" s="54"/>
      <c r="T90" s="54"/>
      <c r="U90" s="54"/>
      <c r="V90" s="54"/>
      <c r="W90" s="54"/>
      <c r="X90" s="54"/>
      <c r="Y90" s="54"/>
      <c r="Z90" s="54"/>
      <c r="AA90" s="58"/>
      <c r="AB90" s="54"/>
    </row>
    <row r="91" spans="3:28">
      <c r="C91" s="51"/>
      <c r="D91" s="54"/>
      <c r="E91" s="54"/>
      <c r="F91" s="54"/>
      <c r="I91" s="54"/>
      <c r="J91" s="54"/>
      <c r="K91" s="54"/>
      <c r="L91" s="54"/>
      <c r="M91" s="54"/>
      <c r="N91" s="54"/>
      <c r="O91" s="54"/>
      <c r="P91" s="54"/>
      <c r="Q91" s="54"/>
      <c r="R91" s="54"/>
      <c r="S91" s="54"/>
      <c r="T91" s="54"/>
      <c r="U91" s="54"/>
      <c r="V91" s="54"/>
      <c r="W91" s="54"/>
      <c r="X91" s="54"/>
      <c r="Y91" s="54"/>
      <c r="Z91" s="54"/>
      <c r="AA91" s="58"/>
      <c r="AB91" s="54"/>
    </row>
    <row r="92" spans="3:28">
      <c r="C92" s="51"/>
      <c r="D92" s="54"/>
      <c r="E92" s="54"/>
      <c r="F92" s="54"/>
      <c r="I92" s="54"/>
      <c r="J92" s="54"/>
      <c r="K92" s="54"/>
      <c r="L92" s="54"/>
      <c r="M92" s="54"/>
      <c r="N92" s="54"/>
      <c r="O92" s="54"/>
      <c r="P92" s="54"/>
      <c r="Q92" s="54"/>
      <c r="R92" s="54"/>
      <c r="S92" s="54"/>
      <c r="T92" s="54"/>
      <c r="U92" s="54"/>
      <c r="V92" s="54"/>
      <c r="W92" s="54"/>
      <c r="X92" s="54"/>
      <c r="Y92" s="54"/>
      <c r="Z92" s="54"/>
      <c r="AA92" s="58"/>
      <c r="AB92" s="54"/>
    </row>
    <row r="93" spans="3:28" ht="15.75">
      <c r="C93" s="51" t="s">
        <v>567</v>
      </c>
      <c r="D93" s="141" t="s">
        <v>383</v>
      </c>
      <c r="E93" s="141" t="s">
        <v>384</v>
      </c>
      <c r="F93" s="91" t="s">
        <v>172</v>
      </c>
      <c r="I93" s="91" t="s">
        <v>386</v>
      </c>
      <c r="J93" s="91" t="s">
        <v>385</v>
      </c>
      <c r="K93" s="91" t="s">
        <v>219</v>
      </c>
      <c r="L93" s="91" t="s">
        <v>11</v>
      </c>
      <c r="M93" s="91" t="s">
        <v>218</v>
      </c>
      <c r="N93" s="91" t="s">
        <v>171</v>
      </c>
      <c r="O93" s="91" t="s">
        <v>187</v>
      </c>
      <c r="P93" s="54"/>
      <c r="Q93" s="58"/>
      <c r="R93" s="54"/>
      <c r="S93" s="58"/>
      <c r="T93" s="58"/>
      <c r="U93" s="58"/>
      <c r="V93" s="58"/>
      <c r="W93" s="54"/>
      <c r="AA93" s="58"/>
      <c r="AB93" s="54"/>
    </row>
    <row r="94" spans="3:28" ht="15.75">
      <c r="C94" s="266" t="s">
        <v>227</v>
      </c>
      <c r="D94" s="58">
        <f>SUMIFS(D$55:D$80,$A$55:$A$80,$C94)</f>
        <v>121.58713299999999</v>
      </c>
      <c r="E94" s="58">
        <f t="shared" ref="D94:F99" si="23">SUMIFS(E$55:E$80,$A$55:$A$80,$C94)</f>
        <v>0</v>
      </c>
      <c r="F94" s="58">
        <f t="shared" si="23"/>
        <v>37.027999999999999</v>
      </c>
      <c r="G94" s="54">
        <f t="shared" ref="G94:G103" si="24">SUM(D94:F94)</f>
        <v>158.61513299999999</v>
      </c>
      <c r="I94" s="58">
        <f t="shared" ref="I94:O99" si="25">SUMIFS(I$55:I$80,$A$55:$A$80,$C94)</f>
        <v>0</v>
      </c>
      <c r="J94" s="58">
        <f t="shared" si="25"/>
        <v>0</v>
      </c>
      <c r="K94" s="58">
        <f t="shared" si="25"/>
        <v>0</v>
      </c>
      <c r="L94" s="58">
        <f t="shared" si="25"/>
        <v>0</v>
      </c>
      <c r="M94" s="58">
        <f t="shared" si="25"/>
        <v>0</v>
      </c>
      <c r="N94" s="58">
        <f t="shared" si="25"/>
        <v>0</v>
      </c>
      <c r="O94" s="58">
        <f t="shared" si="25"/>
        <v>0</v>
      </c>
      <c r="P94" s="54">
        <f t="shared" si="14"/>
        <v>158.61513299999999</v>
      </c>
      <c r="Q94" s="73"/>
      <c r="R94" s="54">
        <f t="shared" si="15"/>
        <v>0</v>
      </c>
      <c r="S94" s="73"/>
      <c r="T94" s="73"/>
      <c r="U94" s="73"/>
      <c r="V94" s="73"/>
      <c r="W94" s="73"/>
      <c r="X94" s="73"/>
      <c r="Y94" s="73"/>
      <c r="Z94" s="54"/>
      <c r="AA94" s="58"/>
      <c r="AB94" s="54"/>
    </row>
    <row r="95" spans="3:28" ht="15.75">
      <c r="C95" s="266" t="s">
        <v>274</v>
      </c>
      <c r="D95" s="58">
        <f t="shared" si="23"/>
        <v>411.05060300000002</v>
      </c>
      <c r="E95" s="58">
        <f t="shared" si="23"/>
        <v>593.18300000000011</v>
      </c>
      <c r="F95" s="58">
        <f t="shared" si="23"/>
        <v>530.60300000000007</v>
      </c>
      <c r="G95" s="54">
        <f t="shared" si="24"/>
        <v>1534.8366030000002</v>
      </c>
      <c r="I95" s="58">
        <f t="shared" si="25"/>
        <v>63.782443000000001</v>
      </c>
      <c r="J95" s="58">
        <f t="shared" si="25"/>
        <v>0</v>
      </c>
      <c r="K95" s="58">
        <f t="shared" si="25"/>
        <v>0</v>
      </c>
      <c r="L95" s="58">
        <f t="shared" si="25"/>
        <v>0.38100000000000001</v>
      </c>
      <c r="M95" s="58">
        <f t="shared" si="25"/>
        <v>0</v>
      </c>
      <c r="N95" s="58">
        <f t="shared" si="25"/>
        <v>0</v>
      </c>
      <c r="O95" s="58">
        <f t="shared" si="25"/>
        <v>0</v>
      </c>
      <c r="P95" s="54">
        <f t="shared" si="14"/>
        <v>1599.0000460000003</v>
      </c>
      <c r="Q95" s="73"/>
      <c r="R95" s="54">
        <f t="shared" si="15"/>
        <v>0.38100000000000001</v>
      </c>
      <c r="S95" s="73"/>
      <c r="T95" s="73"/>
      <c r="U95" s="73"/>
      <c r="V95" s="73"/>
      <c r="W95" s="73"/>
      <c r="X95" s="73"/>
      <c r="Y95" s="73"/>
      <c r="Z95" s="54"/>
      <c r="AA95" s="58"/>
      <c r="AB95" s="54"/>
    </row>
    <row r="96" spans="3:28" ht="15.75">
      <c r="C96" s="266" t="s">
        <v>48</v>
      </c>
      <c r="D96" s="58">
        <f>SUMIFS(D$55:D$80,$A$55:$A$80,$C96)</f>
        <v>2256.1721499999999</v>
      </c>
      <c r="E96" s="58">
        <f t="shared" si="23"/>
        <v>0.86699999999999999</v>
      </c>
      <c r="F96" s="58">
        <f t="shared" si="23"/>
        <v>4.2269999999999994</v>
      </c>
      <c r="G96" s="54">
        <f t="shared" si="24"/>
        <v>2261.2661499999999</v>
      </c>
      <c r="I96" s="58">
        <f t="shared" si="25"/>
        <v>0</v>
      </c>
      <c r="J96" s="58">
        <f t="shared" si="25"/>
        <v>0</v>
      </c>
      <c r="K96" s="58">
        <f t="shared" si="25"/>
        <v>0</v>
      </c>
      <c r="L96" s="58">
        <f t="shared" si="25"/>
        <v>0</v>
      </c>
      <c r="M96" s="58">
        <f t="shared" si="25"/>
        <v>0</v>
      </c>
      <c r="N96" s="58">
        <f t="shared" si="25"/>
        <v>0</v>
      </c>
      <c r="O96" s="58">
        <f t="shared" si="25"/>
        <v>0</v>
      </c>
      <c r="P96" s="54">
        <f t="shared" si="14"/>
        <v>2261.2661499999999</v>
      </c>
      <c r="Q96" s="73"/>
      <c r="R96" s="54">
        <f t="shared" si="15"/>
        <v>0</v>
      </c>
      <c r="S96" s="73"/>
      <c r="T96" s="73"/>
      <c r="U96" s="73"/>
      <c r="V96" s="73"/>
      <c r="W96" s="73"/>
      <c r="X96" s="73"/>
      <c r="Y96" s="73"/>
      <c r="Z96" s="54"/>
      <c r="AA96" s="58"/>
      <c r="AB96" s="54"/>
    </row>
    <row r="97" spans="3:28" ht="15.75">
      <c r="C97" s="266" t="s">
        <v>298</v>
      </c>
      <c r="D97" s="58">
        <f t="shared" si="23"/>
        <v>69.427137000000002</v>
      </c>
      <c r="E97" s="58">
        <f t="shared" si="23"/>
        <v>11.097</v>
      </c>
      <c r="F97" s="58">
        <f t="shared" si="23"/>
        <v>50.081000000000003</v>
      </c>
      <c r="G97" s="54">
        <f t="shared" si="24"/>
        <v>130.60513700000001</v>
      </c>
      <c r="I97" s="58">
        <f t="shared" si="25"/>
        <v>0</v>
      </c>
      <c r="J97" s="58">
        <f t="shared" si="25"/>
        <v>0</v>
      </c>
      <c r="K97" s="58">
        <f t="shared" si="25"/>
        <v>0</v>
      </c>
      <c r="L97" s="58">
        <f t="shared" si="25"/>
        <v>2.819</v>
      </c>
      <c r="M97" s="58">
        <f t="shared" si="25"/>
        <v>0</v>
      </c>
      <c r="N97" s="58">
        <f t="shared" si="25"/>
        <v>0</v>
      </c>
      <c r="O97" s="58">
        <f t="shared" si="25"/>
        <v>0</v>
      </c>
      <c r="P97" s="54">
        <f t="shared" si="14"/>
        <v>133.424137</v>
      </c>
      <c r="Q97" s="73"/>
      <c r="R97" s="54">
        <f t="shared" si="15"/>
        <v>2.819</v>
      </c>
      <c r="S97" s="73"/>
      <c r="T97" s="73"/>
      <c r="U97" s="73"/>
      <c r="V97" s="73"/>
      <c r="W97" s="73"/>
      <c r="X97" s="73"/>
      <c r="Y97" s="73"/>
      <c r="Z97" s="54"/>
      <c r="AA97" s="58"/>
      <c r="AB97" s="54"/>
    </row>
    <row r="98" spans="3:28" ht="15.75">
      <c r="C98" s="266" t="s">
        <v>297</v>
      </c>
      <c r="D98" s="58">
        <f t="shared" si="23"/>
        <v>0</v>
      </c>
      <c r="E98" s="58">
        <f t="shared" si="23"/>
        <v>0</v>
      </c>
      <c r="F98" s="58">
        <f t="shared" si="23"/>
        <v>33.427</v>
      </c>
      <c r="G98" s="54">
        <f t="shared" si="24"/>
        <v>33.427</v>
      </c>
      <c r="I98" s="58">
        <f t="shared" si="25"/>
        <v>0</v>
      </c>
      <c r="J98" s="58">
        <f t="shared" si="25"/>
        <v>0</v>
      </c>
      <c r="K98" s="58">
        <f t="shared" si="25"/>
        <v>0</v>
      </c>
      <c r="L98" s="58">
        <f t="shared" si="25"/>
        <v>0</v>
      </c>
      <c r="M98" s="58">
        <f t="shared" si="25"/>
        <v>0</v>
      </c>
      <c r="N98" s="58">
        <f t="shared" si="25"/>
        <v>0</v>
      </c>
      <c r="O98" s="58">
        <f t="shared" si="25"/>
        <v>0</v>
      </c>
      <c r="P98" s="54">
        <f t="shared" si="14"/>
        <v>33.427</v>
      </c>
      <c r="Q98" s="73"/>
      <c r="R98" s="54">
        <f t="shared" si="15"/>
        <v>0</v>
      </c>
      <c r="S98" s="73"/>
      <c r="T98" s="73"/>
      <c r="U98" s="73"/>
      <c r="V98" s="73"/>
      <c r="W98" s="73"/>
      <c r="X98" s="73"/>
      <c r="Y98" s="73"/>
      <c r="Z98" s="54"/>
      <c r="AA98" s="58"/>
      <c r="AB98" s="54"/>
    </row>
    <row r="99" spans="3:28" ht="15.75">
      <c r="C99" s="266" t="s">
        <v>281</v>
      </c>
      <c r="D99" s="58">
        <f t="shared" si="23"/>
        <v>258.308876</v>
      </c>
      <c r="E99" s="58">
        <f t="shared" si="23"/>
        <v>33.802999999999997</v>
      </c>
      <c r="F99" s="58">
        <f t="shared" si="23"/>
        <v>191.13900000000001</v>
      </c>
      <c r="G99" s="54">
        <f t="shared" si="24"/>
        <v>483.25087600000001</v>
      </c>
      <c r="I99" s="58">
        <f t="shared" si="25"/>
        <v>255.42239699999999</v>
      </c>
      <c r="J99" s="58">
        <f t="shared" si="25"/>
        <v>0</v>
      </c>
      <c r="K99" s="58">
        <f t="shared" si="25"/>
        <v>0</v>
      </c>
      <c r="L99" s="58">
        <f t="shared" si="25"/>
        <v>4.0359999999999996</v>
      </c>
      <c r="M99" s="58">
        <f t="shared" si="25"/>
        <v>0</v>
      </c>
      <c r="N99" s="58">
        <f t="shared" si="25"/>
        <v>0</v>
      </c>
      <c r="O99" s="58">
        <f t="shared" si="25"/>
        <v>0</v>
      </c>
      <c r="P99" s="54">
        <f t="shared" si="14"/>
        <v>742.70927299999994</v>
      </c>
      <c r="Q99" s="73"/>
      <c r="R99" s="54">
        <f t="shared" si="15"/>
        <v>4.0359999999999996</v>
      </c>
      <c r="S99" s="73"/>
      <c r="T99" s="73"/>
      <c r="U99" s="73"/>
      <c r="V99" s="73"/>
      <c r="W99" s="73"/>
      <c r="X99" s="73"/>
      <c r="Y99" s="73"/>
      <c r="Z99" s="54"/>
      <c r="AA99" s="58"/>
      <c r="AB99" s="54"/>
    </row>
    <row r="100" spans="3:28">
      <c r="C100" s="51" t="s">
        <v>372</v>
      </c>
      <c r="D100" s="54">
        <f>SUM(D94:D99)</f>
        <v>3116.5458990000002</v>
      </c>
      <c r="E100" s="54">
        <f>SUM(E94:E99)</f>
        <v>638.95000000000005</v>
      </c>
      <c r="F100" s="54">
        <f>SUM(F94:F99)</f>
        <v>846.50500000000011</v>
      </c>
      <c r="G100" s="54">
        <f t="shared" si="24"/>
        <v>4602.0008990000006</v>
      </c>
      <c r="I100" s="54">
        <f t="shared" ref="I100:O100" si="26">SUM(I94:I99)</f>
        <v>319.20483999999999</v>
      </c>
      <c r="J100" s="54">
        <f t="shared" si="26"/>
        <v>0</v>
      </c>
      <c r="K100" s="54">
        <f t="shared" si="26"/>
        <v>0</v>
      </c>
      <c r="L100" s="54">
        <f t="shared" si="26"/>
        <v>7.2359999999999998</v>
      </c>
      <c r="M100" s="54">
        <f t="shared" si="26"/>
        <v>0</v>
      </c>
      <c r="N100" s="54">
        <f t="shared" si="26"/>
        <v>0</v>
      </c>
      <c r="O100" s="54">
        <f t="shared" si="26"/>
        <v>0</v>
      </c>
      <c r="P100" s="54">
        <f t="shared" si="14"/>
        <v>4928.4417390000008</v>
      </c>
      <c r="Q100" s="54"/>
      <c r="R100" s="54">
        <f t="shared" si="15"/>
        <v>7.2359999999999998</v>
      </c>
      <c r="S100" s="54"/>
      <c r="T100" s="54"/>
      <c r="U100" s="54"/>
      <c r="V100" s="54"/>
      <c r="W100" s="54"/>
      <c r="X100" s="54"/>
      <c r="Y100" s="54"/>
      <c r="Z100" s="54"/>
      <c r="AA100" s="58"/>
      <c r="AB100" s="54"/>
    </row>
    <row r="101" spans="3:28">
      <c r="D101" s="58"/>
      <c r="E101" s="58"/>
      <c r="F101" s="58"/>
      <c r="G101" s="54"/>
      <c r="I101" s="58"/>
      <c r="J101" s="58"/>
      <c r="K101" s="58"/>
      <c r="L101" s="58"/>
      <c r="M101" s="54"/>
      <c r="P101" s="54"/>
      <c r="R101" s="54"/>
      <c r="U101" s="58"/>
      <c r="V101" s="58"/>
      <c r="W101" s="58"/>
      <c r="X101" s="58"/>
      <c r="Y101" s="58"/>
      <c r="Z101" s="58"/>
      <c r="AA101" s="58"/>
      <c r="AB101" s="54"/>
    </row>
    <row r="102" spans="3:28">
      <c r="C102" s="267" t="s">
        <v>565</v>
      </c>
      <c r="D102" s="58">
        <f>D88</f>
        <v>3.526732</v>
      </c>
      <c r="E102" s="58">
        <f>E88</f>
        <v>858.4313663876394</v>
      </c>
      <c r="F102" s="58">
        <f>F88</f>
        <v>0</v>
      </c>
      <c r="G102" s="54">
        <f t="shared" si="24"/>
        <v>861.95809838763944</v>
      </c>
      <c r="I102" s="58">
        <f t="shared" ref="I102:O102" si="27">I88</f>
        <v>0</v>
      </c>
      <c r="J102" s="58">
        <f t="shared" si="27"/>
        <v>0</v>
      </c>
      <c r="K102" s="58">
        <f t="shared" si="27"/>
        <v>0</v>
      </c>
      <c r="L102" s="58">
        <f t="shared" si="27"/>
        <v>0</v>
      </c>
      <c r="M102" s="58">
        <f t="shared" si="27"/>
        <v>0</v>
      </c>
      <c r="N102" s="58">
        <f t="shared" si="27"/>
        <v>0</v>
      </c>
      <c r="O102" s="58">
        <f t="shared" si="27"/>
        <v>0</v>
      </c>
      <c r="P102" s="54">
        <f t="shared" ref="P102:P105" si="28">SUM(G102,I102:O102)</f>
        <v>861.95809838763944</v>
      </c>
      <c r="R102" s="54">
        <f t="shared" si="15"/>
        <v>0</v>
      </c>
      <c r="U102" s="58"/>
      <c r="V102" s="58"/>
      <c r="W102" s="58"/>
      <c r="X102" s="58"/>
      <c r="Y102" s="58"/>
      <c r="Z102" s="58"/>
      <c r="AA102" s="58"/>
      <c r="AB102" s="54"/>
    </row>
    <row r="103" spans="3:28">
      <c r="C103" s="267" t="s">
        <v>564</v>
      </c>
      <c r="D103" s="58">
        <f>D90</f>
        <v>828.16700000000003</v>
      </c>
      <c r="E103" s="58">
        <f t="shared" ref="E103" si="29">E90</f>
        <v>1303.69</v>
      </c>
      <c r="F103" s="58">
        <v>0</v>
      </c>
      <c r="G103" s="54">
        <f t="shared" si="24"/>
        <v>2131.857</v>
      </c>
      <c r="I103" s="58">
        <f>I90</f>
        <v>60.542000000000002</v>
      </c>
      <c r="J103" s="58">
        <f t="shared" ref="J103:O103" si="30">J90</f>
        <v>0</v>
      </c>
      <c r="K103" s="58">
        <f t="shared" si="30"/>
        <v>15.064</v>
      </c>
      <c r="L103" s="58">
        <f t="shared" si="30"/>
        <v>0.36</v>
      </c>
      <c r="M103" s="58">
        <f t="shared" si="30"/>
        <v>100.87700000000001</v>
      </c>
      <c r="N103" s="58">
        <f t="shared" si="30"/>
        <v>131.316</v>
      </c>
      <c r="O103" s="58">
        <f t="shared" si="30"/>
        <v>122.598</v>
      </c>
      <c r="P103" s="54">
        <f>SUM(G103,I103:O103)</f>
        <v>2562.6139999999996</v>
      </c>
      <c r="R103" s="356">
        <f>SUM(K103:O103)</f>
        <v>370.21500000000003</v>
      </c>
      <c r="U103" s="58"/>
      <c r="V103" s="58"/>
      <c r="W103" s="58"/>
      <c r="X103" s="58"/>
      <c r="Y103" s="58"/>
      <c r="Z103" s="58"/>
      <c r="AA103" s="58"/>
      <c r="AB103" s="54"/>
    </row>
    <row r="104" spans="3:28">
      <c r="C104" s="51"/>
      <c r="D104" s="58"/>
      <c r="E104" s="58"/>
      <c r="F104" s="58"/>
      <c r="G104" s="54"/>
      <c r="I104" s="58"/>
      <c r="J104" s="58"/>
      <c r="K104" s="58"/>
      <c r="L104" s="58"/>
      <c r="M104" s="54"/>
      <c r="P104" s="54"/>
      <c r="R104" s="54"/>
      <c r="U104" s="58"/>
      <c r="V104" s="58"/>
      <c r="W104" s="58"/>
      <c r="X104" s="58"/>
      <c r="Y104" s="58"/>
      <c r="Z104" s="58"/>
      <c r="AA104" s="58"/>
      <c r="AB104" s="54"/>
    </row>
    <row r="105" spans="3:28">
      <c r="C105" s="51" t="s">
        <v>546</v>
      </c>
      <c r="D105" s="140">
        <f>D100+D102+D103</f>
        <v>3948.2396309999999</v>
      </c>
      <c r="E105" s="140">
        <f t="shared" ref="E105:F105" si="31">E100+E102+E103</f>
        <v>2801.0713663876395</v>
      </c>
      <c r="F105" s="140">
        <f t="shared" si="31"/>
        <v>846.50500000000011</v>
      </c>
      <c r="G105" s="54">
        <f>SUM(D105:F105)</f>
        <v>7595.81599738764</v>
      </c>
      <c r="I105" s="140">
        <f t="shared" ref="I105:O105" si="32">I100+I102+I103</f>
        <v>379.74684000000002</v>
      </c>
      <c r="J105" s="140">
        <f t="shared" si="32"/>
        <v>0</v>
      </c>
      <c r="K105" s="140">
        <f t="shared" si="32"/>
        <v>15.064</v>
      </c>
      <c r="L105" s="140">
        <f t="shared" si="32"/>
        <v>7.5960000000000001</v>
      </c>
      <c r="M105" s="140">
        <f t="shared" si="32"/>
        <v>100.87700000000001</v>
      </c>
      <c r="N105" s="140">
        <f t="shared" si="32"/>
        <v>131.316</v>
      </c>
      <c r="O105" s="140">
        <f t="shared" si="32"/>
        <v>122.598</v>
      </c>
      <c r="P105" s="54">
        <f t="shared" si="28"/>
        <v>8353.0138373876398</v>
      </c>
      <c r="Q105" s="78"/>
      <c r="R105" s="54">
        <f>SUM(K105:O105)</f>
        <v>377.45100000000002</v>
      </c>
      <c r="S105" s="78"/>
      <c r="T105" s="78"/>
      <c r="U105" s="78"/>
      <c r="V105" s="78"/>
      <c r="W105" s="58"/>
      <c r="X105" s="58"/>
      <c r="Y105" s="58"/>
      <c r="Z105" s="58"/>
      <c r="AA105" s="58"/>
      <c r="AB105" s="54"/>
    </row>
    <row r="106" spans="3:28">
      <c r="C106" s="83"/>
      <c r="D106" s="78"/>
      <c r="E106" s="78"/>
      <c r="F106" s="78"/>
      <c r="G106" s="78"/>
      <c r="H106" s="78"/>
      <c r="I106" s="78"/>
      <c r="J106" s="78"/>
      <c r="K106" s="78"/>
      <c r="L106" s="78"/>
      <c r="M106" s="78"/>
      <c r="N106" s="78"/>
      <c r="O106" s="78"/>
      <c r="P106" s="78"/>
      <c r="Q106" s="78"/>
      <c r="R106" s="78"/>
      <c r="S106" s="78"/>
      <c r="T106" s="78"/>
      <c r="U106" s="78"/>
      <c r="V106" s="78"/>
      <c r="W106" s="52"/>
      <c r="X106" s="58"/>
      <c r="Y106" s="58"/>
      <c r="Z106" s="58"/>
      <c r="AA106" s="58"/>
      <c r="AB106" s="54"/>
    </row>
    <row r="107" spans="3:28">
      <c r="D107" s="78"/>
      <c r="E107" s="78"/>
      <c r="F107" s="78"/>
      <c r="G107" s="78"/>
      <c r="H107" s="78"/>
      <c r="I107" s="78"/>
      <c r="J107" s="78"/>
      <c r="K107" s="78"/>
      <c r="L107" s="78"/>
      <c r="M107" s="78"/>
      <c r="N107" s="78"/>
      <c r="O107" s="78"/>
      <c r="P107" s="78"/>
      <c r="Q107" s="78"/>
      <c r="R107" s="78"/>
      <c r="S107" s="78"/>
      <c r="T107" s="78"/>
      <c r="U107" s="78"/>
      <c r="V107" s="78"/>
      <c r="W107" s="52"/>
      <c r="X107" s="54"/>
      <c r="Y107" s="54"/>
      <c r="Z107" s="54"/>
      <c r="AA107" s="54"/>
      <c r="AB107" s="54"/>
    </row>
    <row r="108" spans="3:28" ht="15.75">
      <c r="C108" s="266"/>
      <c r="D108" s="78"/>
      <c r="E108" s="329"/>
      <c r="F108" s="78"/>
      <c r="G108" s="78"/>
      <c r="H108" s="78"/>
      <c r="I108" s="78"/>
      <c r="J108" s="78"/>
      <c r="K108" s="78"/>
      <c r="L108" s="78"/>
      <c r="M108" s="78"/>
      <c r="N108" s="78"/>
      <c r="O108" s="78"/>
      <c r="P108" s="78"/>
      <c r="Q108" s="78"/>
      <c r="R108" s="78"/>
      <c r="S108" s="78"/>
      <c r="T108" s="78"/>
      <c r="U108" s="78"/>
      <c r="V108" s="78"/>
      <c r="W108" s="52"/>
      <c r="X108" s="58"/>
      <c r="Y108" s="58"/>
      <c r="Z108" s="58"/>
      <c r="AA108" s="58"/>
      <c r="AB108" s="54"/>
    </row>
    <row r="109" spans="3:28" ht="15.75">
      <c r="C109" s="266"/>
      <c r="D109" s="78"/>
      <c r="E109" s="78"/>
      <c r="F109" s="78"/>
      <c r="G109" s="78"/>
      <c r="H109" s="78"/>
      <c r="I109" s="78"/>
      <c r="J109" s="78"/>
      <c r="K109" s="78"/>
      <c r="L109" s="78"/>
      <c r="M109" s="78"/>
      <c r="N109" s="78"/>
      <c r="O109" s="78"/>
      <c r="P109" s="78"/>
      <c r="Q109" s="78"/>
      <c r="R109" s="78"/>
      <c r="S109" s="78"/>
      <c r="T109" s="78"/>
      <c r="U109" s="78"/>
      <c r="V109" s="78"/>
      <c r="W109" s="52"/>
      <c r="X109" s="58"/>
      <c r="Y109" s="58"/>
      <c r="Z109" s="58"/>
      <c r="AA109" s="58"/>
      <c r="AB109" s="54"/>
    </row>
    <row r="110" spans="3:28" ht="15.75">
      <c r="C110" s="266"/>
      <c r="D110" s="78"/>
      <c r="E110" s="78"/>
      <c r="F110" s="78"/>
      <c r="G110" s="78"/>
      <c r="H110" s="78"/>
      <c r="I110" s="78"/>
      <c r="J110" s="78"/>
      <c r="K110" s="78"/>
      <c r="L110" s="78"/>
      <c r="M110" s="78"/>
      <c r="N110" s="78"/>
      <c r="O110" s="78"/>
      <c r="P110" s="78"/>
      <c r="Q110" s="78"/>
      <c r="R110" s="78"/>
      <c r="S110" s="78"/>
      <c r="T110" s="78"/>
      <c r="U110" s="78"/>
      <c r="V110" s="78"/>
      <c r="W110" s="52"/>
      <c r="X110" s="58"/>
      <c r="Y110" s="58"/>
      <c r="Z110" s="58"/>
      <c r="AA110" s="58"/>
      <c r="AB110" s="54"/>
    </row>
    <row r="111" spans="3:28" ht="15.75">
      <c r="C111" s="266"/>
      <c r="D111" s="78"/>
      <c r="E111" s="78"/>
      <c r="F111" s="78"/>
      <c r="G111" s="78"/>
      <c r="H111" s="78"/>
      <c r="I111" s="78"/>
      <c r="J111" s="78"/>
      <c r="K111" s="78"/>
      <c r="L111" s="78"/>
      <c r="M111" s="78"/>
      <c r="N111" s="78"/>
      <c r="O111" s="78"/>
      <c r="P111" s="78"/>
      <c r="Q111" s="78"/>
      <c r="R111" s="78"/>
      <c r="S111" s="78"/>
      <c r="T111" s="78"/>
      <c r="U111" s="78"/>
      <c r="V111" s="78"/>
      <c r="W111" s="52"/>
      <c r="X111" s="54"/>
      <c r="Y111" s="54"/>
      <c r="Z111" s="54"/>
      <c r="AA111" s="54"/>
      <c r="AB111" s="54"/>
    </row>
    <row r="112" spans="3:28">
      <c r="D112" s="78"/>
      <c r="E112" s="78"/>
      <c r="F112" s="78"/>
      <c r="G112" s="78"/>
      <c r="H112" s="78"/>
      <c r="I112" s="78"/>
      <c r="J112" s="78"/>
      <c r="K112" s="78"/>
      <c r="L112" s="78"/>
      <c r="M112" s="78"/>
      <c r="N112" s="78"/>
      <c r="O112" s="78"/>
      <c r="P112" s="78"/>
      <c r="Q112" s="78"/>
      <c r="R112" s="78"/>
      <c r="S112" s="78"/>
      <c r="T112" s="78"/>
      <c r="U112" s="78"/>
      <c r="V112" s="78"/>
      <c r="W112" s="52"/>
      <c r="X112" s="58"/>
      <c r="Y112" s="58"/>
      <c r="Z112" s="58"/>
      <c r="AA112" s="58"/>
      <c r="AB112" s="58"/>
    </row>
    <row r="113" spans="4:28">
      <c r="D113" s="78"/>
      <c r="E113" s="78"/>
      <c r="F113" s="78"/>
      <c r="G113" s="78"/>
      <c r="H113" s="78"/>
      <c r="I113" s="78"/>
      <c r="J113" s="78"/>
      <c r="K113" s="78"/>
      <c r="L113" s="78"/>
      <c r="M113" s="78"/>
      <c r="N113" s="78"/>
      <c r="O113" s="78"/>
      <c r="P113" s="78"/>
      <c r="Q113" s="78"/>
      <c r="R113" s="78"/>
      <c r="S113" s="78"/>
      <c r="T113" s="78"/>
      <c r="U113" s="78"/>
      <c r="V113" s="78"/>
      <c r="W113" s="52"/>
      <c r="X113" s="54"/>
      <c r="Y113" s="54"/>
      <c r="Z113" s="54"/>
      <c r="AA113" s="54"/>
      <c r="AB113" s="54"/>
    </row>
    <row r="114" spans="4:28">
      <c r="D114" s="78"/>
      <c r="E114" s="78"/>
      <c r="F114" s="78"/>
      <c r="G114" s="78"/>
      <c r="H114" s="78"/>
      <c r="I114" s="78"/>
      <c r="J114" s="78"/>
      <c r="K114" s="78"/>
      <c r="L114" s="78"/>
      <c r="M114" s="78"/>
      <c r="N114" s="78"/>
      <c r="O114" s="78"/>
      <c r="P114" s="78"/>
      <c r="Q114" s="78"/>
      <c r="R114" s="78"/>
      <c r="S114" s="78"/>
      <c r="T114" s="78"/>
      <c r="U114" s="78"/>
      <c r="V114" s="78"/>
      <c r="W114" s="52"/>
    </row>
    <row r="115" spans="4:28">
      <c r="D115" s="78"/>
      <c r="E115" s="78"/>
      <c r="F115" s="78"/>
      <c r="G115" s="78"/>
      <c r="H115" s="78"/>
      <c r="I115" s="78"/>
      <c r="J115" s="78"/>
      <c r="K115" s="78"/>
      <c r="L115" s="78"/>
      <c r="M115" s="78"/>
      <c r="N115" s="78"/>
      <c r="O115" s="78"/>
      <c r="P115" s="78"/>
      <c r="Q115" s="78"/>
      <c r="R115" s="78"/>
      <c r="S115" s="78"/>
      <c r="T115" s="78"/>
      <c r="U115" s="78"/>
      <c r="V115" s="78"/>
      <c r="W115" s="52"/>
    </row>
    <row r="116" spans="4:28">
      <c r="D116" s="78"/>
      <c r="E116" s="78"/>
      <c r="F116" s="78"/>
      <c r="G116" s="78"/>
      <c r="H116" s="78"/>
      <c r="I116" s="78"/>
      <c r="J116" s="78"/>
      <c r="K116" s="78"/>
      <c r="L116" s="78"/>
      <c r="M116" s="78"/>
      <c r="N116" s="78"/>
      <c r="O116" s="78"/>
      <c r="P116" s="78"/>
      <c r="Q116" s="78"/>
      <c r="R116" s="78"/>
      <c r="S116" s="78"/>
      <c r="T116" s="78"/>
      <c r="U116" s="78"/>
      <c r="V116" s="78"/>
      <c r="W116" s="52"/>
      <c r="X116" s="55"/>
      <c r="Y116" s="55"/>
      <c r="Z116" s="55"/>
      <c r="AA116" s="55"/>
      <c r="AB116" s="55"/>
    </row>
    <row r="117" spans="4:28">
      <c r="D117" s="78"/>
      <c r="E117" s="78"/>
      <c r="F117" s="78"/>
      <c r="G117" s="78"/>
      <c r="H117" s="78"/>
      <c r="I117" s="78"/>
      <c r="J117" s="78"/>
      <c r="K117" s="78"/>
      <c r="L117" s="78"/>
      <c r="M117" s="78"/>
      <c r="N117" s="78"/>
      <c r="O117" s="78"/>
      <c r="P117" s="78"/>
      <c r="Q117" s="78"/>
      <c r="R117" s="78"/>
      <c r="S117" s="78"/>
      <c r="T117" s="78"/>
      <c r="U117" s="78"/>
      <c r="V117" s="78"/>
      <c r="W117" s="52"/>
      <c r="X117" s="58"/>
      <c r="Y117" s="58"/>
      <c r="Z117" s="58"/>
      <c r="AA117" s="58"/>
      <c r="AB117" s="58"/>
    </row>
    <row r="118" spans="4:28">
      <c r="D118" s="78"/>
      <c r="E118" s="78"/>
      <c r="F118" s="78"/>
      <c r="G118" s="78"/>
      <c r="H118" s="78"/>
      <c r="I118" s="78"/>
      <c r="J118" s="78"/>
      <c r="K118" s="78"/>
      <c r="L118" s="78"/>
      <c r="M118" s="78"/>
      <c r="N118" s="78"/>
      <c r="O118" s="78"/>
      <c r="P118" s="78"/>
      <c r="Q118" s="78"/>
      <c r="R118" s="78"/>
      <c r="S118" s="78"/>
      <c r="T118" s="78"/>
      <c r="U118" s="78"/>
      <c r="V118" s="78"/>
      <c r="W118" s="52"/>
      <c r="X118" s="58"/>
      <c r="Y118" s="58"/>
      <c r="Z118" s="58"/>
      <c r="AA118" s="58"/>
      <c r="AB118" s="58"/>
    </row>
    <row r="119" spans="4:28">
      <c r="D119" s="78"/>
      <c r="E119" s="78"/>
      <c r="F119" s="78"/>
      <c r="G119" s="78"/>
      <c r="H119" s="78"/>
      <c r="I119" s="78"/>
      <c r="J119" s="78"/>
      <c r="K119" s="78"/>
      <c r="L119" s="78"/>
      <c r="M119" s="78"/>
      <c r="N119" s="78"/>
      <c r="O119" s="78"/>
      <c r="P119" s="78"/>
      <c r="Q119" s="78"/>
      <c r="R119" s="78"/>
      <c r="S119" s="78"/>
      <c r="T119" s="78"/>
      <c r="U119" s="78"/>
      <c r="V119" s="78"/>
      <c r="W119" s="52"/>
      <c r="X119" s="58"/>
      <c r="Y119" s="58"/>
      <c r="Z119" s="58"/>
      <c r="AA119" s="58"/>
      <c r="AB119" s="58"/>
    </row>
    <row r="120" spans="4:28">
      <c r="D120" s="78"/>
      <c r="E120" s="78"/>
      <c r="F120" s="78"/>
      <c r="G120" s="78"/>
      <c r="H120" s="78"/>
      <c r="I120" s="78"/>
      <c r="J120" s="78"/>
      <c r="K120" s="78"/>
      <c r="L120" s="78"/>
      <c r="M120" s="78"/>
      <c r="N120" s="78"/>
      <c r="O120" s="78"/>
      <c r="P120" s="78"/>
      <c r="Q120" s="78"/>
      <c r="R120" s="78"/>
      <c r="S120" s="78"/>
      <c r="T120" s="78"/>
      <c r="U120" s="78"/>
      <c r="V120" s="78"/>
      <c r="W120" s="52"/>
      <c r="X120" s="58"/>
      <c r="Y120" s="58"/>
      <c r="Z120" s="58"/>
      <c r="AA120" s="58"/>
      <c r="AB120" s="58"/>
    </row>
    <row r="121" spans="4:28">
      <c r="D121" s="78"/>
      <c r="E121" s="78"/>
      <c r="F121" s="78"/>
      <c r="G121" s="78"/>
      <c r="H121" s="78"/>
      <c r="I121" s="78"/>
      <c r="J121" s="78"/>
      <c r="K121" s="78"/>
      <c r="L121" s="78"/>
      <c r="M121" s="78"/>
      <c r="N121" s="78"/>
      <c r="O121" s="78"/>
      <c r="P121" s="78"/>
      <c r="Q121" s="78"/>
      <c r="R121" s="78"/>
      <c r="S121" s="78"/>
      <c r="T121" s="78"/>
      <c r="U121" s="78"/>
      <c r="V121" s="78"/>
      <c r="W121" s="52"/>
      <c r="X121" s="58"/>
      <c r="Y121" s="58"/>
      <c r="Z121" s="58"/>
      <c r="AA121" s="58"/>
      <c r="AB121" s="58"/>
    </row>
    <row r="122" spans="4:28">
      <c r="D122" s="78"/>
      <c r="E122" s="78"/>
      <c r="F122" s="78"/>
      <c r="G122" s="78"/>
      <c r="H122" s="78"/>
      <c r="I122" s="78"/>
      <c r="J122" s="78"/>
      <c r="K122" s="78"/>
      <c r="L122" s="78"/>
      <c r="M122" s="78"/>
      <c r="N122" s="78"/>
      <c r="O122" s="78"/>
      <c r="P122" s="78"/>
      <c r="Q122" s="78"/>
      <c r="R122" s="78"/>
      <c r="S122" s="78"/>
      <c r="T122" s="78"/>
      <c r="U122" s="78"/>
      <c r="V122" s="78"/>
      <c r="W122" s="52"/>
      <c r="X122" s="58"/>
      <c r="Y122" s="58"/>
      <c r="Z122" s="58"/>
      <c r="AA122" s="58"/>
      <c r="AB122" s="58"/>
    </row>
    <row r="123" spans="4:28">
      <c r="D123" s="78"/>
      <c r="E123" s="78"/>
      <c r="F123" s="78"/>
      <c r="G123" s="78"/>
      <c r="H123" s="78"/>
      <c r="I123" s="78"/>
      <c r="J123" s="78"/>
      <c r="K123" s="78"/>
      <c r="L123" s="78"/>
      <c r="M123" s="78"/>
      <c r="N123" s="78"/>
      <c r="O123" s="78"/>
      <c r="P123" s="78"/>
      <c r="Q123" s="78"/>
      <c r="R123" s="78"/>
      <c r="S123" s="78"/>
      <c r="T123" s="78"/>
      <c r="U123" s="78"/>
      <c r="V123" s="78"/>
      <c r="W123" s="52"/>
      <c r="X123" s="54"/>
      <c r="Y123" s="54"/>
      <c r="Z123" s="54"/>
      <c r="AA123" s="54"/>
      <c r="AB123" s="54"/>
    </row>
    <row r="124" spans="4:28">
      <c r="D124" s="78"/>
      <c r="E124" s="78"/>
      <c r="F124" s="78"/>
      <c r="G124" s="78"/>
      <c r="H124" s="78"/>
      <c r="I124" s="78"/>
      <c r="J124" s="78"/>
      <c r="K124" s="78"/>
      <c r="L124" s="78"/>
      <c r="M124" s="78"/>
      <c r="N124" s="78"/>
      <c r="O124" s="78"/>
      <c r="P124" s="78"/>
      <c r="Q124" s="78"/>
      <c r="R124" s="78"/>
      <c r="S124" s="78"/>
      <c r="T124" s="78"/>
      <c r="U124" s="78"/>
      <c r="V124" s="78"/>
      <c r="W124" s="52"/>
      <c r="X124" s="58"/>
      <c r="Y124" s="58"/>
      <c r="Z124" s="58"/>
      <c r="AA124" s="58"/>
      <c r="AB124" s="58"/>
    </row>
    <row r="125" spans="4:28">
      <c r="D125" s="78"/>
      <c r="E125" s="78"/>
      <c r="F125" s="78"/>
      <c r="G125" s="78"/>
      <c r="H125" s="78"/>
      <c r="I125" s="78"/>
      <c r="J125" s="78"/>
      <c r="K125" s="78"/>
      <c r="L125" s="78"/>
      <c r="M125" s="78"/>
      <c r="N125" s="78"/>
      <c r="O125" s="78"/>
      <c r="P125" s="78"/>
      <c r="Q125" s="78"/>
      <c r="R125" s="78"/>
      <c r="S125" s="78"/>
      <c r="T125" s="78"/>
      <c r="U125" s="78"/>
      <c r="V125" s="78"/>
      <c r="W125" s="52"/>
      <c r="X125" s="54"/>
      <c r="Y125" s="54"/>
      <c r="Z125" s="54"/>
      <c r="AA125" s="54"/>
      <c r="AB125" s="54"/>
    </row>
    <row r="126" spans="4:28">
      <c r="D126" s="78"/>
      <c r="E126" s="78"/>
      <c r="F126" s="78"/>
      <c r="G126" s="78"/>
      <c r="H126" s="78"/>
      <c r="I126" s="78"/>
      <c r="J126" s="78"/>
      <c r="K126" s="78"/>
      <c r="L126" s="78"/>
      <c r="M126" s="78"/>
      <c r="N126" s="78"/>
      <c r="O126" s="78"/>
      <c r="P126" s="78"/>
      <c r="Q126" s="78"/>
      <c r="R126" s="78"/>
      <c r="S126" s="78"/>
      <c r="T126" s="78"/>
      <c r="U126" s="78"/>
      <c r="V126" s="78"/>
      <c r="W126" s="52"/>
    </row>
    <row r="127" spans="4:28">
      <c r="D127" s="78"/>
      <c r="E127" s="78"/>
      <c r="F127" s="78"/>
      <c r="G127" s="78"/>
      <c r="H127" s="78"/>
      <c r="I127" s="78"/>
      <c r="J127" s="78"/>
      <c r="K127" s="78"/>
      <c r="L127" s="78"/>
      <c r="M127" s="78"/>
      <c r="N127" s="78"/>
      <c r="O127" s="78"/>
      <c r="P127" s="78"/>
      <c r="Q127" s="78"/>
      <c r="R127" s="78"/>
      <c r="S127" s="78"/>
      <c r="T127" s="78"/>
      <c r="U127" s="78"/>
      <c r="V127" s="78"/>
      <c r="W127" s="52"/>
    </row>
    <row r="128" spans="4:28">
      <c r="D128" s="78"/>
      <c r="E128" s="78"/>
      <c r="F128" s="78"/>
      <c r="G128" s="78"/>
      <c r="H128" s="78"/>
      <c r="I128" s="78"/>
      <c r="J128" s="78"/>
      <c r="K128" s="78"/>
      <c r="L128" s="78"/>
      <c r="M128" s="78"/>
      <c r="N128" s="78"/>
      <c r="O128" s="78"/>
      <c r="P128" s="78"/>
      <c r="Q128" s="78"/>
      <c r="R128" s="78"/>
      <c r="S128" s="78"/>
      <c r="T128" s="78"/>
      <c r="U128" s="78"/>
      <c r="V128" s="78"/>
      <c r="W128" s="52"/>
    </row>
    <row r="129" spans="3:24" ht="15.75">
      <c r="C129" s="70"/>
      <c r="D129" s="78"/>
      <c r="E129" s="78"/>
      <c r="F129" s="78"/>
      <c r="G129" s="78"/>
      <c r="H129" s="78"/>
      <c r="I129" s="78"/>
      <c r="J129" s="78"/>
      <c r="K129" s="78"/>
      <c r="L129" s="78"/>
      <c r="M129" s="78"/>
      <c r="N129" s="78"/>
      <c r="O129" s="78"/>
      <c r="P129" s="78"/>
      <c r="Q129" s="78"/>
      <c r="R129" s="78"/>
      <c r="S129" s="78"/>
      <c r="T129" s="78"/>
      <c r="U129" s="78"/>
      <c r="V129" s="78"/>
      <c r="W129" s="52"/>
      <c r="X129" s="73"/>
    </row>
    <row r="130" spans="3:24" ht="15.75">
      <c r="C130" s="70"/>
      <c r="D130" s="78"/>
      <c r="E130" s="78"/>
      <c r="F130" s="78"/>
      <c r="G130" s="78"/>
      <c r="H130" s="78"/>
      <c r="I130" s="78"/>
      <c r="J130" s="78"/>
      <c r="K130" s="78"/>
      <c r="L130" s="78"/>
      <c r="M130" s="78"/>
      <c r="N130" s="78"/>
      <c r="O130" s="78"/>
      <c r="P130" s="78"/>
      <c r="Q130" s="78"/>
      <c r="R130" s="78"/>
      <c r="S130" s="78"/>
      <c r="T130" s="78"/>
      <c r="U130" s="78"/>
      <c r="V130" s="78"/>
      <c r="W130" s="52"/>
      <c r="X130" s="73"/>
    </row>
    <row r="131" spans="3:24" ht="15.75">
      <c r="C131" s="70"/>
      <c r="D131" s="78"/>
      <c r="E131" s="78"/>
      <c r="F131" s="78"/>
      <c r="G131" s="78"/>
      <c r="H131" s="78"/>
      <c r="I131" s="78"/>
      <c r="J131" s="78"/>
      <c r="K131" s="78"/>
      <c r="L131" s="78"/>
      <c r="M131" s="78"/>
      <c r="N131" s="78"/>
      <c r="O131" s="78"/>
      <c r="P131" s="78"/>
      <c r="Q131" s="78"/>
      <c r="R131" s="78"/>
      <c r="S131" s="78"/>
      <c r="T131" s="78"/>
      <c r="U131" s="78"/>
      <c r="V131" s="78"/>
      <c r="W131" s="52"/>
      <c r="X131" s="73"/>
    </row>
    <row r="132" spans="3:24">
      <c r="D132" s="78"/>
      <c r="E132" s="78"/>
      <c r="F132" s="78"/>
      <c r="G132" s="78"/>
      <c r="H132" s="78"/>
      <c r="I132" s="78"/>
      <c r="J132" s="78"/>
      <c r="K132" s="78"/>
      <c r="L132" s="78"/>
      <c r="M132" s="78"/>
      <c r="N132" s="78"/>
      <c r="O132" s="78"/>
      <c r="P132" s="78"/>
      <c r="Q132" s="78"/>
      <c r="R132" s="78"/>
      <c r="S132" s="78"/>
      <c r="T132" s="78"/>
      <c r="U132" s="78"/>
      <c r="V132" s="78"/>
      <c r="W132" s="52"/>
    </row>
    <row r="133" spans="3:24">
      <c r="D133" s="78"/>
      <c r="E133" s="78"/>
      <c r="F133" s="78"/>
      <c r="G133" s="78"/>
      <c r="H133" s="78"/>
      <c r="I133" s="78"/>
      <c r="J133" s="78"/>
      <c r="K133" s="78"/>
      <c r="L133" s="78"/>
      <c r="M133" s="78"/>
      <c r="N133" s="78"/>
      <c r="O133" s="78"/>
      <c r="P133" s="78"/>
      <c r="Q133" s="78"/>
      <c r="R133" s="78"/>
      <c r="S133" s="78"/>
      <c r="T133" s="78"/>
      <c r="U133" s="78"/>
      <c r="V133" s="78"/>
      <c r="W133" s="52"/>
    </row>
    <row r="134" spans="3:24" ht="15.75">
      <c r="C134" s="70"/>
      <c r="D134" s="78"/>
      <c r="E134" s="78"/>
      <c r="F134" s="78"/>
      <c r="G134" s="78"/>
      <c r="H134" s="78"/>
      <c r="I134" s="78"/>
      <c r="J134" s="78"/>
      <c r="K134" s="72"/>
      <c r="L134" s="78"/>
      <c r="M134" s="78"/>
      <c r="N134" s="78"/>
      <c r="O134" s="78"/>
      <c r="P134" s="78"/>
      <c r="Q134" s="78"/>
      <c r="R134" s="78"/>
      <c r="S134" s="78"/>
      <c r="T134" s="78"/>
      <c r="U134" s="78"/>
      <c r="V134" s="78"/>
      <c r="W134" s="52"/>
    </row>
    <row r="135" spans="3:24" ht="15.75">
      <c r="C135" s="70"/>
      <c r="D135" s="78"/>
      <c r="E135" s="78"/>
      <c r="F135" s="78"/>
      <c r="G135" s="78"/>
      <c r="H135" s="78"/>
      <c r="I135" s="78"/>
      <c r="J135" s="78"/>
      <c r="K135" s="72"/>
      <c r="L135" s="78"/>
      <c r="M135" s="78"/>
      <c r="N135" s="78"/>
      <c r="O135" s="78"/>
      <c r="P135" s="78"/>
      <c r="Q135" s="78"/>
      <c r="R135" s="78"/>
      <c r="S135" s="78"/>
      <c r="T135" s="78"/>
      <c r="U135" s="78"/>
      <c r="V135" s="78"/>
      <c r="W135" s="52"/>
    </row>
    <row r="136" spans="3:24">
      <c r="D136" s="78"/>
      <c r="E136" s="78"/>
      <c r="F136" s="78"/>
      <c r="G136" s="78"/>
      <c r="H136" s="78"/>
      <c r="I136" s="78"/>
      <c r="J136" s="78"/>
      <c r="K136" s="78"/>
      <c r="L136" s="78"/>
      <c r="M136" s="78"/>
      <c r="N136" s="78"/>
      <c r="O136" s="78"/>
      <c r="P136" s="78"/>
      <c r="Q136" s="78"/>
      <c r="R136" s="78"/>
      <c r="S136" s="78"/>
      <c r="T136" s="78"/>
      <c r="U136" s="78"/>
      <c r="V136" s="78"/>
      <c r="W136" s="52"/>
    </row>
    <row r="137" spans="3:24">
      <c r="D137" s="78"/>
      <c r="E137" s="78"/>
      <c r="F137" s="78"/>
      <c r="G137" s="78"/>
      <c r="H137" s="78"/>
      <c r="I137" s="78"/>
      <c r="J137" s="78"/>
      <c r="K137" s="78"/>
      <c r="L137" s="78"/>
      <c r="M137" s="78"/>
      <c r="N137" s="78"/>
      <c r="O137" s="78"/>
      <c r="P137" s="78"/>
      <c r="Q137" s="78"/>
      <c r="R137" s="78"/>
      <c r="S137" s="78"/>
      <c r="T137" s="78"/>
      <c r="U137" s="78"/>
      <c r="V137" s="78"/>
      <c r="W137" s="52"/>
    </row>
    <row r="138" spans="3:24">
      <c r="D138" s="78"/>
      <c r="E138" s="78"/>
      <c r="F138" s="78"/>
      <c r="G138" s="78"/>
      <c r="H138" s="78"/>
      <c r="I138" s="78"/>
      <c r="J138" s="78"/>
      <c r="K138" s="78"/>
      <c r="L138" s="78"/>
      <c r="M138" s="78"/>
      <c r="N138" s="78"/>
      <c r="O138" s="78"/>
      <c r="P138" s="78"/>
      <c r="Q138" s="78"/>
      <c r="R138" s="78"/>
      <c r="S138" s="78"/>
      <c r="T138" s="78"/>
      <c r="U138" s="78"/>
      <c r="V138" s="78"/>
      <c r="W138" s="52"/>
    </row>
    <row r="139" spans="3:24">
      <c r="D139" s="78"/>
      <c r="E139" s="78"/>
      <c r="F139" s="78"/>
      <c r="G139" s="78"/>
      <c r="H139" s="78"/>
      <c r="I139" s="78"/>
      <c r="J139" s="78"/>
      <c r="K139" s="78"/>
      <c r="L139" s="78"/>
      <c r="M139" s="78"/>
      <c r="N139" s="78"/>
      <c r="O139" s="78"/>
      <c r="P139" s="78"/>
      <c r="Q139" s="78"/>
      <c r="R139" s="78"/>
      <c r="S139" s="78"/>
      <c r="T139" s="78"/>
      <c r="U139" s="78"/>
      <c r="V139" s="78"/>
      <c r="W139" s="52"/>
    </row>
    <row r="140" spans="3:24">
      <c r="D140" s="78"/>
      <c r="E140" s="78"/>
      <c r="F140" s="78"/>
      <c r="G140" s="78"/>
      <c r="H140" s="78"/>
      <c r="I140" s="78"/>
      <c r="J140" s="78"/>
      <c r="K140" s="78"/>
      <c r="L140" s="78"/>
      <c r="M140" s="78"/>
      <c r="N140" s="78"/>
      <c r="O140" s="78"/>
      <c r="P140" s="78"/>
      <c r="Q140" s="78"/>
      <c r="R140" s="78"/>
      <c r="S140" s="78"/>
      <c r="T140" s="78"/>
      <c r="U140" s="78"/>
      <c r="V140" s="78"/>
      <c r="W140" s="52"/>
    </row>
    <row r="141" spans="3:24">
      <c r="D141" s="78"/>
      <c r="E141" s="78"/>
      <c r="F141" s="78"/>
      <c r="G141" s="78"/>
      <c r="H141" s="78"/>
      <c r="I141" s="78"/>
      <c r="J141" s="78"/>
      <c r="K141" s="78"/>
      <c r="L141" s="78"/>
      <c r="M141" s="78"/>
      <c r="N141" s="78"/>
      <c r="O141" s="78"/>
      <c r="P141" s="78"/>
      <c r="Q141" s="78"/>
      <c r="R141" s="78"/>
      <c r="S141" s="78"/>
      <c r="T141" s="78"/>
      <c r="U141" s="78"/>
      <c r="V141" s="78"/>
      <c r="W141" s="52"/>
    </row>
    <row r="142" spans="3:24">
      <c r="D142" s="78"/>
      <c r="E142" s="78"/>
      <c r="F142" s="78"/>
      <c r="G142" s="78"/>
      <c r="H142" s="78"/>
      <c r="I142" s="78"/>
      <c r="J142" s="78"/>
      <c r="K142" s="78"/>
      <c r="L142" s="78"/>
      <c r="M142" s="78"/>
      <c r="N142" s="78"/>
      <c r="O142" s="78"/>
      <c r="P142" s="78"/>
      <c r="Q142" s="78"/>
      <c r="R142" s="78"/>
      <c r="S142" s="78"/>
      <c r="T142" s="78"/>
      <c r="U142" s="78"/>
      <c r="V142" s="78"/>
      <c r="W142" s="52"/>
    </row>
    <row r="143" spans="3:24">
      <c r="D143" s="78"/>
      <c r="E143" s="78"/>
      <c r="F143" s="78"/>
      <c r="G143" s="78"/>
      <c r="H143" s="78"/>
      <c r="I143" s="78"/>
      <c r="J143" s="78"/>
      <c r="K143" s="78"/>
      <c r="L143" s="78"/>
      <c r="M143" s="78"/>
      <c r="N143" s="78"/>
      <c r="O143" s="78"/>
      <c r="P143" s="78"/>
      <c r="Q143" s="78"/>
      <c r="R143" s="78"/>
      <c r="S143" s="78"/>
      <c r="T143" s="78"/>
      <c r="U143" s="78"/>
      <c r="V143" s="78"/>
      <c r="W143" s="52"/>
    </row>
    <row r="144" spans="3:24">
      <c r="D144" s="78"/>
      <c r="E144" s="78"/>
      <c r="F144" s="78"/>
      <c r="G144" s="78"/>
      <c r="H144" s="78"/>
      <c r="I144" s="78"/>
      <c r="J144" s="78"/>
      <c r="K144" s="78"/>
      <c r="L144" s="78"/>
      <c r="M144" s="78"/>
      <c r="N144" s="78"/>
      <c r="O144" s="78"/>
      <c r="P144" s="78"/>
      <c r="Q144" s="78"/>
      <c r="R144" s="78"/>
      <c r="S144" s="78"/>
      <c r="T144" s="78"/>
      <c r="U144" s="78"/>
      <c r="V144" s="78"/>
      <c r="W144" s="52"/>
    </row>
    <row r="145" spans="4:23">
      <c r="D145" s="78"/>
      <c r="E145" s="78"/>
      <c r="F145" s="78"/>
      <c r="G145" s="78"/>
      <c r="H145" s="78"/>
      <c r="I145" s="78"/>
      <c r="J145" s="78"/>
      <c r="K145" s="78"/>
      <c r="L145" s="78"/>
      <c r="M145" s="78"/>
      <c r="N145" s="78"/>
      <c r="O145" s="78"/>
      <c r="P145" s="78"/>
      <c r="Q145" s="78"/>
      <c r="R145" s="78"/>
      <c r="S145" s="78"/>
      <c r="T145" s="78"/>
      <c r="U145" s="78"/>
      <c r="V145" s="78"/>
      <c r="W145" s="52"/>
    </row>
    <row r="146" spans="4:23">
      <c r="D146" s="78"/>
      <c r="E146" s="78"/>
      <c r="F146" s="78"/>
      <c r="G146" s="78"/>
      <c r="H146" s="78"/>
      <c r="I146" s="78"/>
      <c r="J146" s="78"/>
      <c r="K146" s="78"/>
      <c r="L146" s="78"/>
      <c r="M146" s="78"/>
      <c r="N146" s="78"/>
      <c r="O146" s="78"/>
      <c r="P146" s="78"/>
      <c r="Q146" s="78"/>
      <c r="R146" s="78"/>
      <c r="S146" s="78"/>
      <c r="T146" s="78"/>
      <c r="U146" s="78"/>
      <c r="V146" s="78"/>
      <c r="W146" s="52"/>
    </row>
    <row r="147" spans="4:23">
      <c r="D147" s="78"/>
      <c r="E147" s="78"/>
      <c r="F147" s="78"/>
      <c r="G147" s="78"/>
      <c r="H147" s="78"/>
      <c r="I147" s="78"/>
      <c r="J147" s="78"/>
      <c r="K147" s="78"/>
      <c r="L147" s="78"/>
      <c r="M147" s="78"/>
      <c r="N147" s="78"/>
      <c r="O147" s="78"/>
      <c r="P147" s="78"/>
      <c r="Q147" s="78"/>
      <c r="R147" s="78"/>
      <c r="S147" s="78"/>
      <c r="T147" s="78"/>
      <c r="U147" s="78"/>
      <c r="V147" s="78"/>
      <c r="W147" s="52"/>
    </row>
    <row r="148" spans="4:23">
      <c r="D148" s="78"/>
      <c r="E148" s="78"/>
      <c r="F148" s="78"/>
      <c r="G148" s="78"/>
      <c r="H148" s="78"/>
      <c r="I148" s="78"/>
      <c r="J148" s="78"/>
      <c r="K148" s="78"/>
      <c r="L148" s="78"/>
      <c r="M148" s="78"/>
      <c r="N148" s="78"/>
      <c r="O148" s="78"/>
      <c r="P148" s="78"/>
      <c r="Q148" s="78"/>
      <c r="R148" s="78"/>
      <c r="S148" s="78"/>
      <c r="T148" s="78"/>
      <c r="U148" s="78"/>
      <c r="V148" s="78"/>
      <c r="W148" s="52"/>
    </row>
    <row r="149" spans="4:23">
      <c r="D149" s="78"/>
      <c r="E149" s="78"/>
      <c r="F149" s="78"/>
      <c r="G149" s="78"/>
      <c r="H149" s="78"/>
      <c r="I149" s="78"/>
      <c r="J149" s="78"/>
      <c r="K149" s="78"/>
      <c r="L149" s="78"/>
      <c r="M149" s="78"/>
      <c r="N149" s="78"/>
      <c r="O149" s="78"/>
      <c r="P149" s="78"/>
      <c r="Q149" s="78"/>
      <c r="R149" s="78"/>
      <c r="S149" s="78"/>
      <c r="T149" s="78"/>
      <c r="U149" s="78"/>
      <c r="V149" s="78"/>
      <c r="W149" s="52"/>
    </row>
    <row r="150" spans="4:23">
      <c r="D150" s="78"/>
      <c r="E150" s="78"/>
      <c r="F150" s="78"/>
      <c r="G150" s="78"/>
      <c r="H150" s="78"/>
      <c r="I150" s="78"/>
      <c r="J150" s="78"/>
      <c r="K150" s="78"/>
      <c r="L150" s="78"/>
      <c r="M150" s="78"/>
      <c r="N150" s="78"/>
      <c r="O150" s="78"/>
      <c r="P150" s="78"/>
      <c r="Q150" s="78"/>
      <c r="R150" s="78"/>
      <c r="S150" s="78"/>
      <c r="T150" s="78"/>
      <c r="U150" s="78"/>
      <c r="V150" s="78"/>
      <c r="W150" s="52"/>
    </row>
    <row r="151" spans="4:23">
      <c r="D151" s="78"/>
      <c r="E151" s="78"/>
      <c r="F151" s="78"/>
      <c r="G151" s="78"/>
      <c r="H151" s="78"/>
      <c r="I151" s="78"/>
      <c r="J151" s="78"/>
      <c r="K151" s="78"/>
      <c r="L151" s="78"/>
      <c r="M151" s="78"/>
      <c r="N151" s="78"/>
      <c r="O151" s="78"/>
      <c r="P151" s="78"/>
      <c r="Q151" s="78"/>
      <c r="R151" s="78"/>
      <c r="S151" s="78"/>
      <c r="T151" s="78"/>
      <c r="U151" s="78"/>
      <c r="V151" s="78"/>
      <c r="W151" s="52"/>
    </row>
    <row r="152" spans="4:23">
      <c r="D152" s="78"/>
      <c r="E152" s="78"/>
      <c r="F152" s="78"/>
      <c r="G152" s="78"/>
      <c r="H152" s="78"/>
      <c r="I152" s="78"/>
      <c r="J152" s="78"/>
      <c r="K152" s="78"/>
      <c r="L152" s="78"/>
      <c r="M152" s="78"/>
      <c r="N152" s="78"/>
      <c r="O152" s="78"/>
      <c r="P152" s="78"/>
      <c r="Q152" s="78"/>
      <c r="R152" s="78"/>
      <c r="S152" s="78"/>
      <c r="T152" s="78"/>
      <c r="U152" s="78"/>
      <c r="V152" s="78"/>
      <c r="W152" s="52"/>
    </row>
    <row r="153" spans="4:23">
      <c r="D153" s="78"/>
      <c r="E153" s="78"/>
      <c r="F153" s="78"/>
      <c r="G153" s="78"/>
      <c r="H153" s="78"/>
      <c r="I153" s="78"/>
      <c r="J153" s="78"/>
      <c r="K153" s="78"/>
      <c r="L153" s="78"/>
      <c r="M153" s="78"/>
      <c r="N153" s="78"/>
      <c r="O153" s="78"/>
      <c r="P153" s="78"/>
      <c r="Q153" s="78"/>
      <c r="R153" s="78"/>
      <c r="S153" s="78"/>
      <c r="T153" s="78"/>
      <c r="U153" s="78"/>
      <c r="V153" s="78"/>
      <c r="W153" s="52"/>
    </row>
    <row r="154" spans="4:23">
      <c r="D154" s="78"/>
      <c r="E154" s="78"/>
      <c r="F154" s="78"/>
      <c r="G154" s="78"/>
      <c r="H154" s="78"/>
      <c r="I154" s="78"/>
      <c r="J154" s="78"/>
      <c r="K154" s="78"/>
      <c r="L154" s="78"/>
      <c r="M154" s="78"/>
      <c r="N154" s="78"/>
      <c r="O154" s="78"/>
      <c r="P154" s="78"/>
      <c r="Q154" s="78"/>
      <c r="R154" s="78"/>
      <c r="S154" s="78"/>
      <c r="T154" s="78"/>
      <c r="U154" s="78"/>
      <c r="V154" s="78"/>
      <c r="W154" s="52"/>
    </row>
    <row r="155" spans="4:23">
      <c r="D155" s="78"/>
      <c r="E155" s="78"/>
      <c r="F155" s="78"/>
      <c r="G155" s="78"/>
      <c r="H155" s="78"/>
      <c r="I155" s="78"/>
      <c r="J155" s="78"/>
      <c r="K155" s="78"/>
      <c r="L155" s="78"/>
      <c r="M155" s="78"/>
      <c r="N155" s="78"/>
      <c r="O155" s="78"/>
      <c r="P155" s="78"/>
      <c r="Q155" s="78"/>
      <c r="R155" s="78"/>
      <c r="S155" s="78"/>
      <c r="T155" s="78"/>
      <c r="U155" s="78"/>
      <c r="V155" s="78"/>
      <c r="W155" s="52"/>
    </row>
    <row r="156" spans="4:23">
      <c r="D156" s="78"/>
      <c r="E156" s="78"/>
      <c r="F156" s="78"/>
      <c r="G156" s="78"/>
      <c r="H156" s="78"/>
      <c r="I156" s="78"/>
      <c r="J156" s="78"/>
      <c r="K156" s="78"/>
      <c r="L156" s="78"/>
      <c r="M156" s="78"/>
      <c r="N156" s="78"/>
      <c r="O156" s="78"/>
      <c r="P156" s="78"/>
      <c r="Q156" s="78"/>
      <c r="R156" s="78"/>
      <c r="S156" s="78"/>
      <c r="T156" s="78"/>
      <c r="U156" s="78"/>
      <c r="V156" s="78"/>
      <c r="W156" s="52"/>
    </row>
    <row r="157" spans="4:23">
      <c r="D157" s="78"/>
      <c r="E157" s="78"/>
      <c r="F157" s="78"/>
      <c r="G157" s="78"/>
      <c r="H157" s="78"/>
      <c r="I157" s="78"/>
      <c r="J157" s="78"/>
      <c r="K157" s="78"/>
      <c r="L157" s="78"/>
      <c r="M157" s="78"/>
      <c r="N157" s="78"/>
      <c r="O157" s="78"/>
      <c r="P157" s="78"/>
      <c r="Q157" s="78"/>
      <c r="R157" s="78"/>
      <c r="S157" s="78"/>
      <c r="T157" s="78"/>
      <c r="U157" s="78"/>
      <c r="V157" s="78"/>
      <c r="W157" s="52"/>
    </row>
    <row r="158" spans="4:23">
      <c r="D158" s="78"/>
      <c r="E158" s="78"/>
      <c r="F158" s="78"/>
      <c r="G158" s="78"/>
      <c r="H158" s="78"/>
      <c r="I158" s="78"/>
      <c r="J158" s="78"/>
      <c r="K158" s="78"/>
      <c r="L158" s="78"/>
      <c r="M158" s="78"/>
      <c r="N158" s="78"/>
      <c r="O158" s="78"/>
      <c r="P158" s="78"/>
      <c r="Q158" s="78"/>
      <c r="R158" s="78"/>
      <c r="S158" s="78"/>
      <c r="T158" s="78"/>
      <c r="U158" s="78"/>
      <c r="V158" s="78"/>
      <c r="W158" s="52"/>
    </row>
    <row r="159" spans="4:23">
      <c r="D159" s="78"/>
      <c r="E159" s="78"/>
      <c r="F159" s="78"/>
      <c r="G159" s="78"/>
      <c r="H159" s="78"/>
      <c r="I159" s="78"/>
      <c r="J159" s="78"/>
      <c r="K159" s="78"/>
      <c r="L159" s="78"/>
      <c r="M159" s="78"/>
      <c r="N159" s="78"/>
      <c r="O159" s="78"/>
      <c r="P159" s="78"/>
      <c r="Q159" s="78"/>
      <c r="R159" s="78"/>
      <c r="S159" s="78"/>
      <c r="T159" s="78"/>
      <c r="U159" s="78"/>
      <c r="V159" s="78"/>
      <c r="W159" s="52"/>
    </row>
    <row r="160" spans="4:23">
      <c r="D160" s="78"/>
      <c r="E160" s="78"/>
      <c r="F160" s="78"/>
      <c r="G160" s="78"/>
      <c r="H160" s="78"/>
      <c r="I160" s="78"/>
      <c r="J160" s="78"/>
      <c r="K160" s="78"/>
      <c r="L160" s="78"/>
      <c r="M160" s="78"/>
      <c r="N160" s="78"/>
      <c r="O160" s="78"/>
      <c r="P160" s="78"/>
      <c r="Q160" s="78"/>
      <c r="R160" s="78"/>
      <c r="S160" s="78"/>
      <c r="T160" s="78"/>
      <c r="U160" s="78"/>
      <c r="V160" s="78"/>
      <c r="W160" s="52"/>
    </row>
    <row r="161" spans="3:23">
      <c r="C161" s="50"/>
      <c r="D161" s="52"/>
      <c r="E161" s="52"/>
      <c r="F161" s="52"/>
      <c r="G161" s="52"/>
      <c r="H161" s="52"/>
      <c r="I161" s="52"/>
      <c r="J161" s="52"/>
      <c r="K161" s="52"/>
      <c r="L161" s="52"/>
      <c r="M161" s="52"/>
      <c r="N161" s="52"/>
      <c r="O161" s="52"/>
      <c r="P161" s="52"/>
      <c r="Q161" s="52"/>
      <c r="R161" s="52"/>
      <c r="S161" s="52"/>
      <c r="T161" s="52"/>
      <c r="U161" s="52"/>
      <c r="V161" s="52"/>
      <c r="W161" s="52"/>
    </row>
    <row r="214" spans="16:16">
      <c r="P214" s="72"/>
    </row>
  </sheetData>
  <mergeCells count="3">
    <mergeCell ref="A20:A22"/>
    <mergeCell ref="A23:A29"/>
    <mergeCell ref="A4:A19"/>
  </mergeCells>
  <conditionalFormatting sqref="C161">
    <cfRule type="cellIs" dxfId="20" priority="23" operator="equal">
      <formula>1</formula>
    </cfRule>
  </conditionalFormatting>
  <conditionalFormatting sqref="S2">
    <cfRule type="cellIs" dxfId="19" priority="14" operator="equal">
      <formula>1</formula>
    </cfRule>
  </conditionalFormatting>
  <conditionalFormatting sqref="I55:O81">
    <cfRule type="cellIs" dxfId="18" priority="1" operator="greaterThan">
      <formula>0</formula>
    </cfRule>
  </conditionalFormatting>
  <pageMargins left="0" right="0" top="0" bottom="0" header="0" footer="0"/>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O184"/>
  <sheetViews>
    <sheetView zoomScale="70" zoomScaleNormal="70" workbookViewId="0">
      <selection activeCell="D5" sqref="D5"/>
    </sheetView>
  </sheetViews>
  <sheetFormatPr baseColWidth="10" defaultColWidth="11" defaultRowHeight="15"/>
  <cols>
    <col min="1" max="1" width="5.625" style="89" customWidth="1"/>
    <col min="2" max="2" width="22.125" style="89" customWidth="1"/>
    <col min="3" max="3" width="44.125" style="89" customWidth="1"/>
    <col min="4" max="7" width="14.625" style="89" customWidth="1"/>
    <col min="8" max="8" width="8.625" style="89" customWidth="1"/>
    <col min="9" max="9" width="13.125" style="89" bestFit="1" customWidth="1"/>
    <col min="10" max="16" width="10.875" style="89" customWidth="1"/>
    <col min="17" max="17" width="5.875" style="89" customWidth="1"/>
    <col min="18" max="19" width="8.125" style="89" customWidth="1"/>
    <col min="20" max="20" width="42.625" style="89" customWidth="1"/>
    <col min="21" max="21" width="12.5" style="89" customWidth="1"/>
    <col min="22" max="22" width="13.625" style="89" customWidth="1"/>
    <col min="23" max="23" width="13.125" style="89" customWidth="1"/>
    <col min="24" max="25" width="10.875" style="89" customWidth="1"/>
    <col min="26" max="26" width="19.875" style="89" customWidth="1"/>
    <col min="27" max="27" width="15.125" style="89" customWidth="1"/>
    <col min="28" max="32" width="10.875" style="89" customWidth="1"/>
    <col min="33" max="33" width="12.125" style="89" customWidth="1"/>
    <col min="34" max="34" width="9.875" style="89" customWidth="1"/>
    <col min="35" max="38" width="8.125" style="89" customWidth="1"/>
    <col min="39" max="40" width="12.125" style="89" customWidth="1"/>
    <col min="41" max="46" width="9.875" style="89" customWidth="1"/>
    <col min="47" max="53" width="10.875" style="89" customWidth="1"/>
    <col min="54" max="54" width="12.125" style="89" customWidth="1"/>
    <col min="55" max="61" width="8.875" style="89" customWidth="1"/>
    <col min="62" max="69" width="11.875" style="89" customWidth="1"/>
    <col min="70" max="77" width="8.875" style="89" customWidth="1"/>
    <col min="78" max="78" width="5.875" style="89" customWidth="1"/>
    <col min="79" max="85" width="8.125" style="89" customWidth="1"/>
    <col min="86" max="93" width="8.875" style="89" customWidth="1"/>
    <col min="94" max="101" width="9.875" style="89" customWidth="1"/>
    <col min="102" max="109" width="11.875" style="89" customWidth="1"/>
    <col min="110" max="125" width="9.875" style="89" customWidth="1"/>
    <col min="126" max="133" width="10.875" style="89" customWidth="1"/>
    <col min="134" max="141" width="9.875" style="89" customWidth="1"/>
    <col min="142" max="148" width="8.875" style="89" customWidth="1"/>
    <col min="149" max="149" width="9.125" style="89" customWidth="1"/>
    <col min="150" max="157" width="9.875" style="89" customWidth="1"/>
    <col min="158" max="165" width="10.875" style="89" customWidth="1"/>
    <col min="166" max="166" width="6.875" style="89" customWidth="1"/>
    <col min="167" max="172" width="8.125" style="89" customWidth="1"/>
    <col min="173" max="173" width="9.125" style="89" customWidth="1"/>
    <col min="174" max="181" width="11.875" style="89" customWidth="1"/>
    <col min="182" max="189" width="10.875" style="89" customWidth="1"/>
    <col min="190" max="197" width="9.875" style="89" customWidth="1"/>
    <col min="198" max="221" width="10.875" style="89" customWidth="1"/>
    <col min="222" max="222" width="12.125" style="89" customWidth="1"/>
    <col min="223" max="229" width="10.875" style="89" customWidth="1"/>
    <col min="230" max="247" width="9.875" style="89" customWidth="1"/>
    <col min="248" max="265" width="11.875" style="89" customWidth="1"/>
    <col min="266" max="274" width="10.875" style="89" customWidth="1"/>
    <col min="275" max="283" width="11.875" style="89" customWidth="1"/>
    <col min="284" max="301" width="10.875" style="89" customWidth="1"/>
    <col min="302" max="328" width="11.875" style="89" customWidth="1"/>
    <col min="329" max="329" width="12.125" style="89" customWidth="1"/>
    <col min="330" max="336" width="11.875" style="89" customWidth="1"/>
    <col min="337" max="416" width="10.875" style="89" customWidth="1"/>
    <col min="417" max="455" width="11.875" style="89" customWidth="1"/>
    <col min="456" max="456" width="11.875" style="89" bestFit="1" customWidth="1"/>
    <col min="457" max="457" width="12.125" style="89" bestFit="1" customWidth="1"/>
    <col min="458" max="16384" width="11" style="89"/>
  </cols>
  <sheetData>
    <row r="1" spans="1:457">
      <c r="B1" s="90" t="s">
        <v>573</v>
      </c>
      <c r="D1" s="89">
        <v>1</v>
      </c>
      <c r="E1" s="89">
        <f>D1+1</f>
        <v>2</v>
      </c>
      <c r="F1" s="89">
        <f t="shared" ref="F1:N1" si="0">E1+1</f>
        <v>3</v>
      </c>
      <c r="I1" s="89">
        <f>G1+1</f>
        <v>1</v>
      </c>
      <c r="J1" s="89">
        <f t="shared" si="0"/>
        <v>2</v>
      </c>
      <c r="K1" s="89">
        <f t="shared" si="0"/>
        <v>3</v>
      </c>
      <c r="L1" s="89">
        <f t="shared" si="0"/>
        <v>4</v>
      </c>
      <c r="M1" s="89">
        <f t="shared" si="0"/>
        <v>5</v>
      </c>
      <c r="N1" s="89">
        <f t="shared" si="0"/>
        <v>6</v>
      </c>
    </row>
    <row r="2" spans="1:457" ht="30">
      <c r="B2" s="224" t="s">
        <v>391</v>
      </c>
      <c r="C2" s="224" t="s">
        <v>389</v>
      </c>
      <c r="D2" s="220" t="s">
        <v>383</v>
      </c>
      <c r="E2" s="220" t="s">
        <v>384</v>
      </c>
      <c r="F2" s="221" t="s">
        <v>172</v>
      </c>
      <c r="G2" s="221" t="s">
        <v>560</v>
      </c>
      <c r="H2" s="149"/>
      <c r="I2" s="149" t="s">
        <v>386</v>
      </c>
      <c r="J2" s="149" t="s">
        <v>385</v>
      </c>
      <c r="K2" s="149" t="s">
        <v>219</v>
      </c>
      <c r="L2" s="149" t="s">
        <v>11</v>
      </c>
      <c r="M2" s="149" t="s">
        <v>218</v>
      </c>
      <c r="N2" s="149" t="s">
        <v>171</v>
      </c>
      <c r="O2" s="149" t="s">
        <v>187</v>
      </c>
      <c r="P2" s="224" t="s">
        <v>7</v>
      </c>
      <c r="Q2" s="92"/>
      <c r="R2" s="92"/>
      <c r="S2" s="92"/>
      <c r="T2" s="713" t="s">
        <v>627</v>
      </c>
      <c r="U2" s="713"/>
      <c r="V2" s="713"/>
      <c r="W2" s="713"/>
      <c r="X2" s="713"/>
      <c r="Y2" s="713"/>
      <c r="Z2" s="713"/>
      <c r="AA2" s="713"/>
      <c r="AB2" s="713"/>
      <c r="AC2" s="713"/>
      <c r="AD2" s="92"/>
      <c r="AE2" s="92"/>
      <c r="AF2" s="713"/>
      <c r="AG2" s="713"/>
      <c r="AH2" s="713"/>
      <c r="AI2" s="713"/>
      <c r="AJ2" s="713"/>
      <c r="AK2" s="713"/>
      <c r="AL2" s="713"/>
      <c r="AM2" s="713"/>
      <c r="AN2" s="713"/>
      <c r="AO2" s="713"/>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92"/>
      <c r="FC2" s="92"/>
      <c r="FD2" s="92"/>
      <c r="FE2" s="92"/>
      <c r="FF2" s="92"/>
      <c r="FG2" s="92"/>
      <c r="FH2" s="92"/>
      <c r="FI2" s="92"/>
      <c r="FJ2" s="92"/>
      <c r="FK2" s="92"/>
      <c r="FL2" s="92"/>
      <c r="FM2" s="92"/>
      <c r="FN2" s="92"/>
      <c r="FO2" s="92"/>
      <c r="FP2" s="92"/>
      <c r="FQ2" s="92"/>
      <c r="FR2" s="92"/>
      <c r="FS2" s="92"/>
      <c r="FT2" s="92"/>
      <c r="FU2" s="92"/>
      <c r="FV2" s="92"/>
      <c r="FW2" s="92"/>
      <c r="FX2" s="92"/>
      <c r="FY2" s="92"/>
      <c r="FZ2" s="92"/>
      <c r="GA2" s="92"/>
      <c r="GB2" s="92"/>
      <c r="GC2" s="92"/>
      <c r="GD2" s="92"/>
      <c r="GE2" s="92"/>
      <c r="GF2" s="92"/>
      <c r="GG2" s="92"/>
      <c r="GH2" s="92"/>
      <c r="GI2" s="92"/>
      <c r="GJ2" s="92"/>
      <c r="GK2" s="92"/>
      <c r="GL2" s="92"/>
      <c r="GM2" s="92"/>
      <c r="GN2" s="92"/>
      <c r="GO2" s="92"/>
      <c r="GP2" s="92"/>
      <c r="GQ2" s="92"/>
      <c r="GR2" s="92"/>
      <c r="GS2" s="92"/>
      <c r="GT2" s="92"/>
      <c r="GU2" s="92"/>
      <c r="GV2" s="92"/>
      <c r="GW2" s="92"/>
      <c r="GX2" s="92"/>
      <c r="GY2" s="92"/>
      <c r="GZ2" s="92"/>
      <c r="HA2" s="92"/>
      <c r="HB2" s="92"/>
      <c r="HC2" s="92"/>
      <c r="HD2" s="92"/>
      <c r="HE2" s="92"/>
      <c r="HF2" s="92"/>
      <c r="HG2" s="92"/>
      <c r="HH2" s="92"/>
      <c r="HI2" s="92"/>
      <c r="HJ2" s="92"/>
      <c r="HK2" s="92"/>
      <c r="HL2" s="92"/>
      <c r="HM2" s="92"/>
      <c r="HN2" s="92"/>
      <c r="HO2" s="92"/>
      <c r="HP2" s="92"/>
      <c r="HQ2" s="92"/>
      <c r="HR2" s="92"/>
      <c r="HS2" s="92"/>
      <c r="HT2" s="92"/>
      <c r="HU2" s="92"/>
      <c r="HV2" s="92"/>
      <c r="HW2" s="92"/>
      <c r="HX2" s="92"/>
      <c r="HY2" s="92"/>
      <c r="HZ2" s="92"/>
      <c r="IA2" s="92"/>
      <c r="IB2" s="92"/>
      <c r="IC2" s="92"/>
      <c r="ID2" s="92"/>
      <c r="IE2" s="92"/>
      <c r="IF2" s="92"/>
      <c r="IG2" s="92"/>
      <c r="IH2" s="92"/>
      <c r="II2" s="92"/>
      <c r="IJ2" s="92"/>
      <c r="IK2" s="92"/>
      <c r="IL2" s="92"/>
      <c r="IM2" s="92"/>
      <c r="IN2" s="92"/>
      <c r="IO2" s="92"/>
      <c r="IP2" s="92"/>
      <c r="IQ2" s="92"/>
      <c r="IR2" s="92"/>
      <c r="IS2" s="92"/>
      <c r="IT2" s="92"/>
      <c r="IU2" s="92"/>
      <c r="IV2" s="92"/>
      <c r="IW2" s="92"/>
      <c r="IX2" s="92"/>
      <c r="IY2" s="92"/>
      <c r="IZ2" s="92"/>
      <c r="JA2" s="92"/>
      <c r="JB2" s="92"/>
      <c r="JC2" s="92"/>
      <c r="JD2" s="92"/>
      <c r="JE2" s="92"/>
      <c r="JF2" s="92"/>
      <c r="JG2" s="92"/>
      <c r="JH2" s="92"/>
      <c r="JI2" s="92"/>
      <c r="JJ2" s="92"/>
      <c r="JK2" s="92"/>
      <c r="JL2" s="92"/>
      <c r="JM2" s="92"/>
      <c r="JN2" s="92"/>
      <c r="JO2" s="92"/>
      <c r="JP2" s="92"/>
      <c r="JQ2" s="92"/>
      <c r="JR2" s="92"/>
      <c r="JS2" s="92"/>
      <c r="JT2" s="92"/>
      <c r="JU2" s="92"/>
      <c r="JV2" s="92"/>
      <c r="JW2" s="92"/>
      <c r="JX2" s="92"/>
      <c r="JY2" s="92"/>
      <c r="JZ2" s="92"/>
      <c r="KA2" s="92"/>
      <c r="KB2" s="92"/>
      <c r="KC2" s="92"/>
      <c r="KD2" s="92"/>
      <c r="KE2" s="92"/>
      <c r="KF2" s="92"/>
      <c r="KG2" s="92"/>
      <c r="KH2" s="92"/>
      <c r="KI2" s="92"/>
      <c r="KJ2" s="92"/>
      <c r="KK2" s="92"/>
      <c r="KL2" s="92"/>
      <c r="KM2" s="92"/>
      <c r="KN2" s="92"/>
      <c r="KO2" s="92"/>
      <c r="KP2" s="92"/>
      <c r="KQ2" s="92"/>
      <c r="KR2" s="92"/>
      <c r="KS2" s="92"/>
      <c r="KT2" s="92"/>
      <c r="KU2" s="92"/>
      <c r="KV2" s="92"/>
      <c r="KW2" s="92"/>
      <c r="KX2" s="92"/>
      <c r="KY2" s="92"/>
      <c r="KZ2" s="92"/>
      <c r="LA2" s="92"/>
      <c r="LB2" s="92"/>
      <c r="LC2" s="92"/>
      <c r="LD2" s="92"/>
      <c r="LE2" s="92"/>
      <c r="LF2" s="92"/>
      <c r="LG2" s="92"/>
      <c r="LH2" s="92"/>
      <c r="LI2" s="92"/>
      <c r="LJ2" s="92"/>
      <c r="LK2" s="92"/>
      <c r="LL2" s="92"/>
      <c r="LM2" s="92"/>
      <c r="LN2" s="92"/>
      <c r="LO2" s="92"/>
      <c r="LP2" s="92"/>
      <c r="LQ2" s="92"/>
      <c r="LR2" s="92"/>
      <c r="LS2" s="92"/>
      <c r="LT2" s="92"/>
      <c r="LU2" s="92"/>
      <c r="LV2" s="92"/>
      <c r="LW2" s="92"/>
      <c r="LX2" s="92"/>
      <c r="LY2" s="92"/>
      <c r="LZ2" s="92"/>
      <c r="MA2" s="92"/>
      <c r="MB2" s="92"/>
      <c r="MC2" s="92"/>
      <c r="MD2" s="92"/>
      <c r="ME2" s="92"/>
      <c r="MF2" s="92"/>
      <c r="MG2" s="92"/>
      <c r="MH2" s="92"/>
      <c r="MI2" s="92"/>
      <c r="MJ2" s="92"/>
      <c r="MK2" s="92"/>
      <c r="ML2" s="92"/>
      <c r="MM2" s="92"/>
      <c r="MN2" s="92"/>
      <c r="MO2" s="92"/>
      <c r="MP2" s="92"/>
      <c r="MQ2" s="92"/>
      <c r="MR2" s="92"/>
      <c r="MS2" s="92"/>
      <c r="MT2" s="92"/>
      <c r="MU2" s="92"/>
      <c r="MV2" s="92"/>
      <c r="MW2" s="92"/>
      <c r="MX2" s="92"/>
      <c r="MY2" s="92"/>
      <c r="MZ2" s="92"/>
      <c r="NA2" s="92"/>
      <c r="NB2" s="92"/>
      <c r="NC2" s="92"/>
      <c r="ND2" s="92"/>
      <c r="NE2" s="92"/>
      <c r="NF2" s="92"/>
      <c r="NG2" s="92"/>
      <c r="NH2" s="92"/>
      <c r="NI2" s="92"/>
      <c r="NJ2" s="92"/>
      <c r="NK2" s="92"/>
      <c r="NL2" s="92"/>
      <c r="NM2" s="92"/>
      <c r="NN2" s="92"/>
      <c r="NO2" s="92"/>
      <c r="NP2" s="92"/>
      <c r="NQ2" s="92"/>
      <c r="NR2" s="92"/>
      <c r="NS2" s="92"/>
      <c r="NT2" s="92"/>
      <c r="NU2" s="92"/>
      <c r="NV2" s="92"/>
      <c r="NW2" s="92"/>
      <c r="NX2" s="92"/>
      <c r="NY2" s="92"/>
      <c r="NZ2" s="92"/>
      <c r="OA2" s="92"/>
      <c r="OB2" s="92"/>
      <c r="OC2" s="92"/>
      <c r="OD2" s="92"/>
      <c r="OE2" s="92"/>
      <c r="OF2" s="92"/>
      <c r="OG2" s="92"/>
      <c r="OH2" s="92"/>
      <c r="OI2" s="92"/>
      <c r="OJ2" s="92"/>
      <c r="OK2" s="92"/>
      <c r="OL2" s="92"/>
      <c r="OM2" s="92"/>
      <c r="ON2" s="92"/>
      <c r="OO2" s="92"/>
      <c r="OP2" s="92"/>
      <c r="OQ2" s="92"/>
      <c r="OR2" s="92"/>
      <c r="OS2" s="92"/>
      <c r="OT2" s="92"/>
      <c r="OU2" s="92"/>
      <c r="OV2" s="92"/>
      <c r="OW2" s="92"/>
      <c r="OX2" s="92"/>
      <c r="OY2" s="92"/>
      <c r="OZ2" s="92"/>
      <c r="PA2" s="92"/>
      <c r="PB2" s="92"/>
      <c r="PC2" s="92"/>
      <c r="PD2" s="92"/>
      <c r="PE2" s="92"/>
      <c r="PF2" s="92"/>
      <c r="PG2" s="92"/>
      <c r="PH2" s="92"/>
      <c r="PI2" s="92"/>
      <c r="PJ2" s="92"/>
      <c r="PK2" s="92"/>
      <c r="PL2" s="92"/>
      <c r="PM2" s="92"/>
      <c r="PN2" s="92"/>
      <c r="PO2" s="92"/>
      <c r="PP2" s="92"/>
      <c r="PQ2" s="92"/>
      <c r="PR2" s="92"/>
      <c r="PS2" s="92"/>
      <c r="PT2" s="92"/>
      <c r="PU2" s="92"/>
      <c r="PV2" s="92"/>
      <c r="PW2" s="92"/>
      <c r="PX2" s="92"/>
      <c r="PY2" s="92"/>
      <c r="PZ2" s="92"/>
      <c r="QA2" s="92"/>
      <c r="QB2" s="92"/>
      <c r="QC2" s="92"/>
      <c r="QD2" s="92"/>
      <c r="QE2" s="92"/>
      <c r="QF2" s="92"/>
      <c r="QG2" s="92"/>
      <c r="QH2" s="92"/>
      <c r="QI2" s="92"/>
      <c r="QJ2" s="92"/>
      <c r="QK2" s="92"/>
      <c r="QL2" s="92"/>
      <c r="QM2" s="92"/>
      <c r="QN2" s="92"/>
      <c r="QO2" s="92"/>
    </row>
    <row r="3" spans="1:457" ht="15.75">
      <c r="A3" s="89">
        <v>1</v>
      </c>
      <c r="B3" s="89" t="s">
        <v>226</v>
      </c>
      <c r="C3" s="101" t="str">
        <f>T5</f>
        <v>Agriculture, livestockand fishing</v>
      </c>
      <c r="D3" s="279">
        <f>AA5/U$88</f>
        <v>117.85555327330248</v>
      </c>
      <c r="E3" s="279">
        <f t="shared" ref="D3:F4" si="1">AB5/V$88</f>
        <v>6.5447287070636406E-2</v>
      </c>
      <c r="F3" s="279">
        <f t="shared" si="1"/>
        <v>35.28284473921137</v>
      </c>
      <c r="G3" s="280">
        <f>SUM(D3:F3)</f>
        <v>153.20384529958449</v>
      </c>
      <c r="H3" s="94"/>
      <c r="I3" s="94"/>
      <c r="J3" s="94"/>
      <c r="K3" s="94"/>
      <c r="L3" s="94"/>
      <c r="M3" s="94"/>
      <c r="N3" s="94"/>
      <c r="P3" s="95">
        <f>SUM(G3,I3:O3)</f>
        <v>153.20384529958449</v>
      </c>
      <c r="Q3" s="92"/>
      <c r="R3" s="92"/>
      <c r="S3" s="92"/>
      <c r="T3" s="138"/>
      <c r="U3" s="707" t="s">
        <v>420</v>
      </c>
      <c r="V3" s="708"/>
      <c r="W3" s="708"/>
      <c r="X3" s="709" t="s">
        <v>536</v>
      </c>
      <c r="Y3" s="710"/>
      <c r="Z3" s="710"/>
      <c r="AA3" s="708" t="s">
        <v>7</v>
      </c>
      <c r="AB3" s="708"/>
      <c r="AC3" s="708"/>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92"/>
      <c r="FC3" s="92"/>
      <c r="FD3" s="92"/>
      <c r="FE3" s="92"/>
      <c r="FF3" s="92"/>
      <c r="FG3" s="92"/>
      <c r="FH3" s="92"/>
      <c r="FI3" s="92"/>
      <c r="FJ3" s="92"/>
      <c r="FK3" s="92"/>
      <c r="FL3" s="92"/>
      <c r="FM3" s="92"/>
      <c r="FN3" s="92"/>
      <c r="FO3" s="92"/>
      <c r="FP3" s="92"/>
      <c r="FQ3" s="92"/>
      <c r="FR3" s="92"/>
      <c r="FS3" s="92"/>
      <c r="FT3" s="92"/>
      <c r="FU3" s="92"/>
      <c r="FV3" s="92"/>
      <c r="FW3" s="92"/>
      <c r="FX3" s="92"/>
      <c r="FY3" s="92"/>
      <c r="FZ3" s="92"/>
      <c r="GA3" s="92"/>
      <c r="GB3" s="92"/>
      <c r="GC3" s="92"/>
      <c r="GD3" s="92"/>
      <c r="GE3" s="92"/>
      <c r="GF3" s="92"/>
      <c r="GG3" s="92"/>
      <c r="GH3" s="92"/>
      <c r="GI3" s="92"/>
      <c r="GJ3" s="92"/>
      <c r="GK3" s="92"/>
      <c r="GL3" s="92"/>
      <c r="GM3" s="92"/>
      <c r="GN3" s="92"/>
      <c r="GO3" s="92"/>
      <c r="GP3" s="92"/>
      <c r="GQ3" s="92"/>
      <c r="GR3" s="92"/>
      <c r="GS3" s="92"/>
      <c r="GT3" s="92"/>
      <c r="GU3" s="92"/>
      <c r="GV3" s="92"/>
      <c r="GW3" s="92"/>
      <c r="GX3" s="92"/>
      <c r="GY3" s="92"/>
      <c r="GZ3" s="92"/>
      <c r="HA3" s="92"/>
      <c r="HB3" s="92"/>
      <c r="HC3" s="92"/>
      <c r="HD3" s="92"/>
      <c r="HE3" s="92"/>
      <c r="HF3" s="92"/>
      <c r="HG3" s="92"/>
      <c r="HH3" s="92"/>
      <c r="HI3" s="92"/>
      <c r="HJ3" s="92"/>
      <c r="HK3" s="92"/>
      <c r="HL3" s="92"/>
      <c r="HM3" s="92"/>
      <c r="HN3" s="92"/>
      <c r="HO3" s="92"/>
      <c r="HP3" s="92"/>
      <c r="HQ3" s="92"/>
      <c r="HR3" s="92"/>
      <c r="HS3" s="92"/>
      <c r="HT3" s="92"/>
      <c r="HU3" s="92"/>
      <c r="HV3" s="92"/>
      <c r="HW3" s="92"/>
      <c r="HX3" s="92"/>
      <c r="HY3" s="92"/>
      <c r="HZ3" s="92"/>
      <c r="IA3" s="92"/>
      <c r="IB3" s="92"/>
      <c r="IC3" s="92"/>
      <c r="ID3" s="92"/>
      <c r="IE3" s="92"/>
      <c r="IF3" s="92"/>
      <c r="IG3" s="92"/>
      <c r="IH3" s="92"/>
      <c r="II3" s="92"/>
      <c r="IJ3" s="92"/>
      <c r="IK3" s="92"/>
      <c r="IL3" s="92"/>
      <c r="IM3" s="92"/>
      <c r="IN3" s="92"/>
      <c r="IO3" s="92"/>
      <c r="IP3" s="92"/>
      <c r="IQ3" s="92"/>
      <c r="IR3" s="92"/>
      <c r="IS3" s="92"/>
      <c r="IT3" s="92"/>
      <c r="IU3" s="92"/>
      <c r="IV3" s="92"/>
      <c r="IW3" s="92"/>
      <c r="IX3" s="92"/>
      <c r="IY3" s="92"/>
      <c r="IZ3" s="92"/>
      <c r="JA3" s="92"/>
      <c r="JB3" s="92"/>
      <c r="JC3" s="92"/>
      <c r="JD3" s="92"/>
      <c r="JE3" s="92"/>
      <c r="JF3" s="92"/>
      <c r="JG3" s="92"/>
      <c r="JH3" s="92"/>
      <c r="JI3" s="92"/>
      <c r="JJ3" s="92"/>
      <c r="JK3" s="92"/>
      <c r="JL3" s="92"/>
      <c r="JM3" s="92"/>
      <c r="JN3" s="92"/>
      <c r="JO3" s="92"/>
      <c r="JP3" s="92"/>
      <c r="JQ3" s="92"/>
      <c r="JR3" s="92"/>
      <c r="JS3" s="92"/>
      <c r="JT3" s="92"/>
      <c r="JU3" s="92"/>
      <c r="JV3" s="92"/>
      <c r="JW3" s="92"/>
      <c r="JX3" s="92"/>
      <c r="JY3" s="92"/>
      <c r="JZ3" s="92"/>
      <c r="KA3" s="92"/>
      <c r="KB3" s="92"/>
      <c r="KC3" s="92"/>
      <c r="KD3" s="92"/>
      <c r="KE3" s="92"/>
      <c r="KF3" s="92"/>
      <c r="KG3" s="92"/>
      <c r="KH3" s="92"/>
      <c r="KI3" s="92"/>
      <c r="KJ3" s="92"/>
      <c r="KK3" s="92"/>
      <c r="KL3" s="92"/>
      <c r="KM3" s="92"/>
      <c r="KN3" s="92"/>
      <c r="KO3" s="92"/>
      <c r="KP3" s="92"/>
      <c r="KQ3" s="92"/>
      <c r="KR3" s="92"/>
      <c r="KS3" s="92"/>
      <c r="KT3" s="92"/>
      <c r="KU3" s="92"/>
      <c r="KV3" s="92"/>
      <c r="KW3" s="92"/>
      <c r="KX3" s="92"/>
      <c r="KY3" s="92"/>
      <c r="KZ3" s="92"/>
      <c r="LA3" s="92"/>
      <c r="LB3" s="92"/>
      <c r="LC3" s="92"/>
      <c r="LD3" s="92"/>
      <c r="LE3" s="92"/>
      <c r="LF3" s="92"/>
      <c r="LG3" s="92"/>
      <c r="LH3" s="92"/>
      <c r="LI3" s="92"/>
      <c r="LJ3" s="92"/>
      <c r="LK3" s="92"/>
      <c r="LL3" s="92"/>
      <c r="LM3" s="92"/>
      <c r="LN3" s="92"/>
      <c r="LO3" s="92"/>
      <c r="LP3" s="92"/>
      <c r="LQ3" s="92"/>
      <c r="LR3" s="92"/>
      <c r="LS3" s="92"/>
      <c r="LT3" s="92"/>
      <c r="LU3" s="92"/>
      <c r="LV3" s="92"/>
      <c r="LW3" s="92"/>
      <c r="LX3" s="92"/>
      <c r="LY3" s="92"/>
      <c r="LZ3" s="92"/>
      <c r="MA3" s="92"/>
      <c r="MB3" s="92"/>
      <c r="MC3" s="92"/>
      <c r="MD3" s="92"/>
      <c r="ME3" s="92"/>
      <c r="MF3" s="92"/>
      <c r="MG3" s="92"/>
      <c r="MH3" s="92"/>
      <c r="MI3" s="92"/>
      <c r="MJ3" s="92"/>
      <c r="MK3" s="92"/>
      <c r="ML3" s="92"/>
      <c r="MM3" s="92"/>
      <c r="MN3" s="92"/>
      <c r="MO3" s="92"/>
      <c r="MP3" s="92"/>
      <c r="MQ3" s="92"/>
      <c r="MR3" s="92"/>
      <c r="MS3" s="92"/>
      <c r="MT3" s="92"/>
      <c r="MU3" s="92"/>
      <c r="MV3" s="92"/>
      <c r="MW3" s="92"/>
      <c r="MX3" s="92"/>
      <c r="MY3" s="92"/>
      <c r="MZ3" s="92"/>
      <c r="NA3" s="92"/>
      <c r="NB3" s="92"/>
      <c r="NC3" s="92"/>
      <c r="ND3" s="92"/>
      <c r="NE3" s="92"/>
      <c r="NF3" s="92"/>
      <c r="NG3" s="92"/>
      <c r="NH3" s="92"/>
      <c r="NI3" s="92"/>
      <c r="NJ3" s="92"/>
      <c r="NK3" s="92"/>
      <c r="NL3" s="92"/>
      <c r="NM3" s="92"/>
      <c r="NN3" s="92"/>
      <c r="NO3" s="92"/>
      <c r="NP3" s="92"/>
      <c r="NQ3" s="92"/>
      <c r="NR3" s="92"/>
      <c r="NS3" s="92"/>
      <c r="NT3" s="92"/>
      <c r="NU3" s="92"/>
      <c r="NV3" s="92"/>
      <c r="NW3" s="92"/>
      <c r="NX3" s="92"/>
      <c r="NY3" s="92"/>
      <c r="NZ3" s="92"/>
      <c r="OA3" s="92"/>
      <c r="OB3" s="92"/>
      <c r="OC3" s="92"/>
      <c r="OD3" s="92"/>
      <c r="OE3" s="92"/>
      <c r="OF3" s="92"/>
      <c r="OG3" s="92"/>
      <c r="OH3" s="92"/>
      <c r="OI3" s="92"/>
      <c r="OJ3" s="92"/>
      <c r="OK3" s="92"/>
      <c r="OL3" s="92"/>
      <c r="OM3" s="92"/>
      <c r="ON3" s="92"/>
      <c r="OO3" s="92"/>
      <c r="OP3" s="92"/>
      <c r="OQ3" s="92"/>
      <c r="OR3" s="92"/>
      <c r="OS3" s="92"/>
      <c r="OT3" s="92"/>
      <c r="OU3" s="92"/>
      <c r="OV3" s="92"/>
      <c r="OW3" s="92"/>
      <c r="OX3" s="92"/>
      <c r="OY3" s="92"/>
      <c r="OZ3" s="92"/>
      <c r="PA3" s="92"/>
      <c r="PB3" s="92"/>
      <c r="PC3" s="92"/>
      <c r="PD3" s="92"/>
      <c r="PE3" s="92"/>
      <c r="PF3" s="92"/>
      <c r="PG3" s="92"/>
      <c r="PH3" s="92"/>
      <c r="PI3" s="92"/>
      <c r="PJ3" s="92"/>
      <c r="PK3" s="92"/>
      <c r="PL3" s="92"/>
      <c r="PM3" s="92"/>
      <c r="PN3" s="92"/>
      <c r="PO3" s="92"/>
      <c r="PP3" s="92"/>
      <c r="PQ3" s="92"/>
      <c r="PR3" s="92"/>
      <c r="PS3" s="92"/>
      <c r="PT3" s="92"/>
      <c r="PU3" s="92"/>
      <c r="PV3" s="92"/>
      <c r="PW3" s="92"/>
      <c r="PX3" s="92"/>
      <c r="PY3" s="92"/>
      <c r="PZ3" s="92"/>
      <c r="QA3" s="92"/>
      <c r="QB3" s="92"/>
      <c r="QC3" s="92"/>
      <c r="QD3" s="92"/>
      <c r="QE3" s="92"/>
      <c r="QF3" s="92"/>
      <c r="QG3" s="92"/>
      <c r="QH3" s="92"/>
      <c r="QI3" s="92"/>
      <c r="QJ3" s="92"/>
      <c r="QK3" s="92"/>
      <c r="QL3" s="92"/>
      <c r="QM3" s="92"/>
      <c r="QN3" s="92"/>
      <c r="QO3" s="92"/>
    </row>
    <row r="4" spans="1:457" ht="15.75">
      <c r="A4" s="89">
        <v>2</v>
      </c>
      <c r="B4" s="89" t="s">
        <v>226</v>
      </c>
      <c r="C4" s="101" t="str">
        <f t="shared" ref="C4:C25" si="2">T6</f>
        <v>Forestry</v>
      </c>
      <c r="D4" s="279">
        <f t="shared" si="1"/>
        <v>3.7315797266975155</v>
      </c>
      <c r="E4" s="279">
        <f t="shared" si="1"/>
        <v>0</v>
      </c>
      <c r="F4" s="279">
        <f t="shared" si="1"/>
        <v>1.7451552607886325</v>
      </c>
      <c r="G4" s="280">
        <f>SUM(D4:F4)</f>
        <v>5.4767349874861484</v>
      </c>
      <c r="H4" s="94"/>
      <c r="I4" s="94"/>
      <c r="J4" s="94"/>
      <c r="K4" s="94"/>
      <c r="L4" s="94"/>
      <c r="M4" s="94"/>
      <c r="N4" s="94"/>
      <c r="P4" s="95">
        <f t="shared" ref="P4:P29" si="3">SUM(G4,I4:O4)</f>
        <v>5.4767349874861484</v>
      </c>
      <c r="Q4" s="92"/>
      <c r="R4" s="92"/>
      <c r="S4" s="92"/>
      <c r="T4" s="67"/>
      <c r="U4" s="53" t="s">
        <v>419</v>
      </c>
      <c r="V4" s="53" t="s">
        <v>384</v>
      </c>
      <c r="W4" s="53" t="s">
        <v>172</v>
      </c>
      <c r="X4" s="53" t="s">
        <v>419</v>
      </c>
      <c r="Y4" s="53" t="s">
        <v>384</v>
      </c>
      <c r="Z4" s="53" t="s">
        <v>172</v>
      </c>
      <c r="AA4" s="53" t="s">
        <v>419</v>
      </c>
      <c r="AB4" s="53" t="s">
        <v>384</v>
      </c>
      <c r="AC4" s="53" t="s">
        <v>172</v>
      </c>
      <c r="AD4" s="98" t="s">
        <v>7</v>
      </c>
      <c r="AF4" s="53"/>
      <c r="AG4" s="53"/>
      <c r="AH4" s="53"/>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92"/>
      <c r="CD4" s="92"/>
      <c r="CE4" s="92"/>
      <c r="CF4" s="92"/>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92"/>
      <c r="FC4" s="92"/>
      <c r="FD4" s="92"/>
      <c r="FE4" s="92"/>
      <c r="FF4" s="92"/>
      <c r="FG4" s="92"/>
      <c r="FH4" s="92"/>
      <c r="FI4" s="92"/>
      <c r="FJ4" s="92"/>
      <c r="FK4" s="92"/>
      <c r="FL4" s="92"/>
      <c r="FM4" s="92"/>
      <c r="FN4" s="92"/>
      <c r="FO4" s="92"/>
      <c r="FP4" s="92"/>
      <c r="FQ4" s="92"/>
      <c r="FR4" s="92"/>
      <c r="FS4" s="92"/>
      <c r="FT4" s="92"/>
      <c r="FU4" s="92"/>
      <c r="FV4" s="92"/>
      <c r="FW4" s="92"/>
      <c r="FX4" s="92"/>
      <c r="FY4" s="92"/>
      <c r="FZ4" s="92"/>
      <c r="GA4" s="92"/>
      <c r="GB4" s="92"/>
      <c r="GC4" s="92"/>
      <c r="GD4" s="92"/>
      <c r="GE4" s="92"/>
      <c r="GF4" s="92"/>
      <c r="GG4" s="92"/>
      <c r="GH4" s="92"/>
      <c r="GI4" s="92"/>
      <c r="GJ4" s="92"/>
      <c r="GK4" s="92"/>
      <c r="GL4" s="92"/>
      <c r="GM4" s="92"/>
      <c r="GN4" s="92"/>
      <c r="GO4" s="92"/>
      <c r="GP4" s="92"/>
      <c r="GQ4" s="92"/>
      <c r="GR4" s="92"/>
      <c r="GS4" s="92"/>
      <c r="GT4" s="92"/>
      <c r="GU4" s="92"/>
      <c r="GV4" s="92"/>
      <c r="GW4" s="92"/>
      <c r="GX4" s="92"/>
      <c r="GY4" s="92"/>
      <c r="GZ4" s="92"/>
      <c r="HA4" s="92"/>
      <c r="HB4" s="92"/>
      <c r="HC4" s="92"/>
      <c r="HD4" s="92"/>
      <c r="HE4" s="92"/>
      <c r="HF4" s="92"/>
      <c r="HG4" s="92"/>
      <c r="HH4" s="92"/>
      <c r="HI4" s="92"/>
      <c r="HJ4" s="92"/>
      <c r="HK4" s="92"/>
      <c r="HL4" s="92"/>
      <c r="HM4" s="92"/>
      <c r="HN4" s="92"/>
      <c r="HO4" s="92"/>
      <c r="HP4" s="92"/>
      <c r="HQ4" s="92"/>
      <c r="HR4" s="92"/>
      <c r="HS4" s="92"/>
      <c r="HT4" s="92"/>
      <c r="HU4" s="92"/>
      <c r="HV4" s="92"/>
      <c r="HW4" s="92"/>
      <c r="HX4" s="92"/>
      <c r="HY4" s="92"/>
      <c r="HZ4" s="92"/>
      <c r="IA4" s="92"/>
      <c r="IB4" s="92"/>
      <c r="IC4" s="92"/>
      <c r="ID4" s="92"/>
      <c r="IE4" s="92"/>
      <c r="IF4" s="92"/>
      <c r="IG4" s="92"/>
      <c r="IH4" s="92"/>
      <c r="II4" s="92"/>
      <c r="IJ4" s="92"/>
      <c r="IK4" s="92"/>
      <c r="IL4" s="92"/>
      <c r="IM4" s="92"/>
      <c r="IN4" s="92"/>
      <c r="IO4" s="92"/>
      <c r="IP4" s="92"/>
      <c r="IQ4" s="92"/>
      <c r="IR4" s="92"/>
      <c r="IS4" s="92"/>
      <c r="IT4" s="92"/>
      <c r="IU4" s="92"/>
      <c r="IV4" s="92"/>
      <c r="IW4" s="92"/>
      <c r="IX4" s="92"/>
      <c r="IY4" s="92"/>
      <c r="IZ4" s="92"/>
      <c r="JA4" s="92"/>
      <c r="JB4" s="92"/>
      <c r="JC4" s="92"/>
      <c r="JD4" s="92"/>
      <c r="JE4" s="92"/>
      <c r="JF4" s="92"/>
      <c r="JG4" s="92"/>
      <c r="JH4" s="92"/>
      <c r="JI4" s="92"/>
      <c r="JJ4" s="92"/>
      <c r="JK4" s="92"/>
      <c r="JL4" s="92"/>
      <c r="JM4" s="92"/>
      <c r="JN4" s="92"/>
      <c r="JO4" s="92"/>
      <c r="JP4" s="92"/>
      <c r="JQ4" s="92"/>
      <c r="JR4" s="92"/>
      <c r="JS4" s="92"/>
      <c r="JT4" s="92"/>
      <c r="JU4" s="92"/>
      <c r="JV4" s="92"/>
      <c r="JW4" s="92"/>
      <c r="JX4" s="92"/>
      <c r="JY4" s="92"/>
      <c r="JZ4" s="92"/>
      <c r="KA4" s="92"/>
      <c r="KB4" s="92"/>
      <c r="KC4" s="92"/>
      <c r="KD4" s="92"/>
      <c r="KE4" s="92"/>
      <c r="KF4" s="92"/>
      <c r="KG4" s="92"/>
      <c r="KH4" s="92"/>
      <c r="KI4" s="92"/>
      <c r="KJ4" s="92"/>
      <c r="KK4" s="92"/>
      <c r="KL4" s="92"/>
      <c r="KM4" s="92"/>
      <c r="KN4" s="92"/>
      <c r="KO4" s="92"/>
      <c r="KP4" s="92"/>
      <c r="KQ4" s="92"/>
      <c r="KR4" s="92"/>
      <c r="KS4" s="92"/>
      <c r="KT4" s="92"/>
      <c r="KU4" s="92"/>
      <c r="KV4" s="92"/>
      <c r="KW4" s="92"/>
      <c r="KX4" s="92"/>
      <c r="KY4" s="92"/>
      <c r="KZ4" s="92"/>
      <c r="LA4" s="92"/>
      <c r="LB4" s="92"/>
      <c r="LC4" s="92"/>
      <c r="LD4" s="92"/>
      <c r="LE4" s="92"/>
      <c r="LF4" s="92"/>
      <c r="LG4" s="92"/>
      <c r="LH4" s="92"/>
      <c r="LI4" s="92"/>
      <c r="LJ4" s="92"/>
      <c r="LK4" s="92"/>
      <c r="LL4" s="92"/>
      <c r="LM4" s="92"/>
      <c r="LN4" s="92"/>
      <c r="LO4" s="92"/>
      <c r="LP4" s="92"/>
      <c r="LQ4" s="92"/>
      <c r="LR4" s="92"/>
      <c r="LS4" s="92"/>
      <c r="LT4" s="92"/>
      <c r="LU4" s="92"/>
      <c r="LV4" s="92"/>
      <c r="LW4" s="92"/>
      <c r="LX4" s="92"/>
      <c r="LY4" s="92"/>
      <c r="LZ4" s="92"/>
      <c r="MA4" s="92"/>
      <c r="MB4" s="92"/>
      <c r="MC4" s="92"/>
      <c r="MD4" s="92"/>
      <c r="ME4" s="92"/>
      <c r="MF4" s="92"/>
      <c r="MG4" s="92"/>
      <c r="MH4" s="92"/>
      <c r="MI4" s="92"/>
      <c r="MJ4" s="92"/>
      <c r="MK4" s="92"/>
      <c r="ML4" s="92"/>
      <c r="MM4" s="92"/>
      <c r="MN4" s="92"/>
      <c r="MO4" s="92"/>
      <c r="MP4" s="92"/>
      <c r="MQ4" s="92"/>
      <c r="MR4" s="92"/>
      <c r="MS4" s="92"/>
      <c r="MT4" s="92"/>
      <c r="MU4" s="92"/>
      <c r="MV4" s="92"/>
      <c r="MW4" s="92"/>
      <c r="MX4" s="92"/>
      <c r="MY4" s="92"/>
      <c r="MZ4" s="92"/>
      <c r="NA4" s="92"/>
      <c r="NB4" s="92"/>
      <c r="NC4" s="92"/>
      <c r="ND4" s="92"/>
      <c r="NE4" s="92"/>
      <c r="NF4" s="92"/>
      <c r="NG4" s="92"/>
      <c r="NH4" s="92"/>
      <c r="NI4" s="92"/>
      <c r="NJ4" s="92"/>
      <c r="NK4" s="92"/>
      <c r="NL4" s="92"/>
      <c r="NM4" s="92"/>
      <c r="NN4" s="92"/>
      <c r="NO4" s="92"/>
      <c r="NP4" s="92"/>
      <c r="NQ4" s="92"/>
      <c r="NR4" s="92"/>
      <c r="NS4" s="92"/>
      <c r="NT4" s="92"/>
      <c r="NU4" s="92"/>
      <c r="NV4" s="92"/>
      <c r="NW4" s="92"/>
      <c r="NX4" s="92"/>
      <c r="NY4" s="92"/>
      <c r="NZ4" s="92"/>
      <c r="OA4" s="92"/>
      <c r="OB4" s="92"/>
      <c r="OC4" s="92"/>
      <c r="OD4" s="92"/>
      <c r="OE4" s="92"/>
      <c r="OF4" s="92"/>
      <c r="OG4" s="92"/>
      <c r="OH4" s="92"/>
      <c r="OI4" s="92"/>
      <c r="OJ4" s="92"/>
      <c r="OK4" s="92"/>
      <c r="OL4" s="92"/>
      <c r="OM4" s="92"/>
      <c r="ON4" s="92"/>
      <c r="OO4" s="92"/>
      <c r="OP4" s="92"/>
      <c r="OQ4" s="92"/>
      <c r="OR4" s="92"/>
      <c r="OS4" s="92"/>
      <c r="OT4" s="92"/>
      <c r="OU4" s="92"/>
      <c r="OV4" s="92"/>
      <c r="OW4" s="92"/>
      <c r="OX4" s="92"/>
      <c r="OY4" s="92"/>
      <c r="OZ4" s="92"/>
      <c r="PA4" s="92"/>
      <c r="PB4" s="92"/>
      <c r="PC4" s="92"/>
      <c r="PD4" s="92"/>
      <c r="PE4" s="92"/>
      <c r="PF4" s="92"/>
      <c r="PG4" s="92"/>
      <c r="PH4" s="92"/>
      <c r="PI4" s="92"/>
      <c r="PJ4" s="92"/>
      <c r="PK4" s="92"/>
      <c r="PL4" s="92"/>
      <c r="PM4" s="92"/>
      <c r="PN4" s="92"/>
      <c r="PO4" s="92"/>
      <c r="PP4" s="92"/>
      <c r="PQ4" s="92"/>
      <c r="PR4" s="92"/>
      <c r="PS4" s="92"/>
      <c r="PT4" s="92"/>
      <c r="PU4" s="92"/>
      <c r="PV4" s="92"/>
      <c r="PW4" s="92"/>
      <c r="PX4" s="92"/>
      <c r="PY4" s="92"/>
      <c r="PZ4" s="92"/>
      <c r="QA4" s="92"/>
      <c r="QB4" s="92"/>
      <c r="QC4" s="92"/>
      <c r="QD4" s="92"/>
      <c r="QE4" s="92"/>
      <c r="QF4" s="92"/>
      <c r="QG4" s="92"/>
      <c r="QH4" s="92"/>
      <c r="QI4" s="92"/>
      <c r="QJ4" s="92"/>
      <c r="QK4" s="92"/>
      <c r="QL4" s="92"/>
      <c r="QM4" s="92"/>
      <c r="QN4" s="92"/>
      <c r="QO4" s="92"/>
    </row>
    <row r="5" spans="1:457" ht="15.75">
      <c r="A5" s="89">
        <v>3</v>
      </c>
      <c r="B5" s="89" t="s">
        <v>387</v>
      </c>
      <c r="C5" s="101" t="str">
        <f t="shared" si="2"/>
        <v>Manufacture of food, beverages and snuff</v>
      </c>
      <c r="D5" s="281">
        <f t="shared" ref="D5:D13" si="4">AA7/U$89</f>
        <v>35.061462074223648</v>
      </c>
      <c r="E5" s="281">
        <f t="shared" ref="E5:E13" si="5">AB7/V$89</f>
        <v>114.56665185367522</v>
      </c>
      <c r="F5" s="281">
        <f t="shared" ref="F5:F13" si="6">AC7/W$89</f>
        <v>85.297563558890204</v>
      </c>
      <c r="G5" s="280">
        <f t="shared" ref="G5:G28" si="7">SUM(D5:F5)</f>
        <v>234.92567748678908</v>
      </c>
      <c r="H5" s="94"/>
      <c r="I5" s="94">
        <f>'AggrStep1-energy'!I59</f>
        <v>59.526828000000002</v>
      </c>
      <c r="J5" s="94"/>
      <c r="K5" s="94"/>
      <c r="L5" s="94"/>
      <c r="M5" s="94"/>
      <c r="N5" s="94"/>
      <c r="O5" s="95"/>
      <c r="P5" s="95">
        <f t="shared" si="3"/>
        <v>294.45250548678911</v>
      </c>
      <c r="Q5" s="92"/>
      <c r="R5" s="92"/>
      <c r="S5" s="92"/>
      <c r="T5" s="66" t="s">
        <v>197</v>
      </c>
      <c r="U5" s="139">
        <f t="array" ref="U5:W26">TRANSPOSE([2]Step8!$AM$25:$BH$27)</f>
        <v>16281.629000000003</v>
      </c>
      <c r="V5" s="139">
        <v>5.9706494829678478</v>
      </c>
      <c r="W5" s="139">
        <v>2860.46</v>
      </c>
      <c r="X5" s="139">
        <f t="array" ref="X5:Z26">TRANSPOSE([2]Step8!$Q$70:$AL$72)</f>
        <v>59.310999999999986</v>
      </c>
      <c r="Y5" s="139">
        <v>3.7266061988958232</v>
      </c>
      <c r="Z5" s="139">
        <v>6.6579999999999977</v>
      </c>
      <c r="AA5" s="139">
        <f t="shared" ref="AA5:AA27" si="8">U5+X5</f>
        <v>16340.940000000002</v>
      </c>
      <c r="AB5" s="143">
        <f t="shared" ref="AB5:AB27" si="9">V5+Y5</f>
        <v>9.6972556818636715</v>
      </c>
      <c r="AC5" s="139">
        <f t="shared" ref="AC5:AC27" si="10">W5+Z5</f>
        <v>2867.1179999999999</v>
      </c>
      <c r="AD5" s="144">
        <f>SUM(AA5:AC5)</f>
        <v>19217.755255681866</v>
      </c>
      <c r="AF5" s="145"/>
      <c r="AG5" s="145"/>
      <c r="AH5" s="145"/>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c r="IW5" s="92"/>
      <c r="IX5" s="92"/>
      <c r="IY5" s="92"/>
      <c r="IZ5" s="92"/>
      <c r="JA5" s="92"/>
      <c r="JB5" s="92"/>
      <c r="JC5" s="92"/>
      <c r="JD5" s="92"/>
      <c r="JE5" s="92"/>
      <c r="JF5" s="92"/>
      <c r="JG5" s="92"/>
      <c r="JH5" s="92"/>
      <c r="JI5" s="92"/>
      <c r="JJ5" s="92"/>
      <c r="JK5" s="92"/>
      <c r="JL5" s="92"/>
      <c r="JM5" s="92"/>
      <c r="JN5" s="92"/>
      <c r="JO5" s="92"/>
      <c r="JP5" s="92"/>
      <c r="JQ5" s="92"/>
      <c r="JR5" s="92"/>
      <c r="JS5" s="92"/>
      <c r="JT5" s="92"/>
      <c r="JU5" s="92"/>
      <c r="JV5" s="92"/>
      <c r="JW5" s="92"/>
      <c r="JX5" s="92"/>
      <c r="JY5" s="92"/>
      <c r="JZ5" s="92"/>
      <c r="KA5" s="92"/>
      <c r="KB5" s="92"/>
      <c r="KC5" s="92"/>
      <c r="KD5" s="92"/>
      <c r="KE5" s="92"/>
      <c r="KF5" s="92"/>
      <c r="KG5" s="92"/>
      <c r="KH5" s="92"/>
      <c r="KI5" s="92"/>
      <c r="KJ5" s="92"/>
      <c r="KK5" s="92"/>
      <c r="KL5" s="92"/>
      <c r="KM5" s="92"/>
      <c r="KN5" s="92"/>
      <c r="KO5" s="92"/>
      <c r="KP5" s="92"/>
      <c r="KQ5" s="92"/>
      <c r="KR5" s="92"/>
      <c r="KS5" s="92"/>
      <c r="KT5" s="92"/>
      <c r="KU5" s="92"/>
      <c r="KV5" s="92"/>
      <c r="KW5" s="92"/>
      <c r="KX5" s="92"/>
      <c r="KY5" s="92"/>
      <c r="KZ5" s="92"/>
      <c r="LA5" s="92"/>
      <c r="LB5" s="92"/>
      <c r="LC5" s="92"/>
      <c r="LD5" s="92"/>
      <c r="LE5" s="92"/>
      <c r="LF5" s="92"/>
      <c r="LG5" s="92"/>
      <c r="LH5" s="92"/>
      <c r="LI5" s="92"/>
      <c r="LJ5" s="92"/>
      <c r="LK5" s="92"/>
      <c r="LL5" s="92"/>
      <c r="LM5" s="92"/>
      <c r="LN5" s="92"/>
      <c r="LO5" s="92"/>
      <c r="LP5" s="92"/>
      <c r="LQ5" s="92"/>
      <c r="LR5" s="92"/>
      <c r="LS5" s="92"/>
      <c r="LT5" s="92"/>
      <c r="LU5" s="92"/>
      <c r="LV5" s="92"/>
      <c r="LW5" s="92"/>
      <c r="LX5" s="92"/>
      <c r="LY5" s="92"/>
      <c r="LZ5" s="92"/>
      <c r="MA5" s="92"/>
      <c r="MB5" s="92"/>
      <c r="MC5" s="92"/>
      <c r="MD5" s="92"/>
      <c r="ME5" s="92"/>
      <c r="MF5" s="92"/>
      <c r="MG5" s="92"/>
      <c r="MH5" s="92"/>
      <c r="MI5" s="92"/>
      <c r="MJ5" s="92"/>
      <c r="MK5" s="92"/>
      <c r="ML5" s="92"/>
      <c r="MM5" s="92"/>
      <c r="MN5" s="92"/>
      <c r="MO5" s="92"/>
      <c r="MP5" s="92"/>
      <c r="MQ5" s="92"/>
      <c r="MR5" s="92"/>
      <c r="MS5" s="92"/>
      <c r="MT5" s="92"/>
      <c r="MU5" s="92"/>
      <c r="MV5" s="92"/>
      <c r="MW5" s="92"/>
      <c r="MX5" s="92"/>
      <c r="MY5" s="92"/>
      <c r="MZ5" s="92"/>
      <c r="NA5" s="92"/>
      <c r="NB5" s="92"/>
      <c r="NC5" s="92"/>
      <c r="ND5" s="92"/>
      <c r="NE5" s="92"/>
      <c r="NF5" s="92"/>
      <c r="NG5" s="92"/>
      <c r="NH5" s="92"/>
      <c r="NI5" s="92"/>
      <c r="NJ5" s="92"/>
      <c r="NK5" s="92"/>
      <c r="NL5" s="92"/>
      <c r="NM5" s="92"/>
      <c r="NN5" s="92"/>
      <c r="NO5" s="92"/>
      <c r="NP5" s="92"/>
      <c r="NQ5" s="92"/>
      <c r="NR5" s="92"/>
      <c r="NS5" s="92"/>
      <c r="NT5" s="92"/>
      <c r="NU5" s="92"/>
      <c r="NV5" s="92"/>
      <c r="NW5" s="92"/>
      <c r="NX5" s="92"/>
      <c r="NY5" s="92"/>
      <c r="NZ5" s="92"/>
      <c r="OA5" s="92"/>
      <c r="OB5" s="92"/>
      <c r="OC5" s="92"/>
      <c r="OD5" s="92"/>
      <c r="OE5" s="92"/>
      <c r="OF5" s="92"/>
      <c r="OG5" s="92"/>
      <c r="OH5" s="92"/>
      <c r="OI5" s="92"/>
      <c r="OJ5" s="92"/>
      <c r="OK5" s="92"/>
      <c r="OL5" s="92"/>
      <c r="OM5" s="92"/>
      <c r="ON5" s="92"/>
      <c r="OO5" s="92"/>
      <c r="OP5" s="92"/>
      <c r="OQ5" s="92"/>
      <c r="OR5" s="92"/>
      <c r="OS5" s="92"/>
      <c r="OT5" s="92"/>
      <c r="OU5" s="92"/>
      <c r="OV5" s="92"/>
      <c r="OW5" s="92"/>
      <c r="OX5" s="92"/>
      <c r="OY5" s="92"/>
      <c r="OZ5" s="92"/>
      <c r="PA5" s="92"/>
      <c r="PB5" s="92"/>
      <c r="PC5" s="92"/>
      <c r="PD5" s="92"/>
      <c r="PE5" s="92"/>
      <c r="PF5" s="92"/>
      <c r="PG5" s="92"/>
      <c r="PH5" s="92"/>
      <c r="PI5" s="92"/>
      <c r="PJ5" s="92"/>
      <c r="PK5" s="92"/>
      <c r="PL5" s="92"/>
      <c r="PM5" s="92"/>
      <c r="PN5" s="92"/>
      <c r="PO5" s="92"/>
      <c r="PP5" s="92"/>
      <c r="PQ5" s="92"/>
      <c r="PR5" s="92"/>
      <c r="PS5" s="92"/>
      <c r="PT5" s="92"/>
      <c r="PU5" s="92"/>
      <c r="PV5" s="92"/>
      <c r="PW5" s="92"/>
      <c r="PX5" s="92"/>
      <c r="PY5" s="92"/>
      <c r="PZ5" s="92"/>
      <c r="QA5" s="92"/>
      <c r="QB5" s="92"/>
      <c r="QC5" s="92"/>
      <c r="QD5" s="92"/>
      <c r="QE5" s="92"/>
      <c r="QF5" s="92"/>
      <c r="QG5" s="92"/>
      <c r="QH5" s="92"/>
      <c r="QI5" s="92"/>
      <c r="QJ5" s="92"/>
      <c r="QK5" s="92"/>
      <c r="QL5" s="92"/>
      <c r="QM5" s="92"/>
      <c r="QN5" s="92"/>
      <c r="QO5" s="92"/>
    </row>
    <row r="6" spans="1:457" ht="15.75">
      <c r="A6" s="89">
        <v>4</v>
      </c>
      <c r="B6" s="89" t="s">
        <v>387</v>
      </c>
      <c r="C6" s="101" t="str">
        <f t="shared" si="2"/>
        <v>Manufacture of articles of paper and paperboard</v>
      </c>
      <c r="D6" s="281">
        <f t="shared" si="4"/>
        <v>6.5815885591690089</v>
      </c>
      <c r="E6" s="281">
        <f t="shared" si="5"/>
        <v>28.365551133950763</v>
      </c>
      <c r="F6" s="281">
        <f t="shared" si="6"/>
        <v>18.352641897238456</v>
      </c>
      <c r="G6" s="280">
        <f t="shared" si="7"/>
        <v>53.299781590358229</v>
      </c>
      <c r="H6" s="94"/>
      <c r="I6" s="94"/>
      <c r="J6" s="94"/>
      <c r="K6" s="94"/>
      <c r="L6" s="94"/>
      <c r="M6" s="94"/>
      <c r="N6" s="94"/>
      <c r="O6" s="95"/>
      <c r="P6" s="95">
        <f t="shared" si="3"/>
        <v>53.299781590358229</v>
      </c>
      <c r="Q6" s="92"/>
      <c r="R6" s="92"/>
      <c r="S6" s="92"/>
      <c r="T6" s="66" t="s">
        <v>198</v>
      </c>
      <c r="U6" s="139">
        <v>516.78899999999999</v>
      </c>
      <c r="V6" s="139">
        <v>0</v>
      </c>
      <c r="W6" s="139">
        <v>141.48400000000001</v>
      </c>
      <c r="X6" s="139">
        <v>0.60299999999999998</v>
      </c>
      <c r="Y6" s="139">
        <v>0</v>
      </c>
      <c r="Z6" s="139">
        <v>0.32900000000000001</v>
      </c>
      <c r="AA6" s="139">
        <f t="shared" si="8"/>
        <v>517.39199999999994</v>
      </c>
      <c r="AB6" s="139">
        <f t="shared" si="9"/>
        <v>0</v>
      </c>
      <c r="AC6" s="139">
        <f t="shared" si="10"/>
        <v>141.81300000000002</v>
      </c>
      <c r="AD6" s="144">
        <f t="shared" ref="AD6:AD27" si="11">SUM(AA6:AC6)</f>
        <v>659.20499999999993</v>
      </c>
      <c r="AF6" s="145"/>
      <c r="AG6" s="145"/>
      <c r="AH6" s="145"/>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92"/>
      <c r="FC6" s="92"/>
      <c r="FD6" s="92"/>
      <c r="FE6" s="92"/>
      <c r="FF6" s="92"/>
      <c r="FG6" s="92"/>
      <c r="FH6" s="92"/>
      <c r="FI6" s="92"/>
      <c r="FJ6" s="92"/>
      <c r="FK6" s="92"/>
      <c r="FL6" s="92"/>
      <c r="FM6" s="92"/>
      <c r="FN6" s="92"/>
      <c r="FO6" s="92"/>
      <c r="FP6" s="92"/>
      <c r="FQ6" s="92"/>
      <c r="FR6" s="92"/>
      <c r="FS6" s="92"/>
      <c r="FT6" s="92"/>
      <c r="FU6" s="92"/>
      <c r="FV6" s="92"/>
      <c r="FW6" s="92"/>
      <c r="FX6" s="92"/>
      <c r="FY6" s="92"/>
      <c r="FZ6" s="92"/>
      <c r="GA6" s="92"/>
      <c r="GB6" s="92"/>
      <c r="GC6" s="92"/>
      <c r="GD6" s="92"/>
      <c r="GE6" s="92"/>
      <c r="GF6" s="92"/>
      <c r="GG6" s="92"/>
      <c r="GH6" s="92"/>
      <c r="GI6" s="92"/>
      <c r="GJ6" s="92"/>
      <c r="GK6" s="92"/>
      <c r="GL6" s="92"/>
      <c r="GM6" s="92"/>
      <c r="GN6" s="92"/>
      <c r="GO6" s="92"/>
      <c r="GP6" s="92"/>
      <c r="GQ6" s="92"/>
      <c r="GR6" s="92"/>
      <c r="GS6" s="92"/>
      <c r="GT6" s="92"/>
      <c r="GU6" s="92"/>
      <c r="GV6" s="92"/>
      <c r="GW6" s="92"/>
      <c r="GX6" s="92"/>
      <c r="GY6" s="92"/>
      <c r="GZ6" s="92"/>
      <c r="HA6" s="92"/>
      <c r="HB6" s="92"/>
      <c r="HC6" s="92"/>
      <c r="HD6" s="92"/>
      <c r="HE6" s="92"/>
      <c r="HF6" s="92"/>
      <c r="HG6" s="92"/>
      <c r="HH6" s="92"/>
      <c r="HI6" s="92"/>
      <c r="HJ6" s="92"/>
      <c r="HK6" s="92"/>
      <c r="HL6" s="92"/>
      <c r="HM6" s="92"/>
      <c r="HN6" s="92"/>
      <c r="HO6" s="92"/>
      <c r="HP6" s="92"/>
      <c r="HQ6" s="92"/>
      <c r="HR6" s="92"/>
      <c r="HS6" s="92"/>
      <c r="HT6" s="92"/>
      <c r="HU6" s="92"/>
      <c r="HV6" s="92"/>
      <c r="HW6" s="92"/>
      <c r="HX6" s="92"/>
      <c r="HY6" s="92"/>
      <c r="HZ6" s="92"/>
      <c r="IA6" s="92"/>
      <c r="IB6" s="92"/>
      <c r="IC6" s="92"/>
      <c r="ID6" s="92"/>
      <c r="IE6" s="92"/>
      <c r="IF6" s="92"/>
      <c r="IG6" s="92"/>
      <c r="IH6" s="92"/>
      <c r="II6" s="92"/>
      <c r="IJ6" s="92"/>
      <c r="IK6" s="92"/>
      <c r="IL6" s="92"/>
      <c r="IM6" s="92"/>
      <c r="IN6" s="92"/>
      <c r="IO6" s="92"/>
      <c r="IP6" s="92"/>
      <c r="IQ6" s="92"/>
      <c r="IR6" s="92"/>
      <c r="IS6" s="92"/>
      <c r="IT6" s="92"/>
      <c r="IU6" s="92"/>
      <c r="IV6" s="92"/>
      <c r="IW6" s="92"/>
      <c r="IX6" s="92"/>
      <c r="IY6" s="92"/>
      <c r="IZ6" s="92"/>
      <c r="JA6" s="92"/>
      <c r="JB6" s="92"/>
      <c r="JC6" s="92"/>
      <c r="JD6" s="92"/>
      <c r="JE6" s="92"/>
      <c r="JF6" s="92"/>
      <c r="JG6" s="92"/>
      <c r="JH6" s="92"/>
      <c r="JI6" s="92"/>
      <c r="JJ6" s="92"/>
      <c r="JK6" s="92"/>
      <c r="JL6" s="92"/>
      <c r="JM6" s="92"/>
      <c r="JN6" s="92"/>
      <c r="JO6" s="92"/>
      <c r="JP6" s="92"/>
      <c r="JQ6" s="92"/>
      <c r="JR6" s="92"/>
      <c r="JS6" s="92"/>
      <c r="JT6" s="92"/>
      <c r="JU6" s="92"/>
      <c r="JV6" s="92"/>
      <c r="JW6" s="92"/>
      <c r="JX6" s="92"/>
      <c r="JY6" s="92"/>
      <c r="JZ6" s="92"/>
      <c r="KA6" s="92"/>
      <c r="KB6" s="92"/>
      <c r="KC6" s="92"/>
      <c r="KD6" s="92"/>
      <c r="KE6" s="92"/>
      <c r="KF6" s="92"/>
      <c r="KG6" s="92"/>
      <c r="KH6" s="92"/>
      <c r="KI6" s="92"/>
      <c r="KJ6" s="92"/>
      <c r="KK6" s="92"/>
      <c r="KL6" s="92"/>
      <c r="KM6" s="92"/>
      <c r="KN6" s="92"/>
      <c r="KO6" s="92"/>
      <c r="KP6" s="92"/>
      <c r="KQ6" s="92"/>
      <c r="KR6" s="92"/>
      <c r="KS6" s="92"/>
      <c r="KT6" s="92"/>
      <c r="KU6" s="92"/>
      <c r="KV6" s="92"/>
      <c r="KW6" s="92"/>
      <c r="KX6" s="92"/>
      <c r="KY6" s="92"/>
      <c r="KZ6" s="92"/>
      <c r="LA6" s="92"/>
      <c r="LB6" s="92"/>
      <c r="LC6" s="92"/>
      <c r="LD6" s="92"/>
      <c r="LE6" s="92"/>
      <c r="LF6" s="92"/>
      <c r="LG6" s="92"/>
      <c r="LH6" s="92"/>
      <c r="LI6" s="92"/>
      <c r="LJ6" s="92"/>
      <c r="LK6" s="92"/>
      <c r="LL6" s="92"/>
      <c r="LM6" s="92"/>
      <c r="LN6" s="92"/>
      <c r="LO6" s="92"/>
      <c r="LP6" s="92"/>
      <c r="LQ6" s="92"/>
      <c r="LR6" s="92"/>
      <c r="LS6" s="92"/>
      <c r="LT6" s="92"/>
      <c r="LU6" s="92"/>
      <c r="LV6" s="92"/>
      <c r="LW6" s="92"/>
      <c r="LX6" s="92"/>
      <c r="LY6" s="92"/>
      <c r="LZ6" s="92"/>
      <c r="MA6" s="92"/>
      <c r="MB6" s="92"/>
      <c r="MC6" s="92"/>
      <c r="MD6" s="92"/>
      <c r="ME6" s="92"/>
      <c r="MF6" s="92"/>
      <c r="MG6" s="92"/>
      <c r="MH6" s="92"/>
      <c r="MI6" s="92"/>
      <c r="MJ6" s="92"/>
      <c r="MK6" s="92"/>
      <c r="ML6" s="92"/>
      <c r="MM6" s="92"/>
      <c r="MN6" s="92"/>
      <c r="MO6" s="92"/>
      <c r="MP6" s="92"/>
      <c r="MQ6" s="92"/>
      <c r="MR6" s="92"/>
      <c r="MS6" s="92"/>
      <c r="MT6" s="92"/>
      <c r="MU6" s="92"/>
      <c r="MV6" s="92"/>
      <c r="MW6" s="92"/>
      <c r="MX6" s="92"/>
      <c r="MY6" s="92"/>
      <c r="MZ6" s="92"/>
      <c r="NA6" s="92"/>
      <c r="NB6" s="92"/>
      <c r="NC6" s="92"/>
      <c r="ND6" s="92"/>
      <c r="NE6" s="92"/>
      <c r="NF6" s="92"/>
      <c r="NG6" s="92"/>
      <c r="NH6" s="92"/>
      <c r="NI6" s="92"/>
      <c r="NJ6" s="92"/>
      <c r="NK6" s="92"/>
      <c r="NL6" s="92"/>
      <c r="NM6" s="92"/>
      <c r="NN6" s="92"/>
      <c r="NO6" s="92"/>
      <c r="NP6" s="92"/>
      <c r="NQ6" s="92"/>
      <c r="NR6" s="92"/>
      <c r="NS6" s="92"/>
      <c r="NT6" s="92"/>
      <c r="NU6" s="92"/>
      <c r="NV6" s="92"/>
      <c r="NW6" s="92"/>
      <c r="NX6" s="92"/>
      <c r="NY6" s="92"/>
      <c r="NZ6" s="92"/>
      <c r="OA6" s="92"/>
      <c r="OB6" s="92"/>
      <c r="OC6" s="92"/>
      <c r="OD6" s="92"/>
      <c r="OE6" s="92"/>
      <c r="OF6" s="92"/>
      <c r="OG6" s="92"/>
      <c r="OH6" s="92"/>
      <c r="OI6" s="92"/>
      <c r="OJ6" s="92"/>
      <c r="OK6" s="92"/>
      <c r="OL6" s="92"/>
      <c r="OM6" s="92"/>
      <c r="ON6" s="92"/>
      <c r="OO6" s="92"/>
      <c r="OP6" s="92"/>
      <c r="OQ6" s="92"/>
      <c r="OR6" s="92"/>
      <c r="OS6" s="92"/>
      <c r="OT6" s="92"/>
      <c r="OU6" s="92"/>
      <c r="OV6" s="92"/>
      <c r="OW6" s="92"/>
      <c r="OX6" s="92"/>
      <c r="OY6" s="92"/>
      <c r="OZ6" s="92"/>
      <c r="PA6" s="92"/>
      <c r="PB6" s="92"/>
      <c r="PC6" s="92"/>
      <c r="PD6" s="92"/>
      <c r="PE6" s="92"/>
      <c r="PF6" s="92"/>
      <c r="PG6" s="92"/>
      <c r="PH6" s="92"/>
      <c r="PI6" s="92"/>
      <c r="PJ6" s="92"/>
      <c r="PK6" s="92"/>
      <c r="PL6" s="92"/>
      <c r="PM6" s="92"/>
      <c r="PN6" s="92"/>
      <c r="PO6" s="92"/>
      <c r="PP6" s="92"/>
      <c r="PQ6" s="92"/>
      <c r="PR6" s="92"/>
      <c r="PS6" s="92"/>
      <c r="PT6" s="92"/>
      <c r="PU6" s="92"/>
      <c r="PV6" s="92"/>
      <c r="PW6" s="92"/>
      <c r="PX6" s="92"/>
      <c r="PY6" s="92"/>
      <c r="PZ6" s="92"/>
      <c r="QA6" s="92"/>
      <c r="QB6" s="92"/>
      <c r="QC6" s="92"/>
      <c r="QD6" s="92"/>
      <c r="QE6" s="92"/>
      <c r="QF6" s="92"/>
      <c r="QG6" s="92"/>
      <c r="QH6" s="92"/>
      <c r="QI6" s="92"/>
      <c r="QJ6" s="92"/>
      <c r="QK6" s="92"/>
      <c r="QL6" s="92"/>
      <c r="QM6" s="92"/>
      <c r="QN6" s="92"/>
      <c r="QO6" s="92"/>
    </row>
    <row r="7" spans="1:457" ht="15.75">
      <c r="A7" s="89">
        <v>5</v>
      </c>
      <c r="B7" s="89" t="s">
        <v>387</v>
      </c>
      <c r="C7" s="101" t="str">
        <f t="shared" si="2"/>
        <v>Manufacture of chemical</v>
      </c>
      <c r="D7" s="281">
        <f t="shared" si="4"/>
        <v>106.4849762345815</v>
      </c>
      <c r="E7" s="281">
        <f t="shared" si="5"/>
        <v>291.70216964079231</v>
      </c>
      <c r="F7" s="281">
        <f t="shared" si="6"/>
        <v>22.429515008831267</v>
      </c>
      <c r="G7" s="280">
        <f t="shared" si="7"/>
        <v>420.61666088420509</v>
      </c>
      <c r="H7" s="94"/>
      <c r="I7" s="94"/>
      <c r="J7" s="94"/>
      <c r="K7" s="94"/>
      <c r="L7" s="94"/>
      <c r="M7" s="94"/>
      <c r="N7" s="94"/>
      <c r="O7" s="95"/>
      <c r="P7" s="95">
        <f t="shared" si="3"/>
        <v>420.61666088420509</v>
      </c>
      <c r="Q7" s="92"/>
      <c r="R7" s="92"/>
      <c r="S7" s="92"/>
      <c r="T7" s="66" t="s">
        <v>199</v>
      </c>
      <c r="U7" s="139">
        <v>12731.066999999999</v>
      </c>
      <c r="V7" s="139">
        <v>8031.4235318540923</v>
      </c>
      <c r="W7" s="139">
        <v>26809.036</v>
      </c>
      <c r="X7" s="139">
        <v>749.39499999999998</v>
      </c>
      <c r="Y7" s="139">
        <v>8943.7967617095019</v>
      </c>
      <c r="Z7" s="139">
        <v>54.044000000000004</v>
      </c>
      <c r="AA7" s="139">
        <f t="shared" si="8"/>
        <v>13480.462</v>
      </c>
      <c r="AB7" s="139">
        <f t="shared" si="9"/>
        <v>16975.220293563594</v>
      </c>
      <c r="AC7" s="139">
        <f t="shared" si="10"/>
        <v>26863.08</v>
      </c>
      <c r="AD7" s="144">
        <f t="shared" si="11"/>
        <v>57318.762293563595</v>
      </c>
      <c r="AF7" s="145"/>
      <c r="AG7" s="145"/>
      <c r="AH7" s="145"/>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c r="BN7" s="92"/>
      <c r="BO7" s="92"/>
      <c r="BP7" s="92"/>
      <c r="BQ7" s="92"/>
      <c r="BR7" s="92"/>
      <c r="BS7" s="92"/>
      <c r="BT7" s="92"/>
      <c r="BU7" s="92"/>
      <c r="BV7" s="92"/>
      <c r="BW7" s="92"/>
      <c r="BX7" s="92"/>
      <c r="BY7" s="92"/>
      <c r="BZ7" s="92"/>
      <c r="CA7" s="92"/>
      <c r="CB7" s="92"/>
      <c r="CC7" s="92"/>
      <c r="CD7" s="92"/>
      <c r="CE7" s="92"/>
      <c r="CF7" s="92"/>
      <c r="CG7" s="92"/>
      <c r="CH7" s="92"/>
      <c r="CI7" s="92"/>
      <c r="CJ7" s="92"/>
      <c r="CK7" s="92"/>
      <c r="CL7" s="92"/>
      <c r="CM7" s="92"/>
      <c r="CN7" s="92"/>
      <c r="CO7" s="92"/>
      <c r="CP7" s="92"/>
      <c r="CQ7" s="92"/>
      <c r="CR7" s="92"/>
      <c r="CS7" s="92"/>
      <c r="CT7" s="92"/>
      <c r="CU7" s="92"/>
      <c r="CV7" s="92"/>
      <c r="CW7" s="92"/>
      <c r="CX7" s="92"/>
      <c r="CY7" s="92"/>
      <c r="CZ7" s="92"/>
      <c r="DA7" s="92"/>
      <c r="DB7" s="92"/>
      <c r="DC7" s="92"/>
      <c r="DD7" s="92"/>
      <c r="DE7" s="92"/>
      <c r="DF7" s="92"/>
      <c r="DG7" s="92"/>
      <c r="DH7" s="92"/>
      <c r="DI7" s="92"/>
      <c r="DJ7" s="92"/>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92"/>
      <c r="FC7" s="92"/>
      <c r="FD7" s="92"/>
      <c r="FE7" s="92"/>
      <c r="FF7" s="92"/>
      <c r="FG7" s="92"/>
      <c r="FH7" s="92"/>
      <c r="FI7" s="92"/>
      <c r="FJ7" s="92"/>
      <c r="FK7" s="92"/>
      <c r="FL7" s="92"/>
      <c r="FM7" s="92"/>
      <c r="FN7" s="92"/>
      <c r="FO7" s="92"/>
      <c r="FP7" s="92"/>
      <c r="FQ7" s="92"/>
      <c r="FR7" s="92"/>
      <c r="FS7" s="92"/>
      <c r="FT7" s="92"/>
      <c r="FU7" s="92"/>
      <c r="FV7" s="92"/>
      <c r="FW7" s="92"/>
      <c r="FX7" s="92"/>
      <c r="FY7" s="92"/>
      <c r="FZ7" s="92"/>
      <c r="GA7" s="92"/>
      <c r="GB7" s="92"/>
      <c r="GC7" s="92"/>
      <c r="GD7" s="92"/>
      <c r="GE7" s="92"/>
      <c r="GF7" s="92"/>
      <c r="GG7" s="92"/>
      <c r="GH7" s="92"/>
      <c r="GI7" s="92"/>
      <c r="GJ7" s="92"/>
      <c r="GK7" s="92"/>
      <c r="GL7" s="92"/>
      <c r="GM7" s="92"/>
      <c r="GN7" s="92"/>
      <c r="GO7" s="92"/>
      <c r="GP7" s="92"/>
      <c r="GQ7" s="92"/>
      <c r="GR7" s="92"/>
      <c r="GS7" s="92"/>
      <c r="GT7" s="92"/>
      <c r="GU7" s="92"/>
      <c r="GV7" s="92"/>
      <c r="GW7" s="92"/>
      <c r="GX7" s="92"/>
      <c r="GY7" s="92"/>
      <c r="GZ7" s="92"/>
      <c r="HA7" s="92"/>
      <c r="HB7" s="92"/>
      <c r="HC7" s="92"/>
      <c r="HD7" s="92"/>
      <c r="HE7" s="92"/>
      <c r="HF7" s="92"/>
      <c r="HG7" s="92"/>
      <c r="HH7" s="92"/>
      <c r="HI7" s="92"/>
      <c r="HJ7" s="92"/>
      <c r="HK7" s="92"/>
      <c r="HL7" s="92"/>
      <c r="HM7" s="92"/>
      <c r="HN7" s="92"/>
      <c r="HO7" s="92"/>
      <c r="HP7" s="92"/>
      <c r="HQ7" s="92"/>
      <c r="HR7" s="92"/>
      <c r="HS7" s="92"/>
      <c r="HT7" s="92"/>
      <c r="HU7" s="92"/>
      <c r="HV7" s="92"/>
      <c r="HW7" s="92"/>
      <c r="HX7" s="92"/>
      <c r="HY7" s="92"/>
      <c r="HZ7" s="92"/>
      <c r="IA7" s="92"/>
      <c r="IB7" s="92"/>
      <c r="IC7" s="92"/>
      <c r="ID7" s="92"/>
      <c r="IE7" s="92"/>
      <c r="IF7" s="92"/>
      <c r="IG7" s="92"/>
      <c r="IH7" s="92"/>
      <c r="II7" s="92"/>
      <c r="IJ7" s="92"/>
      <c r="IK7" s="92"/>
      <c r="IL7" s="92"/>
      <c r="IM7" s="92"/>
      <c r="IN7" s="92"/>
      <c r="IO7" s="92"/>
      <c r="IP7" s="92"/>
      <c r="IQ7" s="92"/>
      <c r="IR7" s="92"/>
      <c r="IS7" s="92"/>
      <c r="IT7" s="92"/>
      <c r="IU7" s="92"/>
      <c r="IV7" s="92"/>
      <c r="IW7" s="92"/>
      <c r="IX7" s="92"/>
      <c r="IY7" s="92"/>
      <c r="IZ7" s="92"/>
      <c r="JA7" s="92"/>
      <c r="JB7" s="92"/>
      <c r="JC7" s="92"/>
      <c r="JD7" s="92"/>
      <c r="JE7" s="92"/>
      <c r="JF7" s="92"/>
      <c r="JG7" s="92"/>
      <c r="JH7" s="92"/>
      <c r="JI7" s="92"/>
      <c r="JJ7" s="92"/>
      <c r="JK7" s="92"/>
      <c r="JL7" s="92"/>
      <c r="JM7" s="92"/>
      <c r="JN7" s="92"/>
      <c r="JO7" s="92"/>
      <c r="JP7" s="92"/>
      <c r="JQ7" s="92"/>
      <c r="JR7" s="92"/>
      <c r="JS7" s="92"/>
      <c r="JT7" s="92"/>
      <c r="JU7" s="92"/>
      <c r="JV7" s="92"/>
      <c r="JW7" s="92"/>
      <c r="JX7" s="92"/>
      <c r="JY7" s="92"/>
      <c r="JZ7" s="92"/>
      <c r="KA7" s="92"/>
      <c r="KB7" s="92"/>
      <c r="KC7" s="92"/>
      <c r="KD7" s="92"/>
      <c r="KE7" s="92"/>
      <c r="KF7" s="92"/>
      <c r="KG7" s="92"/>
      <c r="KH7" s="92"/>
      <c r="KI7" s="92"/>
      <c r="KJ7" s="92"/>
      <c r="KK7" s="92"/>
      <c r="KL7" s="92"/>
      <c r="KM7" s="92"/>
      <c r="KN7" s="92"/>
      <c r="KO7" s="92"/>
      <c r="KP7" s="92"/>
      <c r="KQ7" s="92"/>
      <c r="KR7" s="92"/>
      <c r="KS7" s="92"/>
      <c r="KT7" s="92"/>
      <c r="KU7" s="92"/>
      <c r="KV7" s="92"/>
      <c r="KW7" s="92"/>
      <c r="KX7" s="92"/>
      <c r="KY7" s="92"/>
      <c r="KZ7" s="92"/>
      <c r="LA7" s="92"/>
      <c r="LB7" s="92"/>
      <c r="LC7" s="92"/>
      <c r="LD7" s="92"/>
      <c r="LE7" s="92"/>
      <c r="LF7" s="92"/>
      <c r="LG7" s="92"/>
      <c r="LH7" s="92"/>
      <c r="LI7" s="92"/>
      <c r="LJ7" s="92"/>
      <c r="LK7" s="92"/>
      <c r="LL7" s="92"/>
      <c r="LM7" s="92"/>
      <c r="LN7" s="92"/>
      <c r="LO7" s="92"/>
      <c r="LP7" s="92"/>
      <c r="LQ7" s="92"/>
      <c r="LR7" s="92"/>
      <c r="LS7" s="92"/>
      <c r="LT7" s="92"/>
      <c r="LU7" s="92"/>
      <c r="LV7" s="92"/>
      <c r="LW7" s="92"/>
      <c r="LX7" s="92"/>
      <c r="LY7" s="92"/>
      <c r="LZ7" s="92"/>
      <c r="MA7" s="92"/>
      <c r="MB7" s="92"/>
      <c r="MC7" s="92"/>
      <c r="MD7" s="92"/>
      <c r="ME7" s="92"/>
      <c r="MF7" s="92"/>
      <c r="MG7" s="92"/>
      <c r="MH7" s="92"/>
      <c r="MI7" s="92"/>
      <c r="MJ7" s="92"/>
      <c r="MK7" s="92"/>
      <c r="ML7" s="92"/>
      <c r="MM7" s="92"/>
      <c r="MN7" s="92"/>
      <c r="MO7" s="92"/>
      <c r="MP7" s="92"/>
      <c r="MQ7" s="92"/>
      <c r="MR7" s="92"/>
      <c r="MS7" s="92"/>
      <c r="MT7" s="92"/>
      <c r="MU7" s="92"/>
      <c r="MV7" s="92"/>
      <c r="MW7" s="92"/>
      <c r="MX7" s="92"/>
      <c r="MY7" s="92"/>
      <c r="MZ7" s="92"/>
      <c r="NA7" s="92"/>
      <c r="NB7" s="92"/>
      <c r="NC7" s="92"/>
      <c r="ND7" s="92"/>
      <c r="NE7" s="92"/>
      <c r="NF7" s="92"/>
      <c r="NG7" s="92"/>
      <c r="NH7" s="92"/>
      <c r="NI7" s="92"/>
      <c r="NJ7" s="92"/>
      <c r="NK7" s="92"/>
      <c r="NL7" s="92"/>
      <c r="NM7" s="92"/>
      <c r="NN7" s="92"/>
      <c r="NO7" s="92"/>
      <c r="NP7" s="92"/>
      <c r="NQ7" s="92"/>
      <c r="NR7" s="92"/>
      <c r="NS7" s="92"/>
      <c r="NT7" s="92"/>
      <c r="NU7" s="92"/>
      <c r="NV7" s="92"/>
      <c r="NW7" s="92"/>
      <c r="NX7" s="92"/>
      <c r="NY7" s="92"/>
      <c r="NZ7" s="92"/>
      <c r="OA7" s="92"/>
      <c r="OB7" s="92"/>
      <c r="OC7" s="92"/>
      <c r="OD7" s="92"/>
      <c r="OE7" s="92"/>
      <c r="OF7" s="92"/>
      <c r="OG7" s="92"/>
      <c r="OH7" s="92"/>
      <c r="OI7" s="92"/>
      <c r="OJ7" s="92"/>
      <c r="OK7" s="92"/>
      <c r="OL7" s="92"/>
      <c r="OM7" s="92"/>
      <c r="ON7" s="92"/>
      <c r="OO7" s="92"/>
      <c r="OP7" s="92"/>
      <c r="OQ7" s="92"/>
      <c r="OR7" s="92"/>
      <c r="OS7" s="92"/>
      <c r="OT7" s="92"/>
      <c r="OU7" s="92"/>
      <c r="OV7" s="92"/>
      <c r="OW7" s="92"/>
      <c r="OX7" s="92"/>
      <c r="OY7" s="92"/>
      <c r="OZ7" s="92"/>
      <c r="PA7" s="92"/>
      <c r="PB7" s="92"/>
      <c r="PC7" s="92"/>
      <c r="PD7" s="92"/>
      <c r="PE7" s="92"/>
      <c r="PF7" s="92"/>
      <c r="PG7" s="92"/>
      <c r="PH7" s="92"/>
      <c r="PI7" s="92"/>
      <c r="PJ7" s="92"/>
      <c r="PK7" s="92"/>
      <c r="PL7" s="92"/>
      <c r="PM7" s="92"/>
      <c r="PN7" s="92"/>
      <c r="PO7" s="92"/>
      <c r="PP7" s="92"/>
      <c r="PQ7" s="92"/>
      <c r="PR7" s="92"/>
      <c r="PS7" s="92"/>
      <c r="PT7" s="92"/>
      <c r="PU7" s="92"/>
      <c r="PV7" s="92"/>
      <c r="PW7" s="92"/>
      <c r="PX7" s="92"/>
      <c r="PY7" s="92"/>
      <c r="PZ7" s="92"/>
      <c r="QA7" s="92"/>
      <c r="QB7" s="92"/>
      <c r="QC7" s="92"/>
      <c r="QD7" s="92"/>
      <c r="QE7" s="92"/>
      <c r="QF7" s="92"/>
      <c r="QG7" s="92"/>
      <c r="QH7" s="92"/>
      <c r="QI7" s="92"/>
      <c r="QJ7" s="92"/>
      <c r="QK7" s="92"/>
      <c r="QL7" s="92"/>
      <c r="QM7" s="92"/>
      <c r="QN7" s="92"/>
      <c r="QO7" s="92"/>
    </row>
    <row r="8" spans="1:457" ht="15.75">
      <c r="A8" s="89">
        <v>6</v>
      </c>
      <c r="B8" s="89" t="s">
        <v>387</v>
      </c>
      <c r="C8" s="101" t="str">
        <f t="shared" si="2"/>
        <v>Manufacture of cement and concrete</v>
      </c>
      <c r="D8" s="281">
        <f t="shared" si="4"/>
        <v>9.5619655868946705</v>
      </c>
      <c r="E8" s="281">
        <f t="shared" si="5"/>
        <v>0.59378885509566059</v>
      </c>
      <c r="F8" s="281">
        <f t="shared" si="6"/>
        <v>36.469103949311219</v>
      </c>
      <c r="G8" s="280">
        <f t="shared" si="7"/>
        <v>46.624858391301551</v>
      </c>
      <c r="H8" s="94"/>
      <c r="I8" s="94"/>
      <c r="J8" s="94"/>
      <c r="K8" s="94"/>
      <c r="L8" s="94"/>
      <c r="M8" s="94"/>
      <c r="N8" s="94"/>
      <c r="O8" s="95"/>
      <c r="P8" s="95">
        <f t="shared" si="3"/>
        <v>46.624858391301551</v>
      </c>
      <c r="Q8" s="92"/>
      <c r="R8" s="92"/>
      <c r="S8" s="92"/>
      <c r="T8" s="66" t="s">
        <v>200</v>
      </c>
      <c r="U8" s="139">
        <v>2306.7730000000001</v>
      </c>
      <c r="V8" s="139">
        <v>2589.0442925679417</v>
      </c>
      <c r="W8" s="139">
        <v>5691.4509999999991</v>
      </c>
      <c r="X8" s="139">
        <v>223.72200000000001</v>
      </c>
      <c r="Y8" s="139">
        <v>1613.8495814901419</v>
      </c>
      <c r="Z8" s="139">
        <v>88.415000000000006</v>
      </c>
      <c r="AA8" s="139">
        <f t="shared" si="8"/>
        <v>2530.4950000000003</v>
      </c>
      <c r="AB8" s="139">
        <f t="shared" si="9"/>
        <v>4202.8938740580834</v>
      </c>
      <c r="AC8" s="139">
        <f t="shared" si="10"/>
        <v>5779.8659999999991</v>
      </c>
      <c r="AD8" s="144">
        <f t="shared" si="11"/>
        <v>12513.254874058082</v>
      </c>
      <c r="AF8" s="145"/>
      <c r="AG8" s="145"/>
      <c r="AH8" s="14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c r="IX8" s="92"/>
      <c r="IY8" s="92"/>
      <c r="IZ8" s="92"/>
      <c r="JA8" s="92"/>
      <c r="JB8" s="92"/>
      <c r="JC8" s="92"/>
      <c r="JD8" s="92"/>
      <c r="JE8" s="92"/>
      <c r="JF8" s="92"/>
      <c r="JG8" s="92"/>
      <c r="JH8" s="92"/>
      <c r="JI8" s="92"/>
      <c r="JJ8" s="92"/>
      <c r="JK8" s="92"/>
      <c r="JL8" s="92"/>
      <c r="JM8" s="92"/>
      <c r="JN8" s="92"/>
      <c r="JO8" s="92"/>
      <c r="JP8" s="92"/>
      <c r="JQ8" s="92"/>
      <c r="JR8" s="92"/>
      <c r="JS8" s="92"/>
      <c r="JT8" s="92"/>
      <c r="JU8" s="92"/>
      <c r="JV8" s="92"/>
      <c r="JW8" s="92"/>
      <c r="JX8" s="92"/>
      <c r="JY8" s="92"/>
      <c r="JZ8" s="92"/>
      <c r="KA8" s="92"/>
      <c r="KB8" s="92"/>
      <c r="KC8" s="92"/>
      <c r="KD8" s="92"/>
      <c r="KE8" s="92"/>
      <c r="KF8" s="92"/>
      <c r="KG8" s="92"/>
      <c r="KH8" s="92"/>
      <c r="KI8" s="92"/>
      <c r="KJ8" s="92"/>
      <c r="KK8" s="92"/>
      <c r="KL8" s="92"/>
      <c r="KM8" s="92"/>
      <c r="KN8" s="92"/>
      <c r="KO8" s="92"/>
      <c r="KP8" s="92"/>
      <c r="KQ8" s="92"/>
      <c r="KR8" s="92"/>
      <c r="KS8" s="92"/>
      <c r="KT8" s="92"/>
      <c r="KU8" s="92"/>
      <c r="KV8" s="92"/>
      <c r="KW8" s="92"/>
      <c r="KX8" s="92"/>
      <c r="KY8" s="92"/>
      <c r="KZ8" s="92"/>
      <c r="LA8" s="92"/>
      <c r="LB8" s="92"/>
      <c r="LC8" s="92"/>
      <c r="LD8" s="92"/>
      <c r="LE8" s="92"/>
      <c r="LF8" s="92"/>
      <c r="LG8" s="92"/>
      <c r="LH8" s="92"/>
      <c r="LI8" s="92"/>
      <c r="LJ8" s="92"/>
      <c r="LK8" s="92"/>
      <c r="LL8" s="92"/>
      <c r="LM8" s="92"/>
      <c r="LN8" s="92"/>
      <c r="LO8" s="92"/>
      <c r="LP8" s="92"/>
      <c r="LQ8" s="92"/>
      <c r="LR8" s="92"/>
      <c r="LS8" s="92"/>
      <c r="LT8" s="92"/>
      <c r="LU8" s="92"/>
      <c r="LV8" s="92"/>
      <c r="LW8" s="92"/>
      <c r="LX8" s="92"/>
      <c r="LY8" s="92"/>
      <c r="LZ8" s="92"/>
      <c r="MA8" s="92"/>
      <c r="MB8" s="92"/>
      <c r="MC8" s="92"/>
      <c r="MD8" s="92"/>
      <c r="ME8" s="92"/>
      <c r="MF8" s="92"/>
      <c r="MG8" s="92"/>
      <c r="MH8" s="92"/>
      <c r="MI8" s="92"/>
      <c r="MJ8" s="92"/>
      <c r="MK8" s="92"/>
      <c r="ML8" s="92"/>
      <c r="MM8" s="92"/>
      <c r="MN8" s="92"/>
      <c r="MO8" s="92"/>
      <c r="MP8" s="92"/>
      <c r="MQ8" s="92"/>
      <c r="MR8" s="92"/>
      <c r="MS8" s="92"/>
      <c r="MT8" s="92"/>
      <c r="MU8" s="92"/>
      <c r="MV8" s="92"/>
      <c r="MW8" s="92"/>
      <c r="MX8" s="92"/>
      <c r="MY8" s="92"/>
      <c r="MZ8" s="92"/>
      <c r="NA8" s="92"/>
      <c r="NB8" s="92"/>
      <c r="NC8" s="92"/>
      <c r="ND8" s="92"/>
      <c r="NE8" s="92"/>
      <c r="NF8" s="92"/>
      <c r="NG8" s="92"/>
      <c r="NH8" s="92"/>
      <c r="NI8" s="92"/>
      <c r="NJ8" s="92"/>
      <c r="NK8" s="92"/>
      <c r="NL8" s="92"/>
      <c r="NM8" s="92"/>
      <c r="NN8" s="92"/>
      <c r="NO8" s="92"/>
      <c r="NP8" s="92"/>
      <c r="NQ8" s="92"/>
      <c r="NR8" s="92"/>
      <c r="NS8" s="92"/>
      <c r="NT8" s="92"/>
      <c r="NU8" s="92"/>
      <c r="NV8" s="92"/>
      <c r="NW8" s="92"/>
      <c r="NX8" s="92"/>
      <c r="NY8" s="92"/>
      <c r="NZ8" s="92"/>
      <c r="OA8" s="92"/>
      <c r="OB8" s="92"/>
      <c r="OC8" s="92"/>
      <c r="OD8" s="92"/>
      <c r="OE8" s="92"/>
      <c r="OF8" s="92"/>
      <c r="OG8" s="92"/>
      <c r="OH8" s="92"/>
      <c r="OI8" s="92"/>
      <c r="OJ8" s="92"/>
      <c r="OK8" s="92"/>
      <c r="OL8" s="92"/>
      <c r="OM8" s="92"/>
      <c r="ON8" s="92"/>
      <c r="OO8" s="92"/>
      <c r="OP8" s="92"/>
      <c r="OQ8" s="92"/>
      <c r="OR8" s="92"/>
      <c r="OS8" s="92"/>
      <c r="OT8" s="92"/>
      <c r="OU8" s="92"/>
      <c r="OV8" s="92"/>
      <c r="OW8" s="92"/>
      <c r="OX8" s="92"/>
      <c r="OY8" s="92"/>
      <c r="OZ8" s="92"/>
      <c r="PA8" s="92"/>
      <c r="PB8" s="92"/>
      <c r="PC8" s="92"/>
      <c r="PD8" s="92"/>
      <c r="PE8" s="92"/>
      <c r="PF8" s="92"/>
      <c r="PG8" s="92"/>
      <c r="PH8" s="92"/>
      <c r="PI8" s="92"/>
      <c r="PJ8" s="92"/>
      <c r="PK8" s="92"/>
      <c r="PL8" s="92"/>
      <c r="PM8" s="92"/>
      <c r="PN8" s="92"/>
      <c r="PO8" s="92"/>
      <c r="PP8" s="92"/>
      <c r="PQ8" s="92"/>
      <c r="PR8" s="92"/>
      <c r="PS8" s="92"/>
      <c r="PT8" s="92"/>
      <c r="PU8" s="92"/>
      <c r="PV8" s="92"/>
      <c r="PW8" s="92"/>
      <c r="PX8" s="92"/>
      <c r="PY8" s="92"/>
      <c r="PZ8" s="92"/>
      <c r="QA8" s="92"/>
      <c r="QB8" s="92"/>
      <c r="QC8" s="92"/>
      <c r="QD8" s="92"/>
      <c r="QE8" s="92"/>
      <c r="QF8" s="92"/>
      <c r="QG8" s="92"/>
      <c r="QH8" s="92"/>
      <c r="QI8" s="92"/>
      <c r="QJ8" s="92"/>
      <c r="QK8" s="92"/>
      <c r="QL8" s="92"/>
      <c r="QM8" s="92"/>
      <c r="QN8" s="92"/>
      <c r="QO8" s="92"/>
    </row>
    <row r="9" spans="1:457" ht="15.75">
      <c r="A9" s="89">
        <v>7</v>
      </c>
      <c r="B9" s="89" t="s">
        <v>387</v>
      </c>
      <c r="C9" s="101" t="str">
        <f t="shared" si="2"/>
        <v>Manufacture of steel</v>
      </c>
      <c r="D9" s="281">
        <f t="shared" si="4"/>
        <v>18.396719470326147</v>
      </c>
      <c r="E9" s="281">
        <f t="shared" si="5"/>
        <v>20.16167846846837</v>
      </c>
      <c r="F9" s="281">
        <f t="shared" si="6"/>
        <v>20.39679574649913</v>
      </c>
      <c r="G9" s="280">
        <f t="shared" si="7"/>
        <v>58.955193685293644</v>
      </c>
      <c r="H9" s="94"/>
      <c r="I9" s="94"/>
      <c r="J9" s="94"/>
      <c r="K9" s="94"/>
      <c r="L9" s="94"/>
      <c r="M9" s="94"/>
      <c r="N9" s="94"/>
      <c r="O9" s="95"/>
      <c r="P9" s="95">
        <f t="shared" si="3"/>
        <v>58.955193685293644</v>
      </c>
      <c r="Q9" s="92"/>
      <c r="R9" s="92"/>
      <c r="S9" s="92"/>
      <c r="T9" s="66" t="s">
        <v>201</v>
      </c>
      <c r="U9" s="139">
        <v>39988.79</v>
      </c>
      <c r="V9" s="139">
        <v>15021.208104034034</v>
      </c>
      <c r="W9" s="139">
        <v>7047.6846964529095</v>
      </c>
      <c r="X9" s="139">
        <v>952.64800000000002</v>
      </c>
      <c r="Y9" s="139">
        <v>28199.995532843135</v>
      </c>
      <c r="Z9" s="139">
        <v>16.126166414771056</v>
      </c>
      <c r="AA9" s="139">
        <f t="shared" si="8"/>
        <v>40941.438000000002</v>
      </c>
      <c r="AB9" s="139">
        <f t="shared" si="9"/>
        <v>43221.203636877166</v>
      </c>
      <c r="AC9" s="139">
        <f t="shared" si="10"/>
        <v>7063.810862867681</v>
      </c>
      <c r="AD9" s="144">
        <f t="shared" si="11"/>
        <v>91226.452499744861</v>
      </c>
      <c r="AF9" s="145"/>
      <c r="AG9" s="145"/>
      <c r="AH9" s="145"/>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c r="JD9" s="92"/>
      <c r="JE9" s="92"/>
      <c r="JF9" s="92"/>
      <c r="JG9" s="92"/>
      <c r="JH9" s="92"/>
      <c r="JI9" s="92"/>
      <c r="JJ9" s="92"/>
      <c r="JK9" s="92"/>
      <c r="JL9" s="92"/>
      <c r="JM9" s="92"/>
      <c r="JN9" s="92"/>
      <c r="JO9" s="92"/>
      <c r="JP9" s="92"/>
      <c r="JQ9" s="92"/>
      <c r="JR9" s="92"/>
      <c r="JS9" s="92"/>
      <c r="JT9" s="92"/>
      <c r="JU9" s="92"/>
      <c r="JV9" s="92"/>
      <c r="JW9" s="92"/>
      <c r="JX9" s="92"/>
      <c r="JY9" s="92"/>
      <c r="JZ9" s="92"/>
      <c r="KA9" s="92"/>
      <c r="KB9" s="92"/>
      <c r="KC9" s="92"/>
      <c r="KD9" s="92"/>
      <c r="KE9" s="92"/>
      <c r="KF9" s="92"/>
      <c r="KG9" s="92"/>
      <c r="KH9" s="92"/>
      <c r="KI9" s="92"/>
      <c r="KJ9" s="92"/>
      <c r="KK9" s="92"/>
      <c r="KL9" s="92"/>
      <c r="KM9" s="92"/>
      <c r="KN9" s="92"/>
      <c r="KO9" s="92"/>
      <c r="KP9" s="92"/>
      <c r="KQ9" s="92"/>
      <c r="KR9" s="92"/>
      <c r="KS9" s="92"/>
      <c r="KT9" s="92"/>
      <c r="KU9" s="92"/>
      <c r="KV9" s="92"/>
      <c r="KW9" s="92"/>
      <c r="KX9" s="92"/>
      <c r="KY9" s="92"/>
      <c r="KZ9" s="92"/>
      <c r="LA9" s="92"/>
      <c r="LB9" s="92"/>
      <c r="LC9" s="92"/>
      <c r="LD9" s="92"/>
      <c r="LE9" s="92"/>
      <c r="LF9" s="92"/>
      <c r="LG9" s="92"/>
      <c r="LH9" s="92"/>
      <c r="LI9" s="92"/>
      <c r="LJ9" s="92"/>
      <c r="LK9" s="92"/>
      <c r="LL9" s="92"/>
      <c r="LM9" s="92"/>
      <c r="LN9" s="92"/>
      <c r="LO9" s="92"/>
      <c r="LP9" s="92"/>
      <c r="LQ9" s="92"/>
      <c r="LR9" s="92"/>
      <c r="LS9" s="92"/>
      <c r="LT9" s="92"/>
      <c r="LU9" s="92"/>
      <c r="LV9" s="92"/>
      <c r="LW9" s="92"/>
      <c r="LX9" s="92"/>
      <c r="LY9" s="92"/>
      <c r="LZ9" s="92"/>
      <c r="MA9" s="92"/>
      <c r="MB9" s="92"/>
      <c r="MC9" s="92"/>
      <c r="MD9" s="92"/>
      <c r="ME9" s="92"/>
      <c r="MF9" s="92"/>
      <c r="MG9" s="92"/>
      <c r="MH9" s="92"/>
      <c r="MI9" s="92"/>
      <c r="MJ9" s="92"/>
      <c r="MK9" s="92"/>
      <c r="ML9" s="92"/>
      <c r="MM9" s="92"/>
      <c r="MN9" s="92"/>
      <c r="MO9" s="92"/>
      <c r="MP9" s="92"/>
      <c r="MQ9" s="92"/>
      <c r="MR9" s="92"/>
      <c r="MS9" s="92"/>
      <c r="MT9" s="92"/>
      <c r="MU9" s="92"/>
      <c r="MV9" s="92"/>
      <c r="MW9" s="92"/>
      <c r="MX9" s="92"/>
      <c r="MY9" s="92"/>
      <c r="MZ9" s="92"/>
      <c r="NA9" s="92"/>
      <c r="NB9" s="92"/>
      <c r="NC9" s="92"/>
      <c r="ND9" s="92"/>
      <c r="NE9" s="92"/>
      <c r="NF9" s="92"/>
      <c r="NG9" s="92"/>
      <c r="NH9" s="92"/>
      <c r="NI9" s="92"/>
      <c r="NJ9" s="92"/>
      <c r="NK9" s="92"/>
      <c r="NL9" s="92"/>
      <c r="NM9" s="92"/>
      <c r="NN9" s="92"/>
      <c r="NO9" s="92"/>
      <c r="NP9" s="92"/>
      <c r="NQ9" s="92"/>
      <c r="NR9" s="92"/>
      <c r="NS9" s="92"/>
      <c r="NT9" s="92"/>
      <c r="NU9" s="92"/>
      <c r="NV9" s="92"/>
      <c r="NW9" s="92"/>
      <c r="NX9" s="92"/>
      <c r="NY9" s="92"/>
      <c r="NZ9" s="92"/>
      <c r="OA9" s="92"/>
      <c r="OB9" s="92"/>
      <c r="OC9" s="92"/>
      <c r="OD9" s="92"/>
      <c r="OE9" s="92"/>
      <c r="OF9" s="92"/>
      <c r="OG9" s="92"/>
      <c r="OH9" s="92"/>
      <c r="OI9" s="92"/>
      <c r="OJ9" s="92"/>
      <c r="OK9" s="92"/>
      <c r="OL9" s="92"/>
      <c r="OM9" s="92"/>
      <c r="ON9" s="92"/>
      <c r="OO9" s="92"/>
      <c r="OP9" s="92"/>
      <c r="OQ9" s="92"/>
      <c r="OR9" s="92"/>
      <c r="OS9" s="92"/>
      <c r="OT9" s="92"/>
      <c r="OU9" s="92"/>
      <c r="OV9" s="92"/>
      <c r="OW9" s="92"/>
      <c r="OX9" s="92"/>
      <c r="OY9" s="92"/>
      <c r="OZ9" s="92"/>
      <c r="PA9" s="92"/>
      <c r="PB9" s="92"/>
      <c r="PC9" s="92"/>
      <c r="PD9" s="92"/>
      <c r="PE9" s="92"/>
      <c r="PF9" s="92"/>
      <c r="PG9" s="92"/>
      <c r="PH9" s="92"/>
      <c r="PI9" s="92"/>
      <c r="PJ9" s="92"/>
      <c r="PK9" s="92"/>
      <c r="PL9" s="92"/>
      <c r="PM9" s="92"/>
      <c r="PN9" s="92"/>
      <c r="PO9" s="92"/>
      <c r="PP9" s="92"/>
      <c r="PQ9" s="92"/>
      <c r="PR9" s="92"/>
      <c r="PS9" s="92"/>
      <c r="PT9" s="92"/>
      <c r="PU9" s="92"/>
      <c r="PV9" s="92"/>
      <c r="PW9" s="92"/>
      <c r="PX9" s="92"/>
      <c r="PY9" s="92"/>
      <c r="PZ9" s="92"/>
      <c r="QA9" s="92"/>
      <c r="QB9" s="92"/>
      <c r="QC9" s="92"/>
      <c r="QD9" s="92"/>
      <c r="QE9" s="92"/>
      <c r="QF9" s="92"/>
      <c r="QG9" s="92"/>
      <c r="QH9" s="92"/>
      <c r="QI9" s="92"/>
      <c r="QJ9" s="92"/>
      <c r="QK9" s="92"/>
      <c r="QL9" s="92"/>
      <c r="QM9" s="92"/>
      <c r="QN9" s="92"/>
      <c r="QO9" s="92"/>
    </row>
    <row r="10" spans="1:457" ht="15.75">
      <c r="A10" s="89">
        <v>8</v>
      </c>
      <c r="B10" s="89" t="s">
        <v>387</v>
      </c>
      <c r="C10" s="101" t="str">
        <f t="shared" si="2"/>
        <v>Manufature of machine and equipment</v>
      </c>
      <c r="D10" s="281">
        <f t="shared" si="4"/>
        <v>19.773732006934061</v>
      </c>
      <c r="E10" s="281">
        <f t="shared" si="5"/>
        <v>14.683862966835878</v>
      </c>
      <c r="F10" s="281">
        <f t="shared" si="6"/>
        <v>94.430589685056972</v>
      </c>
      <c r="G10" s="280">
        <f t="shared" si="7"/>
        <v>128.8881846588269</v>
      </c>
      <c r="H10" s="94"/>
      <c r="I10" s="94"/>
      <c r="J10" s="94"/>
      <c r="K10" s="94"/>
      <c r="L10" s="94"/>
      <c r="M10" s="94"/>
      <c r="N10" s="94"/>
      <c r="O10" s="95"/>
      <c r="P10" s="95">
        <f t="shared" si="3"/>
        <v>128.8881846588269</v>
      </c>
      <c r="Q10" s="92"/>
      <c r="R10" s="92"/>
      <c r="S10" s="92"/>
      <c r="T10" s="66" t="s">
        <v>202</v>
      </c>
      <c r="U10" s="139">
        <v>1486.569</v>
      </c>
      <c r="V10" s="139">
        <v>36.139726226529376</v>
      </c>
      <c r="W10" s="139">
        <v>11459.716</v>
      </c>
      <c r="X10" s="139">
        <v>2189.8240000000001</v>
      </c>
      <c r="Y10" s="139">
        <v>51.841343832020996</v>
      </c>
      <c r="Z10" s="139">
        <v>25.635000000000002</v>
      </c>
      <c r="AA10" s="139">
        <f t="shared" si="8"/>
        <v>3676.393</v>
      </c>
      <c r="AB10" s="139">
        <f t="shared" si="9"/>
        <v>87.981070058550372</v>
      </c>
      <c r="AC10" s="139">
        <f t="shared" si="10"/>
        <v>11485.351000000001</v>
      </c>
      <c r="AD10" s="144">
        <f t="shared" si="11"/>
        <v>15249.72507005855</v>
      </c>
      <c r="AF10" s="145"/>
      <c r="AG10" s="145"/>
      <c r="AH10" s="145"/>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2"/>
      <c r="HE10" s="92"/>
      <c r="HF10" s="92"/>
      <c r="HG10" s="92"/>
      <c r="HH10" s="92"/>
      <c r="HI10" s="92"/>
      <c r="HJ10" s="92"/>
      <c r="HK10" s="92"/>
      <c r="HL10" s="92"/>
      <c r="HM10" s="92"/>
      <c r="HN10" s="92"/>
      <c r="HO10" s="92"/>
      <c r="HP10" s="92"/>
      <c r="HQ10" s="92"/>
      <c r="HR10" s="92"/>
      <c r="HS10" s="92"/>
      <c r="HT10" s="92"/>
      <c r="HU10" s="92"/>
      <c r="HV10" s="92"/>
      <c r="HW10" s="92"/>
      <c r="HX10" s="92"/>
      <c r="HY10" s="92"/>
      <c r="HZ10" s="92"/>
      <c r="IA10" s="92"/>
      <c r="IB10" s="92"/>
      <c r="IC10" s="92"/>
      <c r="ID10" s="92"/>
      <c r="IE10" s="92"/>
      <c r="IF10" s="92"/>
      <c r="IG10" s="92"/>
      <c r="IH10" s="92"/>
      <c r="II10" s="92"/>
      <c r="IJ10" s="92"/>
      <c r="IK10" s="92"/>
      <c r="IL10" s="92"/>
      <c r="IM10" s="92"/>
      <c r="IN10" s="92"/>
      <c r="IO10" s="92"/>
      <c r="IP10" s="92"/>
      <c r="IQ10" s="92"/>
      <c r="IR10" s="92"/>
      <c r="IS10" s="92"/>
      <c r="IT10" s="92"/>
      <c r="IU10" s="92"/>
      <c r="IV10" s="92"/>
      <c r="IW10" s="92"/>
      <c r="IX10" s="92"/>
      <c r="IY10" s="92"/>
      <c r="IZ10" s="92"/>
      <c r="JA10" s="92"/>
      <c r="JB10" s="92"/>
      <c r="JC10" s="92"/>
      <c r="JD10" s="92"/>
      <c r="JE10" s="92"/>
      <c r="JF10" s="92"/>
      <c r="JG10" s="92"/>
      <c r="JH10" s="92"/>
      <c r="JI10" s="92"/>
      <c r="JJ10" s="92"/>
      <c r="JK10" s="92"/>
      <c r="JL10" s="92"/>
      <c r="JM10" s="92"/>
      <c r="JN10" s="92"/>
      <c r="JO10" s="92"/>
      <c r="JP10" s="92"/>
      <c r="JQ10" s="92"/>
      <c r="JR10" s="92"/>
      <c r="JS10" s="92"/>
      <c r="JT10" s="92"/>
      <c r="JU10" s="92"/>
      <c r="JV10" s="92"/>
      <c r="JW10" s="92"/>
      <c r="JX10" s="92"/>
      <c r="JY10" s="92"/>
      <c r="JZ10" s="92"/>
      <c r="KA10" s="92"/>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2"/>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2"/>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2"/>
      <c r="MY10" s="92"/>
      <c r="MZ10" s="92"/>
      <c r="NA10" s="92"/>
      <c r="NB10" s="92"/>
      <c r="NC10" s="92"/>
      <c r="ND10" s="92"/>
      <c r="NE10" s="92"/>
      <c r="NF10" s="92"/>
      <c r="NG10" s="92"/>
      <c r="NH10" s="92"/>
      <c r="NI10" s="92"/>
      <c r="NJ10" s="92"/>
      <c r="NK10" s="92"/>
      <c r="NL10" s="92"/>
      <c r="NM10" s="92"/>
      <c r="NN10" s="92"/>
      <c r="NO10" s="92"/>
      <c r="NP10" s="92"/>
      <c r="NQ10" s="92"/>
      <c r="NR10" s="92"/>
      <c r="NS10" s="92"/>
      <c r="NT10" s="92"/>
      <c r="NU10" s="92"/>
      <c r="NV10" s="92"/>
      <c r="NW10" s="92"/>
      <c r="NX10" s="92"/>
      <c r="NY10" s="92"/>
      <c r="NZ10" s="92"/>
      <c r="OA10" s="92"/>
      <c r="OB10" s="92"/>
      <c r="OC10" s="92"/>
      <c r="OD10" s="92"/>
      <c r="OE10" s="92"/>
      <c r="OF10" s="92"/>
      <c r="OG10" s="92"/>
      <c r="OH10" s="92"/>
      <c r="OI10" s="92"/>
      <c r="OJ10" s="92"/>
      <c r="OK10" s="92"/>
      <c r="OL10" s="92"/>
      <c r="OM10" s="92"/>
      <c r="ON10" s="92"/>
      <c r="OO10" s="92"/>
      <c r="OP10" s="92"/>
      <c r="OQ10" s="92"/>
      <c r="OR10" s="92"/>
      <c r="OS10" s="92"/>
      <c r="OT10" s="92"/>
      <c r="OU10" s="92"/>
      <c r="OV10" s="92"/>
      <c r="OW10" s="92"/>
      <c r="OX10" s="92"/>
      <c r="OY10" s="92"/>
      <c r="OZ10" s="92"/>
      <c r="PA10" s="92"/>
      <c r="PB10" s="92"/>
      <c r="PC10" s="92"/>
      <c r="PD10" s="92"/>
      <c r="PE10" s="92"/>
      <c r="PF10" s="92"/>
      <c r="PG10" s="92"/>
      <c r="PH10" s="92"/>
      <c r="PI10" s="92"/>
      <c r="PJ10" s="92"/>
      <c r="PK10" s="92"/>
      <c r="PL10" s="92"/>
      <c r="PM10" s="92"/>
      <c r="PN10" s="92"/>
      <c r="PO10" s="92"/>
      <c r="PP10" s="92"/>
      <c r="PQ10" s="92"/>
      <c r="PR10" s="92"/>
      <c r="PS10" s="92"/>
      <c r="PT10" s="92"/>
      <c r="PU10" s="92"/>
      <c r="PV10" s="92"/>
      <c r="PW10" s="92"/>
      <c r="PX10" s="92"/>
      <c r="PY10" s="92"/>
      <c r="PZ10" s="92"/>
      <c r="QA10" s="92"/>
      <c r="QB10" s="92"/>
      <c r="QC10" s="92"/>
      <c r="QD10" s="92"/>
      <c r="QE10" s="92"/>
      <c r="QF10" s="92"/>
      <c r="QG10" s="92"/>
      <c r="QH10" s="92"/>
      <c r="QI10" s="92"/>
      <c r="QJ10" s="92"/>
      <c r="QK10" s="92"/>
      <c r="QL10" s="92"/>
      <c r="QM10" s="92"/>
      <c r="QN10" s="92"/>
      <c r="QO10" s="92"/>
    </row>
    <row r="11" spans="1:457" ht="15.75">
      <c r="A11" s="89">
        <v>9</v>
      </c>
      <c r="B11" s="89" t="s">
        <v>387</v>
      </c>
      <c r="C11" s="223" t="str">
        <f t="shared" si="2"/>
        <v>Extraction of oil and gas</v>
      </c>
      <c r="D11" s="281">
        <f>AA13/U$94</f>
        <v>9.5290833333333325</v>
      </c>
      <c r="E11" s="281">
        <f t="shared" ref="E11:F11" si="12">AB13/V$94</f>
        <v>181.33648030946816</v>
      </c>
      <c r="F11" s="281">
        <f t="shared" si="12"/>
        <v>5.419508385353577</v>
      </c>
      <c r="G11" s="280">
        <f t="shared" si="7"/>
        <v>196.28507202815504</v>
      </c>
      <c r="H11" s="94"/>
      <c r="I11" s="94"/>
      <c r="J11" s="94"/>
      <c r="K11" s="94"/>
      <c r="L11" s="94"/>
      <c r="M11" s="94"/>
      <c r="N11" s="94"/>
      <c r="O11" s="95"/>
      <c r="P11" s="95">
        <f t="shared" si="3"/>
        <v>196.28507202815504</v>
      </c>
      <c r="Q11" s="92"/>
      <c r="R11" s="92"/>
      <c r="S11" s="92"/>
      <c r="T11" s="66" t="s">
        <v>203</v>
      </c>
      <c r="U11" s="139">
        <v>2309.3200000000002</v>
      </c>
      <c r="V11" s="139">
        <v>2733.3088366185839</v>
      </c>
      <c r="W11" s="139">
        <v>6369.0559999999996</v>
      </c>
      <c r="X11" s="139">
        <v>4763.8670000000002</v>
      </c>
      <c r="Y11" s="139">
        <v>254.02585417232382</v>
      </c>
      <c r="Z11" s="139">
        <v>54.582999999999998</v>
      </c>
      <c r="AA11" s="139">
        <f t="shared" si="8"/>
        <v>7073.1869999999999</v>
      </c>
      <c r="AB11" s="139">
        <f t="shared" si="9"/>
        <v>2987.3346907909076</v>
      </c>
      <c r="AC11" s="139">
        <f t="shared" si="10"/>
        <v>6423.6389999999992</v>
      </c>
      <c r="AD11" s="144">
        <f t="shared" si="11"/>
        <v>16484.160690790908</v>
      </c>
      <c r="AF11" s="145"/>
      <c r="AG11" s="145"/>
      <c r="AH11" s="145"/>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c r="JD11" s="92"/>
      <c r="JE11" s="92"/>
      <c r="JF11" s="92"/>
      <c r="JG11" s="92"/>
      <c r="JH11" s="92"/>
      <c r="JI11" s="92"/>
      <c r="JJ11" s="92"/>
      <c r="JK11" s="92"/>
      <c r="JL11" s="92"/>
      <c r="JM11" s="92"/>
      <c r="JN11" s="92"/>
      <c r="JO11" s="92"/>
      <c r="JP11" s="92"/>
      <c r="JQ11" s="92"/>
      <c r="JR11" s="92"/>
      <c r="JS11" s="92"/>
      <c r="JT11" s="92"/>
      <c r="JU11" s="92"/>
      <c r="JV11" s="92"/>
      <c r="JW11" s="92"/>
      <c r="JX11" s="92"/>
      <c r="JY11" s="92"/>
      <c r="JZ11" s="92"/>
      <c r="KA11" s="92"/>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2"/>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2"/>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2"/>
      <c r="MY11" s="92"/>
      <c r="MZ11" s="92"/>
      <c r="NA11" s="92"/>
      <c r="NB11" s="92"/>
      <c r="NC11" s="92"/>
      <c r="ND11" s="92"/>
      <c r="NE11" s="92"/>
      <c r="NF11" s="92"/>
      <c r="NG11" s="92"/>
      <c r="NH11" s="92"/>
      <c r="NI11" s="92"/>
      <c r="NJ11" s="92"/>
      <c r="NK11" s="92"/>
      <c r="NL11" s="92"/>
      <c r="NM11" s="92"/>
      <c r="NN11" s="92"/>
      <c r="NO11" s="92"/>
      <c r="NP11" s="92"/>
      <c r="NQ11" s="92"/>
      <c r="NR11" s="92"/>
      <c r="NS11" s="92"/>
      <c r="NT11" s="92"/>
      <c r="NU11" s="92"/>
      <c r="NV11" s="92"/>
      <c r="NW11" s="92"/>
      <c r="NX11" s="92"/>
      <c r="NY11" s="92"/>
      <c r="NZ11" s="92"/>
      <c r="OA11" s="92"/>
      <c r="OB11" s="92"/>
      <c r="OC11" s="92"/>
      <c r="OD11" s="92"/>
      <c r="OE11" s="92"/>
      <c r="OF11" s="92"/>
      <c r="OG11" s="92"/>
      <c r="OH11" s="92"/>
      <c r="OI11" s="92"/>
      <c r="OJ11" s="92"/>
      <c r="OK11" s="92"/>
      <c r="OL11" s="92"/>
      <c r="OM11" s="92"/>
      <c r="ON11" s="92"/>
      <c r="OO11" s="92"/>
      <c r="OP11" s="92"/>
      <c r="OQ11" s="92"/>
      <c r="OR11" s="92"/>
      <c r="OS11" s="92"/>
      <c r="OT11" s="92"/>
      <c r="OU11" s="92"/>
      <c r="OV11" s="92"/>
      <c r="OW11" s="92"/>
      <c r="OX11" s="92"/>
      <c r="OY11" s="92"/>
      <c r="OZ11" s="92"/>
      <c r="PA11" s="92"/>
      <c r="PB11" s="92"/>
      <c r="PC11" s="92"/>
      <c r="PD11" s="92"/>
      <c r="PE11" s="92"/>
      <c r="PF11" s="92"/>
      <c r="PG11" s="92"/>
      <c r="PH11" s="92"/>
      <c r="PI11" s="92"/>
      <c r="PJ11" s="92"/>
      <c r="PK11" s="92"/>
      <c r="PL11" s="92"/>
      <c r="PM11" s="92"/>
      <c r="PN11" s="92"/>
      <c r="PO11" s="92"/>
      <c r="PP11" s="92"/>
      <c r="PQ11" s="92"/>
      <c r="PR11" s="92"/>
      <c r="PS11" s="92"/>
      <c r="PT11" s="92"/>
      <c r="PU11" s="92"/>
      <c r="PV11" s="92"/>
      <c r="PW11" s="92"/>
      <c r="PX11" s="92"/>
      <c r="PY11" s="92"/>
      <c r="PZ11" s="92"/>
      <c r="QA11" s="92"/>
      <c r="QB11" s="92"/>
      <c r="QC11" s="92"/>
      <c r="QD11" s="92"/>
      <c r="QE11" s="92"/>
      <c r="QF11" s="92"/>
      <c r="QG11" s="92"/>
      <c r="QH11" s="92"/>
      <c r="QI11" s="92"/>
      <c r="QJ11" s="92"/>
      <c r="QK11" s="92"/>
      <c r="QL11" s="92"/>
      <c r="QM11" s="92"/>
      <c r="QN11" s="92"/>
      <c r="QO11" s="92"/>
    </row>
    <row r="12" spans="1:457" ht="15.75">
      <c r="A12" s="89">
        <v>10</v>
      </c>
      <c r="B12" s="89" t="s">
        <v>387</v>
      </c>
      <c r="C12" s="101" t="str">
        <f t="shared" si="2"/>
        <v>Construction of buildings</v>
      </c>
      <c r="D12" s="281">
        <f>AA14/U$89</f>
        <v>82.629075106968372</v>
      </c>
      <c r="E12" s="281">
        <f t="shared" si="5"/>
        <v>11.320160035015009</v>
      </c>
      <c r="F12" s="281">
        <f t="shared" si="6"/>
        <v>5.2016149268768066</v>
      </c>
      <c r="G12" s="280">
        <f t="shared" si="7"/>
        <v>99.15085006886018</v>
      </c>
      <c r="H12" s="94"/>
      <c r="I12" s="94"/>
      <c r="J12" s="94"/>
      <c r="K12" s="94"/>
      <c r="L12" s="94"/>
      <c r="M12" s="94"/>
      <c r="N12" s="94"/>
      <c r="O12" s="95"/>
      <c r="P12" s="95">
        <f t="shared" si="3"/>
        <v>99.15085006886018</v>
      </c>
      <c r="Q12" s="92"/>
      <c r="R12" s="92"/>
      <c r="S12" s="92"/>
      <c r="T12" s="66" t="s">
        <v>204</v>
      </c>
      <c r="U12" s="139">
        <v>6117.14</v>
      </c>
      <c r="V12" s="139">
        <v>959.19068066248633</v>
      </c>
      <c r="W12" s="139">
        <v>29556.031999999992</v>
      </c>
      <c r="X12" s="139">
        <v>1485.4820000000002</v>
      </c>
      <c r="Y12" s="139">
        <v>1216.5018493147104</v>
      </c>
      <c r="Z12" s="139">
        <v>183.346</v>
      </c>
      <c r="AA12" s="139">
        <f t="shared" si="8"/>
        <v>7602.6220000000003</v>
      </c>
      <c r="AB12" s="139">
        <f t="shared" si="9"/>
        <v>2175.6925299771965</v>
      </c>
      <c r="AC12" s="139">
        <f t="shared" si="10"/>
        <v>29739.377999999993</v>
      </c>
      <c r="AD12" s="144">
        <f t="shared" si="11"/>
        <v>39517.69252997719</v>
      </c>
      <c r="AF12" s="145"/>
      <c r="AG12" s="145"/>
      <c r="AH12" s="145"/>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c r="JD12" s="92"/>
      <c r="JE12" s="92"/>
      <c r="JF12" s="92"/>
      <c r="JG12" s="92"/>
      <c r="JH12" s="92"/>
      <c r="JI12" s="92"/>
      <c r="JJ12" s="92"/>
      <c r="JK12" s="92"/>
      <c r="JL12" s="92"/>
      <c r="JM12" s="92"/>
      <c r="JN12" s="92"/>
      <c r="JO12" s="92"/>
      <c r="JP12" s="92"/>
      <c r="JQ12" s="92"/>
      <c r="JR12" s="92"/>
      <c r="JS12" s="92"/>
      <c r="JT12" s="92"/>
      <c r="JU12" s="92"/>
      <c r="JV12" s="92"/>
      <c r="JW12" s="92"/>
      <c r="JX12" s="92"/>
      <c r="JY12" s="92"/>
      <c r="JZ12" s="92"/>
      <c r="KA12" s="92"/>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2"/>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2"/>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2"/>
      <c r="MY12" s="92"/>
      <c r="MZ12" s="92"/>
      <c r="NA12" s="92"/>
      <c r="NB12" s="92"/>
      <c r="NC12" s="92"/>
      <c r="ND12" s="92"/>
      <c r="NE12" s="92"/>
      <c r="NF12" s="92"/>
      <c r="NG12" s="92"/>
      <c r="NH12" s="92"/>
      <c r="NI12" s="92"/>
      <c r="NJ12" s="92"/>
      <c r="NK12" s="92"/>
      <c r="NL12" s="92"/>
      <c r="NM12" s="92"/>
      <c r="NN12" s="92"/>
      <c r="NO12" s="92"/>
      <c r="NP12" s="92"/>
      <c r="NQ12" s="92"/>
      <c r="NR12" s="92"/>
      <c r="NS12" s="92"/>
      <c r="NT12" s="92"/>
      <c r="NU12" s="92"/>
      <c r="NV12" s="92"/>
      <c r="NW12" s="92"/>
      <c r="NX12" s="92"/>
      <c r="NY12" s="92"/>
      <c r="NZ12" s="92"/>
      <c r="OA12" s="92"/>
      <c r="OB12" s="92"/>
      <c r="OC12" s="92"/>
      <c r="OD12" s="92"/>
      <c r="OE12" s="92"/>
      <c r="OF12" s="92"/>
      <c r="OG12" s="92"/>
      <c r="OH12" s="92"/>
      <c r="OI12" s="92"/>
      <c r="OJ12" s="92"/>
      <c r="OK12" s="92"/>
      <c r="OL12" s="92"/>
      <c r="OM12" s="92"/>
      <c r="ON12" s="92"/>
      <c r="OO12" s="92"/>
      <c r="OP12" s="92"/>
      <c r="OQ12" s="92"/>
      <c r="OR12" s="92"/>
      <c r="OS12" s="92"/>
      <c r="OT12" s="92"/>
      <c r="OU12" s="92"/>
      <c r="OV12" s="92"/>
      <c r="OW12" s="92"/>
      <c r="OX12" s="92"/>
      <c r="OY12" s="92"/>
      <c r="OZ12" s="92"/>
      <c r="PA12" s="92"/>
      <c r="PB12" s="92"/>
      <c r="PC12" s="92"/>
      <c r="PD12" s="92"/>
      <c r="PE12" s="92"/>
      <c r="PF12" s="92"/>
      <c r="PG12" s="92"/>
      <c r="PH12" s="92"/>
      <c r="PI12" s="92"/>
      <c r="PJ12" s="92"/>
      <c r="PK12" s="92"/>
      <c r="PL12" s="92"/>
      <c r="PM12" s="92"/>
      <c r="PN12" s="92"/>
      <c r="PO12" s="92"/>
      <c r="PP12" s="92"/>
      <c r="PQ12" s="92"/>
      <c r="PR12" s="92"/>
      <c r="PS12" s="92"/>
      <c r="PT12" s="92"/>
      <c r="PU12" s="92"/>
      <c r="PV12" s="92"/>
      <c r="PW12" s="92"/>
      <c r="PX12" s="92"/>
      <c r="PY12" s="92"/>
      <c r="PZ12" s="92"/>
      <c r="QA12" s="92"/>
      <c r="QB12" s="92"/>
      <c r="QC12" s="92"/>
      <c r="QD12" s="92"/>
      <c r="QE12" s="92"/>
      <c r="QF12" s="92"/>
      <c r="QG12" s="92"/>
      <c r="QH12" s="92"/>
      <c r="QI12" s="92"/>
      <c r="QJ12" s="92"/>
      <c r="QK12" s="92"/>
      <c r="QL12" s="92"/>
      <c r="QM12" s="92"/>
      <c r="QN12" s="92"/>
      <c r="QO12" s="92"/>
    </row>
    <row r="13" spans="1:457" ht="15.75">
      <c r="A13" s="89">
        <v>11</v>
      </c>
      <c r="B13" s="89" t="s">
        <v>387</v>
      </c>
      <c r="C13" s="101" t="str">
        <f t="shared" si="2"/>
        <v>Others industries</v>
      </c>
      <c r="D13" s="281">
        <f t="shared" si="4"/>
        <v>132.56108396090261</v>
      </c>
      <c r="E13" s="281">
        <f t="shared" si="5"/>
        <v>111.78913704616669</v>
      </c>
      <c r="F13" s="281">
        <f t="shared" si="6"/>
        <v>248.02517522729593</v>
      </c>
      <c r="G13" s="280">
        <f t="shared" si="7"/>
        <v>492.37539623436521</v>
      </c>
      <c r="H13" s="94"/>
      <c r="I13" s="94">
        <f>'AggrStep1-energy'!I56</f>
        <v>4.2556149999999988</v>
      </c>
      <c r="J13" s="94"/>
      <c r="K13" s="94"/>
      <c r="L13" s="94">
        <f>'AggrStep1-energy'!L56</f>
        <v>0.38100000000000001</v>
      </c>
      <c r="M13" s="94"/>
      <c r="N13" s="94"/>
      <c r="O13" s="95"/>
      <c r="P13" s="95">
        <f t="shared" si="3"/>
        <v>497.01201123436516</v>
      </c>
      <c r="Q13" s="92"/>
      <c r="R13" s="92"/>
      <c r="S13" s="92"/>
      <c r="T13" s="66" t="s">
        <v>205</v>
      </c>
      <c r="U13" s="139">
        <v>14261.575999999999</v>
      </c>
      <c r="V13" s="139">
        <v>12955.328258665224</v>
      </c>
      <c r="W13" s="139">
        <v>1702.8230000000001</v>
      </c>
      <c r="X13" s="139">
        <v>32.048999999999999</v>
      </c>
      <c r="Y13" s="139">
        <v>23311.967803228406</v>
      </c>
      <c r="Z13" s="139">
        <v>3.9630000000000001</v>
      </c>
      <c r="AA13" s="139">
        <f t="shared" si="8"/>
        <v>14293.625</v>
      </c>
      <c r="AB13" s="139">
        <f t="shared" si="9"/>
        <v>36267.296061893634</v>
      </c>
      <c r="AC13" s="139">
        <f t="shared" si="10"/>
        <v>1706.7860000000001</v>
      </c>
      <c r="AD13" s="144">
        <f t="shared" si="11"/>
        <v>52267.707061893634</v>
      </c>
      <c r="AF13" s="145"/>
      <c r="AG13" s="145"/>
      <c r="AH13" s="145"/>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c r="IV13" s="92"/>
      <c r="IW13" s="92"/>
      <c r="IX13" s="92"/>
      <c r="IY13" s="92"/>
      <c r="IZ13" s="92"/>
      <c r="JA13" s="92"/>
      <c r="JB13" s="92"/>
      <c r="JC13" s="92"/>
      <c r="JD13" s="92"/>
      <c r="JE13" s="92"/>
      <c r="JF13" s="92"/>
      <c r="JG13" s="92"/>
      <c r="JH13" s="92"/>
      <c r="JI13" s="92"/>
      <c r="JJ13" s="92"/>
      <c r="JK13" s="92"/>
      <c r="JL13" s="92"/>
      <c r="JM13" s="92"/>
      <c r="JN13" s="92"/>
      <c r="JO13" s="92"/>
      <c r="JP13" s="92"/>
      <c r="JQ13" s="92"/>
      <c r="JR13" s="92"/>
      <c r="JS13" s="92"/>
      <c r="JT13" s="92"/>
      <c r="JU13" s="92"/>
      <c r="JV13" s="92"/>
      <c r="JW13" s="92"/>
      <c r="JX13" s="92"/>
      <c r="JY13" s="92"/>
      <c r="JZ13" s="92"/>
      <c r="KA13" s="92"/>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2"/>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2"/>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2"/>
      <c r="MY13" s="92"/>
      <c r="MZ13" s="92"/>
      <c r="NA13" s="92"/>
      <c r="NB13" s="92"/>
      <c r="NC13" s="92"/>
      <c r="ND13" s="92"/>
      <c r="NE13" s="92"/>
      <c r="NF13" s="92"/>
      <c r="NG13" s="92"/>
      <c r="NH13" s="92"/>
      <c r="NI13" s="92"/>
      <c r="NJ13" s="92"/>
      <c r="NK13" s="92"/>
      <c r="NL13" s="92"/>
      <c r="NM13" s="92"/>
      <c r="NN13" s="92"/>
      <c r="NO13" s="92"/>
      <c r="NP13" s="92"/>
      <c r="NQ13" s="92"/>
      <c r="NR13" s="92"/>
      <c r="NS13" s="92"/>
      <c r="NT13" s="92"/>
      <c r="NU13" s="92"/>
      <c r="NV13" s="92"/>
      <c r="NW13" s="92"/>
      <c r="NX13" s="92"/>
      <c r="NY13" s="92"/>
      <c r="NZ13" s="92"/>
      <c r="OA13" s="92"/>
      <c r="OB13" s="92"/>
      <c r="OC13" s="92"/>
      <c r="OD13" s="92"/>
      <c r="OE13" s="92"/>
      <c r="OF13" s="92"/>
      <c r="OG13" s="92"/>
      <c r="OH13" s="92"/>
      <c r="OI13" s="92"/>
      <c r="OJ13" s="92"/>
      <c r="OK13" s="92"/>
      <c r="OL13" s="92"/>
      <c r="OM13" s="92"/>
      <c r="ON13" s="92"/>
      <c r="OO13" s="92"/>
      <c r="OP13" s="92"/>
      <c r="OQ13" s="92"/>
      <c r="OR13" s="92"/>
      <c r="OS13" s="92"/>
      <c r="OT13" s="92"/>
      <c r="OU13" s="92"/>
      <c r="OV13" s="92"/>
      <c r="OW13" s="92"/>
      <c r="OX13" s="92"/>
      <c r="OY13" s="92"/>
      <c r="OZ13" s="92"/>
      <c r="PA13" s="92"/>
      <c r="PB13" s="92"/>
      <c r="PC13" s="92"/>
      <c r="PD13" s="92"/>
      <c r="PE13" s="92"/>
      <c r="PF13" s="92"/>
      <c r="PG13" s="92"/>
      <c r="PH13" s="92"/>
      <c r="PI13" s="92"/>
      <c r="PJ13" s="92"/>
      <c r="PK13" s="92"/>
      <c r="PL13" s="92"/>
      <c r="PM13" s="92"/>
      <c r="PN13" s="92"/>
      <c r="PO13" s="92"/>
      <c r="PP13" s="92"/>
      <c r="PQ13" s="92"/>
      <c r="PR13" s="92"/>
      <c r="PS13" s="92"/>
      <c r="PT13" s="92"/>
      <c r="PU13" s="92"/>
      <c r="PV13" s="92"/>
      <c r="PW13" s="92"/>
      <c r="PX13" s="92"/>
      <c r="PY13" s="92"/>
      <c r="PZ13" s="92"/>
      <c r="QA13" s="92"/>
      <c r="QB13" s="92"/>
      <c r="QC13" s="92"/>
      <c r="QD13" s="92"/>
      <c r="QE13" s="92"/>
      <c r="QF13" s="92"/>
      <c r="QG13" s="92"/>
      <c r="QH13" s="92"/>
      <c r="QI13" s="92"/>
      <c r="QJ13" s="92"/>
      <c r="QK13" s="92"/>
      <c r="QL13" s="92"/>
      <c r="QM13" s="92"/>
      <c r="QN13" s="92"/>
      <c r="QO13" s="92"/>
    </row>
    <row r="14" spans="1:457" ht="15.75">
      <c r="A14" s="89">
        <v>12</v>
      </c>
      <c r="B14" s="276" t="s">
        <v>572</v>
      </c>
      <c r="C14" s="101" t="str">
        <f t="shared" si="2"/>
        <v>Air transport</v>
      </c>
      <c r="D14" s="281">
        <f t="shared" ref="D14:F19" si="13">AA16/U$90</f>
        <v>101.60878005865104</v>
      </c>
      <c r="E14" s="281">
        <f t="shared" si="13"/>
        <v>8.6836403718342711E-2</v>
      </c>
      <c r="F14" s="281">
        <f t="shared" si="13"/>
        <v>0.74275184354677426</v>
      </c>
      <c r="G14" s="280">
        <f t="shared" si="7"/>
        <v>102.43836830591614</v>
      </c>
      <c r="H14" s="94"/>
      <c r="I14" s="94"/>
      <c r="J14" s="94"/>
      <c r="K14" s="94"/>
      <c r="L14" s="94"/>
      <c r="M14" s="94"/>
      <c r="N14" s="94"/>
      <c r="O14" s="95"/>
      <c r="P14" s="95">
        <f t="shared" si="3"/>
        <v>102.43836830591614</v>
      </c>
      <c r="Q14" s="92"/>
      <c r="R14" s="92"/>
      <c r="S14" s="92"/>
      <c r="T14" s="66" t="s">
        <v>206</v>
      </c>
      <c r="U14" s="139">
        <v>30907.031999999996</v>
      </c>
      <c r="V14" s="139">
        <v>1073.2348304259431</v>
      </c>
      <c r="W14" s="139">
        <v>1634.4839999999999</v>
      </c>
      <c r="X14" s="139">
        <v>862.26799999999992</v>
      </c>
      <c r="Y14" s="139">
        <v>604.0613743911822</v>
      </c>
      <c r="Z14" s="139">
        <v>3.6799999999999993</v>
      </c>
      <c r="AA14" s="139">
        <f t="shared" si="8"/>
        <v>31769.299999999996</v>
      </c>
      <c r="AB14" s="139">
        <f t="shared" si="9"/>
        <v>1677.2962048171253</v>
      </c>
      <c r="AC14" s="139">
        <f t="shared" si="10"/>
        <v>1638.164</v>
      </c>
      <c r="AD14" s="144">
        <f t="shared" si="11"/>
        <v>35084.760204817117</v>
      </c>
      <c r="AF14" s="145"/>
      <c r="AG14" s="145"/>
      <c r="AH14" s="145"/>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c r="JD14" s="92"/>
      <c r="JE14" s="92"/>
      <c r="JF14" s="92"/>
      <c r="JG14" s="92"/>
      <c r="JH14" s="92"/>
      <c r="JI14" s="92"/>
      <c r="JJ14" s="92"/>
      <c r="JK14" s="92"/>
      <c r="JL14" s="92"/>
      <c r="JM14" s="92"/>
      <c r="JN14" s="92"/>
      <c r="JO14" s="92"/>
      <c r="JP14" s="92"/>
      <c r="JQ14" s="92"/>
      <c r="JR14" s="92"/>
      <c r="JS14" s="92"/>
      <c r="JT14" s="92"/>
      <c r="JU14" s="92"/>
      <c r="JV14" s="92"/>
      <c r="JW14" s="92"/>
      <c r="JX14" s="92"/>
      <c r="JY14" s="92"/>
      <c r="JZ14" s="92"/>
      <c r="KA14" s="92"/>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2"/>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2"/>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2"/>
      <c r="MY14" s="92"/>
      <c r="MZ14" s="92"/>
      <c r="NA14" s="92"/>
      <c r="NB14" s="92"/>
      <c r="NC14" s="92"/>
      <c r="ND14" s="92"/>
      <c r="NE14" s="92"/>
      <c r="NF14" s="92"/>
      <c r="NG14" s="92"/>
      <c r="NH14" s="92"/>
      <c r="NI14" s="92"/>
      <c r="NJ14" s="92"/>
      <c r="NK14" s="92"/>
      <c r="NL14" s="92"/>
      <c r="NM14" s="92"/>
      <c r="NN14" s="92"/>
      <c r="NO14" s="92"/>
      <c r="NP14" s="92"/>
      <c r="NQ14" s="92"/>
      <c r="NR14" s="92"/>
      <c r="NS14" s="92"/>
      <c r="NT14" s="92"/>
      <c r="NU14" s="92"/>
      <c r="NV14" s="92"/>
      <c r="NW14" s="92"/>
      <c r="NX14" s="92"/>
      <c r="NY14" s="92"/>
      <c r="NZ14" s="92"/>
      <c r="OA14" s="92"/>
      <c r="OB14" s="92"/>
      <c r="OC14" s="92"/>
      <c r="OD14" s="92"/>
      <c r="OE14" s="92"/>
      <c r="OF14" s="92"/>
      <c r="OG14" s="92"/>
      <c r="OH14" s="92"/>
      <c r="OI14" s="92"/>
      <c r="OJ14" s="92"/>
      <c r="OK14" s="92"/>
      <c r="OL14" s="92"/>
      <c r="OM14" s="92"/>
      <c r="ON14" s="92"/>
      <c r="OO14" s="92"/>
      <c r="OP14" s="92"/>
      <c r="OQ14" s="92"/>
      <c r="OR14" s="92"/>
      <c r="OS14" s="92"/>
      <c r="OT14" s="92"/>
      <c r="OU14" s="92"/>
      <c r="OV14" s="92"/>
      <c r="OW14" s="92"/>
      <c r="OX14" s="92"/>
      <c r="OY14" s="92"/>
      <c r="OZ14" s="92"/>
      <c r="PA14" s="92"/>
      <c r="PB14" s="92"/>
      <c r="PC14" s="92"/>
      <c r="PD14" s="92"/>
      <c r="PE14" s="92"/>
      <c r="PF14" s="92"/>
      <c r="PG14" s="92"/>
      <c r="PH14" s="92"/>
      <c r="PI14" s="92"/>
      <c r="PJ14" s="92"/>
      <c r="PK14" s="92"/>
      <c r="PL14" s="92"/>
      <c r="PM14" s="92"/>
      <c r="PN14" s="92"/>
      <c r="PO14" s="92"/>
      <c r="PP14" s="92"/>
      <c r="PQ14" s="92"/>
      <c r="PR14" s="92"/>
      <c r="PS14" s="92"/>
      <c r="PT14" s="92"/>
      <c r="PU14" s="92"/>
      <c r="PV14" s="92"/>
      <c r="PW14" s="92"/>
      <c r="PX14" s="92"/>
      <c r="PY14" s="92"/>
      <c r="PZ14" s="92"/>
      <c r="QA14" s="92"/>
      <c r="QB14" s="92"/>
      <c r="QC14" s="92"/>
      <c r="QD14" s="92"/>
      <c r="QE14" s="92"/>
      <c r="QF14" s="92"/>
      <c r="QG14" s="92"/>
      <c r="QH14" s="92"/>
      <c r="QI14" s="92"/>
      <c r="QJ14" s="92"/>
      <c r="QK14" s="92"/>
      <c r="QL14" s="92"/>
      <c r="QM14" s="92"/>
      <c r="QN14" s="92"/>
      <c r="QO14" s="92"/>
    </row>
    <row r="15" spans="1:457" ht="15.75">
      <c r="A15" s="89">
        <v>13</v>
      </c>
      <c r="B15" s="219" t="s">
        <v>239</v>
      </c>
      <c r="C15" s="101" t="str">
        <f t="shared" si="2"/>
        <v>Rail transport</v>
      </c>
      <c r="D15" s="281">
        <f t="shared" si="13"/>
        <v>22.594715542521993</v>
      </c>
      <c r="E15" s="281">
        <f t="shared" si="13"/>
        <v>0</v>
      </c>
      <c r="F15" s="281">
        <f t="shared" si="13"/>
        <v>4.0153010737007111E-2</v>
      </c>
      <c r="G15" s="280">
        <f t="shared" si="7"/>
        <v>22.634868553259</v>
      </c>
      <c r="H15" s="94"/>
      <c r="I15" s="94"/>
      <c r="J15" s="94"/>
      <c r="K15" s="94"/>
      <c r="L15" s="94"/>
      <c r="M15" s="94"/>
      <c r="N15" s="94"/>
      <c r="O15" s="95"/>
      <c r="P15" s="95">
        <f t="shared" si="3"/>
        <v>22.634868553259</v>
      </c>
      <c r="Q15" s="92"/>
      <c r="R15" s="92"/>
      <c r="S15" s="92"/>
      <c r="T15" s="66" t="s">
        <v>207</v>
      </c>
      <c r="U15" s="139">
        <v>49110.353999999985</v>
      </c>
      <c r="V15" s="139">
        <v>7796.7201667973841</v>
      </c>
      <c r="W15" s="139">
        <v>77773.725999999981</v>
      </c>
      <c r="X15" s="139">
        <v>1856.8489999999999</v>
      </c>
      <c r="Y15" s="139">
        <v>8766.9586793796607</v>
      </c>
      <c r="Z15" s="139">
        <v>337.76800000000009</v>
      </c>
      <c r="AA15" s="139">
        <f t="shared" si="8"/>
        <v>50967.202999999987</v>
      </c>
      <c r="AB15" s="139">
        <f t="shared" si="9"/>
        <v>16563.678846177045</v>
      </c>
      <c r="AC15" s="139">
        <f t="shared" si="10"/>
        <v>78111.493999999977</v>
      </c>
      <c r="AD15" s="144">
        <f t="shared" si="11"/>
        <v>145642.37584617699</v>
      </c>
      <c r="AF15" s="145"/>
      <c r="AG15" s="145"/>
      <c r="AH15" s="145"/>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c r="IX15" s="92"/>
      <c r="IY15" s="92"/>
      <c r="IZ15" s="92"/>
      <c r="JA15" s="92"/>
      <c r="JB15" s="92"/>
      <c r="JC15" s="92"/>
      <c r="JD15" s="92"/>
      <c r="JE15" s="92"/>
      <c r="JF15" s="92"/>
      <c r="JG15" s="92"/>
      <c r="JH15" s="92"/>
      <c r="JI15" s="92"/>
      <c r="JJ15" s="92"/>
      <c r="JK15" s="92"/>
      <c r="JL15" s="92"/>
      <c r="JM15" s="92"/>
      <c r="JN15" s="92"/>
      <c r="JO15" s="92"/>
      <c r="JP15" s="92"/>
      <c r="JQ15" s="92"/>
      <c r="JR15" s="92"/>
      <c r="JS15" s="92"/>
      <c r="JT15" s="92"/>
      <c r="JU15" s="92"/>
      <c r="JV15" s="92"/>
      <c r="JW15" s="92"/>
      <c r="JX15" s="92"/>
      <c r="JY15" s="92"/>
      <c r="JZ15" s="92"/>
      <c r="KA15" s="92"/>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2"/>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2"/>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2"/>
      <c r="MY15" s="92"/>
      <c r="MZ15" s="92"/>
      <c r="NA15" s="92"/>
      <c r="NB15" s="92"/>
      <c r="NC15" s="92"/>
      <c r="ND15" s="92"/>
      <c r="NE15" s="92"/>
      <c r="NF15" s="92"/>
      <c r="NG15" s="92"/>
      <c r="NH15" s="92"/>
      <c r="NI15" s="92"/>
      <c r="NJ15" s="92"/>
      <c r="NK15" s="92"/>
      <c r="NL15" s="92"/>
      <c r="NM15" s="92"/>
      <c r="NN15" s="92"/>
      <c r="NO15" s="92"/>
      <c r="NP15" s="92"/>
      <c r="NQ15" s="92"/>
      <c r="NR15" s="92"/>
      <c r="NS15" s="92"/>
      <c r="NT15" s="92"/>
      <c r="NU15" s="92"/>
      <c r="NV15" s="92"/>
      <c r="NW15" s="92"/>
      <c r="NX15" s="92"/>
      <c r="NY15" s="92"/>
      <c r="NZ15" s="92"/>
      <c r="OA15" s="92"/>
      <c r="OB15" s="92"/>
      <c r="OC15" s="92"/>
      <c r="OD15" s="92"/>
      <c r="OE15" s="92"/>
      <c r="OF15" s="92"/>
      <c r="OG15" s="92"/>
      <c r="OH15" s="92"/>
      <c r="OI15" s="92"/>
      <c r="OJ15" s="92"/>
      <c r="OK15" s="92"/>
      <c r="OL15" s="92"/>
      <c r="OM15" s="92"/>
      <c r="ON15" s="92"/>
      <c r="OO15" s="92"/>
      <c r="OP15" s="92"/>
      <c r="OQ15" s="92"/>
      <c r="OR15" s="92"/>
      <c r="OS15" s="92"/>
      <c r="OT15" s="92"/>
      <c r="OU15" s="92"/>
      <c r="OV15" s="92"/>
      <c r="OW15" s="92"/>
      <c r="OX15" s="92"/>
      <c r="OY15" s="92"/>
      <c r="OZ15" s="92"/>
      <c r="PA15" s="92"/>
      <c r="PB15" s="92"/>
      <c r="PC15" s="92"/>
      <c r="PD15" s="92"/>
      <c r="PE15" s="92"/>
      <c r="PF15" s="92"/>
      <c r="PG15" s="92"/>
      <c r="PH15" s="92"/>
      <c r="PI15" s="92"/>
      <c r="PJ15" s="92"/>
      <c r="PK15" s="92"/>
      <c r="PL15" s="92"/>
      <c r="PM15" s="92"/>
      <c r="PN15" s="92"/>
      <c r="PO15" s="92"/>
      <c r="PP15" s="92"/>
      <c r="PQ15" s="92"/>
      <c r="PR15" s="92"/>
      <c r="PS15" s="92"/>
      <c r="PT15" s="92"/>
      <c r="PU15" s="92"/>
      <c r="PV15" s="92"/>
      <c r="PW15" s="92"/>
      <c r="PX15" s="92"/>
      <c r="PY15" s="92"/>
      <c r="PZ15" s="92"/>
      <c r="QA15" s="92"/>
      <c r="QB15" s="92"/>
      <c r="QC15" s="92"/>
      <c r="QD15" s="92"/>
      <c r="QE15" s="92"/>
      <c r="QF15" s="92"/>
      <c r="QG15" s="92"/>
      <c r="QH15" s="92"/>
      <c r="QI15" s="92"/>
      <c r="QJ15" s="92"/>
      <c r="QK15" s="92"/>
      <c r="QL15" s="92"/>
      <c r="QM15" s="92"/>
      <c r="QN15" s="92"/>
      <c r="QO15" s="92"/>
    </row>
    <row r="16" spans="1:457" ht="15.75">
      <c r="A16" s="89">
        <v>14</v>
      </c>
      <c r="B16" s="219" t="s">
        <v>239</v>
      </c>
      <c r="C16" s="101" t="str">
        <f t="shared" si="2"/>
        <v>Water transport</v>
      </c>
      <c r="D16" s="281">
        <f t="shared" si="13"/>
        <v>3.3668211143695017</v>
      </c>
      <c r="E16" s="281">
        <f t="shared" si="13"/>
        <v>3.2960522997821672E-2</v>
      </c>
      <c r="F16" s="281">
        <f t="shared" si="13"/>
        <v>0.1063159906469132</v>
      </c>
      <c r="G16" s="280">
        <f t="shared" si="7"/>
        <v>3.5060976280142366</v>
      </c>
      <c r="H16" s="94"/>
      <c r="I16" s="94"/>
      <c r="J16" s="94"/>
      <c r="K16" s="94"/>
      <c r="L16" s="94"/>
      <c r="M16" s="94"/>
      <c r="N16" s="94"/>
      <c r="O16" s="95"/>
      <c r="P16" s="95">
        <f t="shared" si="3"/>
        <v>3.5060976280142366</v>
      </c>
      <c r="Q16" s="92"/>
      <c r="R16" s="92"/>
      <c r="S16" s="92"/>
      <c r="T16" s="66" t="s">
        <v>208</v>
      </c>
      <c r="U16" s="139">
        <v>34208.651000000005</v>
      </c>
      <c r="V16" s="139">
        <v>8.2100000000000009</v>
      </c>
      <c r="W16" s="139">
        <v>728.29300000000001</v>
      </c>
      <c r="X16" s="139">
        <v>439.94299999999998</v>
      </c>
      <c r="Y16" s="139">
        <v>11.154</v>
      </c>
      <c r="Z16" s="139">
        <v>1.6950000000000001</v>
      </c>
      <c r="AA16" s="139">
        <f t="shared" si="8"/>
        <v>34648.594000000005</v>
      </c>
      <c r="AB16" s="139">
        <f t="shared" si="9"/>
        <v>19.364000000000001</v>
      </c>
      <c r="AC16" s="139">
        <f t="shared" si="10"/>
        <v>729.98800000000006</v>
      </c>
      <c r="AD16" s="144">
        <f t="shared" si="11"/>
        <v>35397.946000000004</v>
      </c>
      <c r="AF16" s="145"/>
      <c r="AG16" s="145"/>
      <c r="AH16" s="145"/>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c r="IX16" s="92"/>
      <c r="IY16" s="92"/>
      <c r="IZ16" s="92"/>
      <c r="JA16" s="92"/>
      <c r="JB16" s="92"/>
      <c r="JC16" s="92"/>
      <c r="JD16" s="92"/>
      <c r="JE16" s="92"/>
      <c r="JF16" s="92"/>
      <c r="JG16" s="92"/>
      <c r="JH16" s="92"/>
      <c r="JI16" s="92"/>
      <c r="JJ16" s="92"/>
      <c r="JK16" s="92"/>
      <c r="JL16" s="92"/>
      <c r="JM16" s="92"/>
      <c r="JN16" s="92"/>
      <c r="JO16" s="92"/>
      <c r="JP16" s="92"/>
      <c r="JQ16" s="92"/>
      <c r="JR16" s="92"/>
      <c r="JS16" s="92"/>
      <c r="JT16" s="92"/>
      <c r="JU16" s="92"/>
      <c r="JV16" s="92"/>
      <c r="JW16" s="92"/>
      <c r="JX16" s="92"/>
      <c r="JY16" s="92"/>
      <c r="JZ16" s="92"/>
      <c r="KA16" s="92"/>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2"/>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2"/>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2"/>
      <c r="MY16" s="92"/>
      <c r="MZ16" s="92"/>
      <c r="NA16" s="92"/>
      <c r="NB16" s="92"/>
      <c r="NC16" s="92"/>
      <c r="ND16" s="92"/>
      <c r="NE16" s="92"/>
      <c r="NF16" s="92"/>
      <c r="NG16" s="92"/>
      <c r="NH16" s="92"/>
      <c r="NI16" s="92"/>
      <c r="NJ16" s="92"/>
      <c r="NK16" s="92"/>
      <c r="NL16" s="92"/>
      <c r="NM16" s="92"/>
      <c r="NN16" s="92"/>
      <c r="NO16" s="92"/>
      <c r="NP16" s="92"/>
      <c r="NQ16" s="92"/>
      <c r="NR16" s="92"/>
      <c r="NS16" s="92"/>
      <c r="NT16" s="92"/>
      <c r="NU16" s="92"/>
      <c r="NV16" s="92"/>
      <c r="NW16" s="92"/>
      <c r="NX16" s="92"/>
      <c r="NY16" s="92"/>
      <c r="NZ16" s="92"/>
      <c r="OA16" s="92"/>
      <c r="OB16" s="92"/>
      <c r="OC16" s="92"/>
      <c r="OD16" s="92"/>
      <c r="OE16" s="92"/>
      <c r="OF16" s="92"/>
      <c r="OG16" s="92"/>
      <c r="OH16" s="92"/>
      <c r="OI16" s="92"/>
      <c r="OJ16" s="92"/>
      <c r="OK16" s="92"/>
      <c r="OL16" s="92"/>
      <c r="OM16" s="92"/>
      <c r="ON16" s="92"/>
      <c r="OO16" s="92"/>
      <c r="OP16" s="92"/>
      <c r="OQ16" s="92"/>
      <c r="OR16" s="92"/>
      <c r="OS16" s="92"/>
      <c r="OT16" s="92"/>
      <c r="OU16" s="92"/>
      <c r="OV16" s="92"/>
      <c r="OW16" s="92"/>
      <c r="OX16" s="92"/>
      <c r="OY16" s="92"/>
      <c r="OZ16" s="92"/>
      <c r="PA16" s="92"/>
      <c r="PB16" s="92"/>
      <c r="PC16" s="92"/>
      <c r="PD16" s="92"/>
      <c r="PE16" s="92"/>
      <c r="PF16" s="92"/>
      <c r="PG16" s="92"/>
      <c r="PH16" s="92"/>
      <c r="PI16" s="92"/>
      <c r="PJ16" s="92"/>
      <c r="PK16" s="92"/>
      <c r="PL16" s="92"/>
      <c r="PM16" s="92"/>
      <c r="PN16" s="92"/>
      <c r="PO16" s="92"/>
      <c r="PP16" s="92"/>
      <c r="PQ16" s="92"/>
      <c r="PR16" s="92"/>
      <c r="PS16" s="92"/>
      <c r="PT16" s="92"/>
      <c r="PU16" s="92"/>
      <c r="PV16" s="92"/>
      <c r="PW16" s="92"/>
      <c r="PX16" s="92"/>
      <c r="PY16" s="92"/>
      <c r="PZ16" s="92"/>
      <c r="QA16" s="92"/>
      <c r="QB16" s="92"/>
      <c r="QC16" s="92"/>
      <c r="QD16" s="92"/>
      <c r="QE16" s="92"/>
      <c r="QF16" s="92"/>
      <c r="QG16" s="92"/>
      <c r="QH16" s="92"/>
      <c r="QI16" s="92"/>
      <c r="QJ16" s="92"/>
      <c r="QK16" s="92"/>
      <c r="QL16" s="92"/>
      <c r="QM16" s="92"/>
      <c r="QN16" s="92"/>
      <c r="QO16" s="92"/>
    </row>
    <row r="17" spans="1:457" ht="15.75">
      <c r="A17" s="89">
        <v>15</v>
      </c>
      <c r="B17" s="219" t="s">
        <v>239</v>
      </c>
      <c r="C17" s="101" t="str">
        <f t="shared" si="2"/>
        <v>Freight transport by road</v>
      </c>
      <c r="D17" s="281">
        <f>AA19/U$90</f>
        <v>308.18438709677423</v>
      </c>
      <c r="E17" s="281">
        <f t="shared" si="13"/>
        <v>0.52258738804900151</v>
      </c>
      <c r="F17" s="281">
        <f t="shared" si="13"/>
        <v>1.3671630586621295</v>
      </c>
      <c r="G17" s="280">
        <f t="shared" si="7"/>
        <v>310.07413754348534</v>
      </c>
      <c r="H17" s="94"/>
      <c r="I17" s="94"/>
      <c r="J17" s="94"/>
      <c r="K17" s="94"/>
      <c r="L17" s="94"/>
      <c r="M17" s="94"/>
      <c r="N17" s="94"/>
      <c r="O17" s="95"/>
      <c r="P17" s="95">
        <f t="shared" si="3"/>
        <v>310.07413754348534</v>
      </c>
      <c r="Q17" s="92"/>
      <c r="R17" s="92"/>
      <c r="S17" s="92"/>
      <c r="T17" s="66" t="s">
        <v>209</v>
      </c>
      <c r="U17" s="139">
        <v>7607.076</v>
      </c>
      <c r="V17" s="139">
        <v>0</v>
      </c>
      <c r="W17" s="139">
        <v>39.372</v>
      </c>
      <c r="X17" s="139">
        <v>97.722000000000008</v>
      </c>
      <c r="Y17" s="139">
        <v>0</v>
      </c>
      <c r="Z17" s="139">
        <v>9.1000000000000011E-2</v>
      </c>
      <c r="AA17" s="139">
        <f t="shared" si="8"/>
        <v>7704.7979999999998</v>
      </c>
      <c r="AB17" s="139">
        <f t="shared" si="9"/>
        <v>0</v>
      </c>
      <c r="AC17" s="139">
        <f t="shared" si="10"/>
        <v>39.463000000000001</v>
      </c>
      <c r="AD17" s="144">
        <f t="shared" si="11"/>
        <v>7744.2609999999995</v>
      </c>
      <c r="AF17" s="145"/>
      <c r="AG17" s="145"/>
      <c r="AH17" s="145"/>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c r="IX17" s="92"/>
      <c r="IY17" s="92"/>
      <c r="IZ17" s="92"/>
      <c r="JA17" s="92"/>
      <c r="JB17" s="92"/>
      <c r="JC17" s="92"/>
      <c r="JD17" s="92"/>
      <c r="JE17" s="92"/>
      <c r="JF17" s="92"/>
      <c r="JG17" s="92"/>
      <c r="JH17" s="92"/>
      <c r="JI17" s="92"/>
      <c r="JJ17" s="92"/>
      <c r="JK17" s="92"/>
      <c r="JL17" s="92"/>
      <c r="JM17" s="92"/>
      <c r="JN17" s="92"/>
      <c r="JO17" s="92"/>
      <c r="JP17" s="92"/>
      <c r="JQ17" s="92"/>
      <c r="JR17" s="92"/>
      <c r="JS17" s="92"/>
      <c r="JT17" s="92"/>
      <c r="JU17" s="92"/>
      <c r="JV17" s="92"/>
      <c r="JW17" s="92"/>
      <c r="JX17" s="92"/>
      <c r="JY17" s="92"/>
      <c r="JZ17" s="92"/>
      <c r="KA17" s="92"/>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2"/>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2"/>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2"/>
      <c r="MY17" s="92"/>
      <c r="MZ17" s="92"/>
      <c r="NA17" s="92"/>
      <c r="NB17" s="92"/>
      <c r="NC17" s="92"/>
      <c r="ND17" s="92"/>
      <c r="NE17" s="92"/>
      <c r="NF17" s="92"/>
      <c r="NG17" s="92"/>
      <c r="NH17" s="92"/>
      <c r="NI17" s="92"/>
      <c r="NJ17" s="92"/>
      <c r="NK17" s="92"/>
      <c r="NL17" s="92"/>
      <c r="NM17" s="92"/>
      <c r="NN17" s="92"/>
      <c r="NO17" s="92"/>
      <c r="NP17" s="92"/>
      <c r="NQ17" s="92"/>
      <c r="NR17" s="92"/>
      <c r="NS17" s="92"/>
      <c r="NT17" s="92"/>
      <c r="NU17" s="92"/>
      <c r="NV17" s="92"/>
      <c r="NW17" s="92"/>
      <c r="NX17" s="92"/>
      <c r="NY17" s="92"/>
      <c r="NZ17" s="92"/>
      <c r="OA17" s="92"/>
      <c r="OB17" s="92"/>
      <c r="OC17" s="92"/>
      <c r="OD17" s="92"/>
      <c r="OE17" s="92"/>
      <c r="OF17" s="92"/>
      <c r="OG17" s="92"/>
      <c r="OH17" s="92"/>
      <c r="OI17" s="92"/>
      <c r="OJ17" s="92"/>
      <c r="OK17" s="92"/>
      <c r="OL17" s="92"/>
      <c r="OM17" s="92"/>
      <c r="ON17" s="92"/>
      <c r="OO17" s="92"/>
      <c r="OP17" s="92"/>
      <c r="OQ17" s="92"/>
      <c r="OR17" s="92"/>
      <c r="OS17" s="92"/>
      <c r="OT17" s="92"/>
      <c r="OU17" s="92"/>
      <c r="OV17" s="92"/>
      <c r="OW17" s="92"/>
      <c r="OX17" s="92"/>
      <c r="OY17" s="92"/>
      <c r="OZ17" s="92"/>
      <c r="PA17" s="92"/>
      <c r="PB17" s="92"/>
      <c r="PC17" s="92"/>
      <c r="PD17" s="92"/>
      <c r="PE17" s="92"/>
      <c r="PF17" s="92"/>
      <c r="PG17" s="92"/>
      <c r="PH17" s="92"/>
      <c r="PI17" s="92"/>
      <c r="PJ17" s="92"/>
      <c r="PK17" s="92"/>
      <c r="PL17" s="92"/>
      <c r="PM17" s="92"/>
      <c r="PN17" s="92"/>
      <c r="PO17" s="92"/>
      <c r="PP17" s="92"/>
      <c r="PQ17" s="92"/>
      <c r="PR17" s="92"/>
      <c r="PS17" s="92"/>
      <c r="PT17" s="92"/>
      <c r="PU17" s="92"/>
      <c r="PV17" s="92"/>
      <c r="PW17" s="92"/>
      <c r="PX17" s="92"/>
      <c r="PY17" s="92"/>
      <c r="PZ17" s="92"/>
      <c r="QA17" s="92"/>
      <c r="QB17" s="92"/>
      <c r="QC17" s="92"/>
      <c r="QD17" s="92"/>
      <c r="QE17" s="92"/>
      <c r="QF17" s="92"/>
      <c r="QG17" s="92"/>
      <c r="QH17" s="92"/>
      <c r="QI17" s="92"/>
      <c r="QJ17" s="92"/>
      <c r="QK17" s="92"/>
      <c r="QL17" s="92"/>
      <c r="QM17" s="92"/>
      <c r="QN17" s="92"/>
      <c r="QO17" s="92"/>
    </row>
    <row r="18" spans="1:457" ht="15.75">
      <c r="A18" s="89">
        <v>16</v>
      </c>
      <c r="B18" s="276" t="s">
        <v>239</v>
      </c>
      <c r="C18" s="101" t="str">
        <f t="shared" si="2"/>
        <v>Passager transport by road</v>
      </c>
      <c r="D18" s="281">
        <f t="shared" si="13"/>
        <v>363.61279472140757</v>
      </c>
      <c r="E18" s="281">
        <f t="shared" si="13"/>
        <v>0.72694061264429211</v>
      </c>
      <c r="F18" s="281">
        <f t="shared" si="13"/>
        <v>1.7528722916954871</v>
      </c>
      <c r="G18" s="280">
        <f t="shared" si="7"/>
        <v>366.09260762574735</v>
      </c>
      <c r="H18" s="94"/>
      <c r="I18" s="94"/>
      <c r="J18" s="94"/>
      <c r="K18" s="94"/>
      <c r="L18" s="94"/>
      <c r="M18" s="94"/>
      <c r="N18" s="94"/>
      <c r="O18" s="95"/>
      <c r="P18" s="95">
        <f t="shared" si="3"/>
        <v>366.09260762574735</v>
      </c>
      <c r="Q18" s="92"/>
      <c r="R18" s="92"/>
      <c r="S18" s="92"/>
      <c r="T18" s="66" t="s">
        <v>210</v>
      </c>
      <c r="U18" s="139">
        <v>1141.748</v>
      </c>
      <c r="V18" s="139">
        <v>3.1160000000000001</v>
      </c>
      <c r="W18" s="139">
        <v>104.24799999999999</v>
      </c>
      <c r="X18" s="139">
        <v>6.3380000000000001</v>
      </c>
      <c r="Y18" s="139">
        <v>4.234</v>
      </c>
      <c r="Z18" s="139">
        <v>0.24099999999999999</v>
      </c>
      <c r="AA18" s="139">
        <f t="shared" si="8"/>
        <v>1148.086</v>
      </c>
      <c r="AB18" s="139">
        <f t="shared" si="9"/>
        <v>7.35</v>
      </c>
      <c r="AC18" s="139">
        <f t="shared" si="10"/>
        <v>104.48899999999999</v>
      </c>
      <c r="AD18" s="144">
        <f t="shared" si="11"/>
        <v>1259.925</v>
      </c>
      <c r="AF18" s="145"/>
      <c r="AG18" s="145"/>
      <c r="AH18" s="145"/>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2"/>
      <c r="MY18" s="92"/>
      <c r="MZ18" s="92"/>
      <c r="NA18" s="92"/>
      <c r="NB18" s="92"/>
      <c r="NC18" s="92"/>
      <c r="ND18" s="92"/>
      <c r="NE18" s="92"/>
      <c r="NF18" s="92"/>
      <c r="NG18" s="92"/>
      <c r="NH18" s="92"/>
      <c r="NI18" s="92"/>
      <c r="NJ18" s="92"/>
      <c r="NK18" s="92"/>
      <c r="NL18" s="92"/>
      <c r="NM18" s="92"/>
      <c r="NN18" s="92"/>
      <c r="NO18" s="92"/>
      <c r="NP18" s="92"/>
      <c r="NQ18" s="92"/>
      <c r="NR18" s="92"/>
      <c r="NS18" s="92"/>
      <c r="NT18" s="92"/>
      <c r="NU18" s="92"/>
      <c r="NV18" s="92"/>
      <c r="NW18" s="92"/>
      <c r="NX18" s="92"/>
      <c r="NY18" s="92"/>
      <c r="NZ18" s="92"/>
      <c r="OA18" s="92"/>
      <c r="OB18" s="92"/>
      <c r="OC18" s="92"/>
      <c r="OD18" s="92"/>
      <c r="OE18" s="92"/>
      <c r="OF18" s="92"/>
      <c r="OG18" s="92"/>
      <c r="OH18" s="92"/>
      <c r="OI18" s="92"/>
      <c r="OJ18" s="92"/>
      <c r="OK18" s="92"/>
      <c r="OL18" s="92"/>
      <c r="OM18" s="92"/>
      <c r="ON18" s="92"/>
      <c r="OO18" s="92"/>
      <c r="OP18" s="92"/>
      <c r="OQ18" s="92"/>
      <c r="OR18" s="92"/>
      <c r="OS18" s="92"/>
      <c r="OT18" s="92"/>
      <c r="OU18" s="92"/>
      <c r="OV18" s="92"/>
      <c r="OW18" s="92"/>
      <c r="OX18" s="92"/>
      <c r="OY18" s="92"/>
      <c r="OZ18" s="92"/>
      <c r="PA18" s="92"/>
      <c r="PB18" s="92"/>
      <c r="PC18" s="92"/>
      <c r="PD18" s="92"/>
      <c r="PE18" s="92"/>
      <c r="PF18" s="92"/>
      <c r="PG18" s="92"/>
      <c r="PH18" s="92"/>
      <c r="PI18" s="92"/>
      <c r="PJ18" s="92"/>
      <c r="PK18" s="92"/>
      <c r="PL18" s="92"/>
      <c r="PM18" s="92"/>
      <c r="PN18" s="92"/>
      <c r="PO18" s="92"/>
      <c r="PP18" s="92"/>
      <c r="PQ18" s="92"/>
      <c r="PR18" s="92"/>
      <c r="PS18" s="92"/>
      <c r="PT18" s="92"/>
      <c r="PU18" s="92"/>
      <c r="PV18" s="92"/>
      <c r="PW18" s="92"/>
      <c r="PX18" s="92"/>
      <c r="PY18" s="92"/>
      <c r="PZ18" s="92"/>
      <c r="QA18" s="92"/>
      <c r="QB18" s="92"/>
      <c r="QC18" s="92"/>
      <c r="QD18" s="92"/>
      <c r="QE18" s="92"/>
      <c r="QF18" s="92"/>
      <c r="QG18" s="92"/>
      <c r="QH18" s="92"/>
      <c r="QI18" s="92"/>
      <c r="QJ18" s="92"/>
      <c r="QK18" s="92"/>
      <c r="QL18" s="92"/>
      <c r="QM18" s="92"/>
      <c r="QN18" s="92"/>
      <c r="QO18" s="92"/>
    </row>
    <row r="19" spans="1:457" ht="15.75">
      <c r="A19" s="89">
        <v>17</v>
      </c>
      <c r="B19" s="219" t="s">
        <v>239</v>
      </c>
      <c r="C19" s="101" t="str">
        <f t="shared" si="2"/>
        <v>Other transports</v>
      </c>
      <c r="D19" s="281">
        <f t="shared" si="13"/>
        <v>1.8287243401759528</v>
      </c>
      <c r="E19" s="281">
        <f t="shared" si="13"/>
        <v>1.9288228992831384E-2</v>
      </c>
      <c r="F19" s="281">
        <f t="shared" si="13"/>
        <v>0.1722011971505602</v>
      </c>
      <c r="G19" s="280">
        <f t="shared" si="7"/>
        <v>2.0202137663193445</v>
      </c>
      <c r="H19" s="94"/>
      <c r="I19" s="94"/>
      <c r="J19" s="94"/>
      <c r="K19" s="94"/>
      <c r="L19" s="94"/>
      <c r="M19" s="94"/>
      <c r="N19" s="94"/>
      <c r="O19" s="95"/>
      <c r="P19" s="95">
        <f t="shared" si="3"/>
        <v>2.0202137663193445</v>
      </c>
      <c r="Q19" s="92"/>
      <c r="R19" s="92"/>
      <c r="S19" s="92"/>
      <c r="T19" s="66" t="s">
        <v>211</v>
      </c>
      <c r="U19" s="139">
        <v>62477.72</v>
      </c>
      <c r="V19" s="139">
        <v>49.407039999999995</v>
      </c>
      <c r="W19" s="139">
        <v>1340.5</v>
      </c>
      <c r="X19" s="139">
        <v>42613.156000000003</v>
      </c>
      <c r="Y19" s="139">
        <v>67.126829999999998</v>
      </c>
      <c r="Z19" s="139">
        <v>3.169</v>
      </c>
      <c r="AA19" s="139">
        <f t="shared" si="8"/>
        <v>105090.876</v>
      </c>
      <c r="AB19" s="139">
        <f t="shared" si="9"/>
        <v>116.53386999999999</v>
      </c>
      <c r="AC19" s="139">
        <f t="shared" si="10"/>
        <v>1343.6690000000001</v>
      </c>
      <c r="AD19" s="144">
        <f t="shared" si="11"/>
        <v>106551.07887</v>
      </c>
      <c r="AF19" s="145"/>
      <c r="AG19" s="145"/>
      <c r="AH19" s="145"/>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c r="IW19" s="92"/>
      <c r="IX19" s="92"/>
      <c r="IY19" s="92"/>
      <c r="IZ19" s="92"/>
      <c r="JA19" s="92"/>
      <c r="JB19" s="92"/>
      <c r="JC19" s="92"/>
      <c r="JD19" s="92"/>
      <c r="JE19" s="92"/>
      <c r="JF19" s="92"/>
      <c r="JG19" s="92"/>
      <c r="JH19" s="92"/>
      <c r="JI19" s="92"/>
      <c r="JJ19" s="92"/>
      <c r="JK19" s="92"/>
      <c r="JL19" s="92"/>
      <c r="JM19" s="92"/>
      <c r="JN19" s="92"/>
      <c r="JO19" s="92"/>
      <c r="JP19" s="92"/>
      <c r="JQ19" s="92"/>
      <c r="JR19" s="92"/>
      <c r="JS19" s="92"/>
      <c r="JT19" s="92"/>
      <c r="JU19" s="92"/>
      <c r="JV19" s="92"/>
      <c r="JW19" s="92"/>
      <c r="JX19" s="92"/>
      <c r="JY19" s="92"/>
      <c r="JZ19" s="92"/>
      <c r="KA19" s="92"/>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2"/>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2"/>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2"/>
      <c r="MY19" s="92"/>
      <c r="MZ19" s="92"/>
      <c r="NA19" s="92"/>
      <c r="NB19" s="92"/>
      <c r="NC19" s="92"/>
      <c r="ND19" s="92"/>
      <c r="NE19" s="92"/>
      <c r="NF19" s="92"/>
      <c r="NG19" s="92"/>
      <c r="NH19" s="92"/>
      <c r="NI19" s="92"/>
      <c r="NJ19" s="92"/>
      <c r="NK19" s="92"/>
      <c r="NL19" s="92"/>
      <c r="NM19" s="92"/>
      <c r="NN19" s="92"/>
      <c r="NO19" s="92"/>
      <c r="NP19" s="92"/>
      <c r="NQ19" s="92"/>
      <c r="NR19" s="92"/>
      <c r="NS19" s="92"/>
      <c r="NT19" s="92"/>
      <c r="NU19" s="92"/>
      <c r="NV19" s="92"/>
      <c r="NW19" s="92"/>
      <c r="NX19" s="92"/>
      <c r="NY19" s="92"/>
      <c r="NZ19" s="92"/>
      <c r="OA19" s="92"/>
      <c r="OB19" s="92"/>
      <c r="OC19" s="92"/>
      <c r="OD19" s="92"/>
      <c r="OE19" s="92"/>
      <c r="OF19" s="92"/>
      <c r="OG19" s="92"/>
      <c r="OH19" s="92"/>
      <c r="OI19" s="92"/>
      <c r="OJ19" s="92"/>
      <c r="OK19" s="92"/>
      <c r="OL19" s="92"/>
      <c r="OM19" s="92"/>
      <c r="ON19" s="92"/>
      <c r="OO19" s="92"/>
      <c r="OP19" s="92"/>
      <c r="OQ19" s="92"/>
      <c r="OR19" s="92"/>
      <c r="OS19" s="92"/>
      <c r="OT19" s="92"/>
      <c r="OU19" s="92"/>
      <c r="OV19" s="92"/>
      <c r="OW19" s="92"/>
      <c r="OX19" s="92"/>
      <c r="OY19" s="92"/>
      <c r="OZ19" s="92"/>
      <c r="PA19" s="92"/>
      <c r="PB19" s="92"/>
      <c r="PC19" s="92"/>
      <c r="PD19" s="92"/>
      <c r="PE19" s="92"/>
      <c r="PF19" s="92"/>
      <c r="PG19" s="92"/>
      <c r="PH19" s="92"/>
      <c r="PI19" s="92"/>
      <c r="PJ19" s="92"/>
      <c r="PK19" s="92"/>
      <c r="PL19" s="92"/>
      <c r="PM19" s="92"/>
      <c r="PN19" s="92"/>
      <c r="PO19" s="92"/>
      <c r="PP19" s="92"/>
      <c r="PQ19" s="92"/>
      <c r="PR19" s="92"/>
      <c r="PS19" s="92"/>
      <c r="PT19" s="92"/>
      <c r="PU19" s="92"/>
      <c r="PV19" s="92"/>
      <c r="PW19" s="92"/>
      <c r="PX19" s="92"/>
      <c r="PY19" s="92"/>
      <c r="PZ19" s="92"/>
      <c r="QA19" s="92"/>
      <c r="QB19" s="92"/>
      <c r="QC19" s="92"/>
      <c r="QD19" s="92"/>
      <c r="QE19" s="92"/>
      <c r="QF19" s="92"/>
      <c r="QG19" s="92"/>
      <c r="QH19" s="92"/>
      <c r="QI19" s="92"/>
      <c r="QJ19" s="92"/>
      <c r="QK19" s="92"/>
      <c r="QL19" s="92"/>
      <c r="QM19" s="92"/>
      <c r="QN19" s="92"/>
      <c r="QO19" s="92"/>
    </row>
    <row r="20" spans="1:457" ht="15.75">
      <c r="A20" s="89">
        <v>18</v>
      </c>
      <c r="B20" s="219" t="s">
        <v>270</v>
      </c>
      <c r="C20" s="101" t="str">
        <f t="shared" si="2"/>
        <v>Business services</v>
      </c>
      <c r="D20" s="279">
        <f t="shared" ref="D20:F21" si="14">AA22/U91</f>
        <v>69.427136802081847</v>
      </c>
      <c r="E20" s="279">
        <f t="shared" si="14"/>
        <v>11.097</v>
      </c>
      <c r="F20" s="279">
        <f t="shared" si="14"/>
        <v>50.080999638307667</v>
      </c>
      <c r="G20" s="280">
        <f t="shared" si="7"/>
        <v>130.60513644038951</v>
      </c>
      <c r="H20" s="94"/>
      <c r="I20" s="94"/>
      <c r="J20" s="94"/>
      <c r="K20" s="94"/>
      <c r="L20" s="94">
        <f>'AggrStep1-energy'!L71</f>
        <v>2.819</v>
      </c>
      <c r="M20" s="94"/>
      <c r="N20" s="94"/>
      <c r="O20" s="95"/>
      <c r="P20" s="95">
        <f t="shared" si="3"/>
        <v>133.4241364403895</v>
      </c>
      <c r="Q20" s="92"/>
      <c r="R20" s="92"/>
      <c r="S20" s="92"/>
      <c r="T20" s="66" t="s">
        <v>212</v>
      </c>
      <c r="U20" s="139">
        <v>120540.09299999999</v>
      </c>
      <c r="V20" s="139">
        <v>68.727239999999995</v>
      </c>
      <c r="W20" s="139">
        <v>1718.752</v>
      </c>
      <c r="X20" s="139">
        <v>3451.8700000000003</v>
      </c>
      <c r="Y20" s="139">
        <v>93.376180000000019</v>
      </c>
      <c r="Z20" s="139">
        <v>3.9979999999999998</v>
      </c>
      <c r="AA20" s="139">
        <f t="shared" si="8"/>
        <v>123991.96299999999</v>
      </c>
      <c r="AB20" s="139">
        <f t="shared" si="9"/>
        <v>162.10342000000003</v>
      </c>
      <c r="AC20" s="139">
        <f t="shared" si="10"/>
        <v>1722.75</v>
      </c>
      <c r="AD20" s="144">
        <f t="shared" si="11"/>
        <v>125876.81641999999</v>
      </c>
      <c r="AF20" s="145"/>
      <c r="AG20" s="145"/>
      <c r="AH20" s="145"/>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c r="IW20" s="92"/>
      <c r="IX20" s="92"/>
      <c r="IY20" s="92"/>
      <c r="IZ20" s="92"/>
      <c r="JA20" s="92"/>
      <c r="JB20" s="92"/>
      <c r="JC20" s="92"/>
      <c r="JD20" s="92"/>
      <c r="JE20" s="92"/>
      <c r="JF20" s="92"/>
      <c r="JG20" s="92"/>
      <c r="JH20" s="92"/>
      <c r="JI20" s="92"/>
      <c r="JJ20" s="92"/>
      <c r="JK20" s="92"/>
      <c r="JL20" s="92"/>
      <c r="JM20" s="92"/>
      <c r="JN20" s="92"/>
      <c r="JO20" s="92"/>
      <c r="JP20" s="92"/>
      <c r="JQ20" s="92"/>
      <c r="JR20" s="92"/>
      <c r="JS20" s="92"/>
      <c r="JT20" s="92"/>
      <c r="JU20" s="92"/>
      <c r="JV20" s="92"/>
      <c r="JW20" s="92"/>
      <c r="JX20" s="92"/>
      <c r="JY20" s="92"/>
      <c r="JZ20" s="92"/>
      <c r="KA20" s="92"/>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2"/>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2"/>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2"/>
      <c r="MY20" s="92"/>
      <c r="MZ20" s="92"/>
      <c r="NA20" s="92"/>
      <c r="NB20" s="92"/>
      <c r="NC20" s="92"/>
      <c r="ND20" s="92"/>
      <c r="NE20" s="92"/>
      <c r="NF20" s="92"/>
      <c r="NG20" s="92"/>
      <c r="NH20" s="92"/>
      <c r="NI20" s="92"/>
      <c r="NJ20" s="92"/>
      <c r="NK20" s="92"/>
      <c r="NL20" s="92"/>
      <c r="NM20" s="92"/>
      <c r="NN20" s="92"/>
      <c r="NO20" s="92"/>
      <c r="NP20" s="92"/>
      <c r="NQ20" s="92"/>
      <c r="NR20" s="92"/>
      <c r="NS20" s="92"/>
      <c r="NT20" s="92"/>
      <c r="NU20" s="92"/>
      <c r="NV20" s="92"/>
      <c r="NW20" s="92"/>
      <c r="NX20" s="92"/>
      <c r="NY20" s="92"/>
      <c r="NZ20" s="92"/>
      <c r="OA20" s="92"/>
      <c r="OB20" s="92"/>
      <c r="OC20" s="92"/>
      <c r="OD20" s="92"/>
      <c r="OE20" s="92"/>
      <c r="OF20" s="92"/>
      <c r="OG20" s="92"/>
      <c r="OH20" s="92"/>
      <c r="OI20" s="92"/>
      <c r="OJ20" s="92"/>
      <c r="OK20" s="92"/>
      <c r="OL20" s="92"/>
      <c r="OM20" s="92"/>
      <c r="ON20" s="92"/>
      <c r="OO20" s="92"/>
      <c r="OP20" s="92"/>
      <c r="OQ20" s="92"/>
      <c r="OR20" s="92"/>
      <c r="OS20" s="92"/>
      <c r="OT20" s="92"/>
      <c r="OU20" s="92"/>
      <c r="OV20" s="92"/>
      <c r="OW20" s="92"/>
      <c r="OX20" s="92"/>
      <c r="OY20" s="92"/>
      <c r="OZ20" s="92"/>
      <c r="PA20" s="92"/>
      <c r="PB20" s="92"/>
      <c r="PC20" s="92"/>
      <c r="PD20" s="92"/>
      <c r="PE20" s="92"/>
      <c r="PF20" s="92"/>
      <c r="PG20" s="92"/>
      <c r="PH20" s="92"/>
      <c r="PI20" s="92"/>
      <c r="PJ20" s="92"/>
      <c r="PK20" s="92"/>
      <c r="PL20" s="92"/>
      <c r="PM20" s="92"/>
      <c r="PN20" s="92"/>
      <c r="PO20" s="92"/>
      <c r="PP20" s="92"/>
      <c r="PQ20" s="92"/>
      <c r="PR20" s="92"/>
      <c r="PS20" s="92"/>
      <c r="PT20" s="92"/>
      <c r="PU20" s="92"/>
      <c r="PV20" s="92"/>
      <c r="PW20" s="92"/>
      <c r="PX20" s="92"/>
      <c r="PY20" s="92"/>
      <c r="PZ20" s="92"/>
      <c r="QA20" s="92"/>
      <c r="QB20" s="92"/>
      <c r="QC20" s="92"/>
      <c r="QD20" s="92"/>
      <c r="QE20" s="92"/>
      <c r="QF20" s="92"/>
      <c r="QG20" s="92"/>
      <c r="QH20" s="92"/>
      <c r="QI20" s="92"/>
      <c r="QJ20" s="92"/>
      <c r="QK20" s="92"/>
      <c r="QL20" s="92"/>
      <c r="QM20" s="92"/>
      <c r="QN20" s="92"/>
      <c r="QO20" s="92"/>
    </row>
    <row r="21" spans="1:457" ht="15.75">
      <c r="A21" s="89">
        <v>19</v>
      </c>
      <c r="B21" s="89" t="s">
        <v>270</v>
      </c>
      <c r="C21" s="101" t="str">
        <f t="shared" si="2"/>
        <v>Public services</v>
      </c>
      <c r="D21" s="279">
        <f t="shared" si="14"/>
        <v>25.010031468531466</v>
      </c>
      <c r="E21" s="279">
        <f t="shared" si="14"/>
        <v>0</v>
      </c>
      <c r="F21" s="279">
        <f t="shared" si="14"/>
        <v>33.427</v>
      </c>
      <c r="G21" s="280">
        <f t="shared" si="7"/>
        <v>58.437031468531465</v>
      </c>
      <c r="H21" s="94"/>
      <c r="I21" s="94"/>
      <c r="J21" s="94"/>
      <c r="K21" s="94"/>
      <c r="L21" s="94"/>
      <c r="M21" s="94"/>
      <c r="N21" s="94"/>
      <c r="O21" s="95"/>
      <c r="P21" s="95">
        <f t="shared" si="3"/>
        <v>58.437031468531465</v>
      </c>
      <c r="Q21" s="92"/>
      <c r="R21" s="92"/>
      <c r="S21" s="92"/>
      <c r="T21" s="66" t="s">
        <v>213</v>
      </c>
      <c r="U21" s="139">
        <v>603.56499999999994</v>
      </c>
      <c r="V21" s="139">
        <v>2.7269700000000001</v>
      </c>
      <c r="W21" s="139">
        <v>168.89699999999999</v>
      </c>
      <c r="X21" s="139">
        <v>20.029999999999998</v>
      </c>
      <c r="Y21" s="139">
        <v>1.57419</v>
      </c>
      <c r="Z21" s="139">
        <v>0.34499999999999997</v>
      </c>
      <c r="AA21" s="139">
        <f t="shared" si="8"/>
        <v>623.59499999999991</v>
      </c>
      <c r="AB21" s="139">
        <f t="shared" si="9"/>
        <v>4.3011600000000003</v>
      </c>
      <c r="AC21" s="139">
        <f t="shared" si="10"/>
        <v>169.24199999999999</v>
      </c>
      <c r="AD21" s="144">
        <f t="shared" si="11"/>
        <v>797.13815999999986</v>
      </c>
      <c r="AF21" s="145"/>
      <c r="AG21" s="145"/>
      <c r="AH21" s="145"/>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c r="IX21" s="92"/>
      <c r="IY21" s="92"/>
      <c r="IZ21" s="92"/>
      <c r="JA21" s="92"/>
      <c r="JB21" s="92"/>
      <c r="JC21" s="92"/>
      <c r="JD21" s="92"/>
      <c r="JE21" s="92"/>
      <c r="JF21" s="92"/>
      <c r="JG21" s="92"/>
      <c r="JH21" s="92"/>
      <c r="JI21" s="92"/>
      <c r="JJ21" s="92"/>
      <c r="JK21" s="92"/>
      <c r="JL21" s="92"/>
      <c r="JM21" s="92"/>
      <c r="JN21" s="92"/>
      <c r="JO21" s="92"/>
      <c r="JP21" s="92"/>
      <c r="JQ21" s="92"/>
      <c r="JR21" s="92"/>
      <c r="JS21" s="92"/>
      <c r="JT21" s="92"/>
      <c r="JU21" s="92"/>
      <c r="JV21" s="92"/>
      <c r="JW21" s="92"/>
      <c r="JX21" s="92"/>
      <c r="JY21" s="92"/>
      <c r="JZ21" s="92"/>
      <c r="KA21" s="92"/>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2"/>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2"/>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2"/>
      <c r="MY21" s="92"/>
      <c r="MZ21" s="92"/>
      <c r="NA21" s="92"/>
      <c r="NB21" s="92"/>
      <c r="NC21" s="92"/>
      <c r="ND21" s="92"/>
      <c r="NE21" s="92"/>
      <c r="NF21" s="92"/>
      <c r="NG21" s="92"/>
      <c r="NH21" s="92"/>
      <c r="NI21" s="92"/>
      <c r="NJ21" s="92"/>
      <c r="NK21" s="92"/>
      <c r="NL21" s="92"/>
      <c r="NM21" s="92"/>
      <c r="NN21" s="92"/>
      <c r="NO21" s="92"/>
      <c r="NP21" s="92"/>
      <c r="NQ21" s="92"/>
      <c r="NR21" s="92"/>
      <c r="NS21" s="92"/>
      <c r="NT21" s="92"/>
      <c r="NU21" s="92"/>
      <c r="NV21" s="92"/>
      <c r="NW21" s="92"/>
      <c r="NX21" s="92"/>
      <c r="NY21" s="92"/>
      <c r="NZ21" s="92"/>
      <c r="OA21" s="92"/>
      <c r="OB21" s="92"/>
      <c r="OC21" s="92"/>
      <c r="OD21" s="92"/>
      <c r="OE21" s="92"/>
      <c r="OF21" s="92"/>
      <c r="OG21" s="92"/>
      <c r="OH21" s="92"/>
      <c r="OI21" s="92"/>
      <c r="OJ21" s="92"/>
      <c r="OK21" s="92"/>
      <c r="OL21" s="92"/>
      <c r="OM21" s="92"/>
      <c r="ON21" s="92"/>
      <c r="OO21" s="92"/>
      <c r="OP21" s="92"/>
      <c r="OQ21" s="92"/>
      <c r="OR21" s="92"/>
      <c r="OS21" s="92"/>
      <c r="OT21" s="92"/>
      <c r="OU21" s="92"/>
      <c r="OV21" s="92"/>
      <c r="OW21" s="92"/>
      <c r="OX21" s="92"/>
      <c r="OY21" s="92"/>
      <c r="OZ21" s="92"/>
      <c r="PA21" s="92"/>
      <c r="PB21" s="92"/>
      <c r="PC21" s="92"/>
      <c r="PD21" s="92"/>
      <c r="PE21" s="92"/>
      <c r="PF21" s="92"/>
      <c r="PG21" s="92"/>
      <c r="PH21" s="92"/>
      <c r="PI21" s="92"/>
      <c r="PJ21" s="92"/>
      <c r="PK21" s="92"/>
      <c r="PL21" s="92"/>
      <c r="PM21" s="92"/>
      <c r="PN21" s="92"/>
      <c r="PO21" s="92"/>
      <c r="PP21" s="92"/>
      <c r="PQ21" s="92"/>
      <c r="PR21" s="92"/>
      <c r="PS21" s="92"/>
      <c r="PT21" s="92"/>
      <c r="PU21" s="92"/>
      <c r="PV21" s="92"/>
      <c r="PW21" s="92"/>
      <c r="PX21" s="92"/>
      <c r="PY21" s="92"/>
      <c r="PZ21" s="92"/>
      <c r="QA21" s="92"/>
      <c r="QB21" s="92"/>
      <c r="QC21" s="92"/>
      <c r="QD21" s="92"/>
      <c r="QE21" s="92"/>
      <c r="QF21" s="92"/>
      <c r="QG21" s="92"/>
      <c r="QH21" s="92"/>
      <c r="QI21" s="92"/>
      <c r="QJ21" s="92"/>
      <c r="QK21" s="92"/>
      <c r="QL21" s="92"/>
      <c r="QM21" s="92"/>
      <c r="QN21" s="92"/>
      <c r="QO21" s="92"/>
    </row>
    <row r="22" spans="1:457" ht="15.75">
      <c r="A22" s="89">
        <v>20</v>
      </c>
      <c r="B22" s="219" t="s">
        <v>392</v>
      </c>
      <c r="C22" s="101" t="str">
        <f t="shared" si="2"/>
        <v>Manufacture of petroleum and coal products</v>
      </c>
      <c r="D22" s="281">
        <f>AA24/U$94</f>
        <v>223.90642800000001</v>
      </c>
      <c r="E22" s="281">
        <f t="shared" ref="D22:F23" si="15">AB24/V$94</f>
        <v>336.61095895720445</v>
      </c>
      <c r="F22" s="281">
        <f t="shared" si="15"/>
        <v>2.405614018581907</v>
      </c>
      <c r="G22" s="280">
        <f t="shared" si="7"/>
        <v>562.92300097578641</v>
      </c>
      <c r="H22" s="94"/>
      <c r="I22" s="94"/>
      <c r="J22" s="94"/>
      <c r="K22" s="94"/>
      <c r="L22" s="94"/>
      <c r="M22" s="94"/>
      <c r="N22" s="94"/>
      <c r="O22" s="95"/>
      <c r="P22" s="95">
        <f t="shared" si="3"/>
        <v>562.92300097578641</v>
      </c>
      <c r="Q22" s="92"/>
      <c r="R22" s="92"/>
      <c r="S22" s="92"/>
      <c r="T22" s="66" t="s">
        <v>214</v>
      </c>
      <c r="U22" s="139">
        <v>71886.799000000014</v>
      </c>
      <c r="V22" s="139">
        <v>906.27792000000022</v>
      </c>
      <c r="W22" s="139">
        <v>85005.48900000006</v>
      </c>
      <c r="X22" s="139">
        <v>1294.8979999999992</v>
      </c>
      <c r="Y22" s="139">
        <v>1568.2868799999999</v>
      </c>
      <c r="Z22" s="139">
        <v>196.09000000000003</v>
      </c>
      <c r="AA22" s="139">
        <f t="shared" si="8"/>
        <v>73181.697000000015</v>
      </c>
      <c r="AB22" s="139">
        <f t="shared" si="9"/>
        <v>2474.5648000000001</v>
      </c>
      <c r="AC22" s="139">
        <f t="shared" si="10"/>
        <v>85201.579000000056</v>
      </c>
      <c r="AD22" s="144">
        <f t="shared" si="11"/>
        <v>160857.84080000006</v>
      </c>
      <c r="AF22" s="145"/>
      <c r="AG22" s="145"/>
      <c r="AH22" s="145"/>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c r="IW22" s="92"/>
      <c r="IX22" s="92"/>
      <c r="IY22" s="92"/>
      <c r="IZ22" s="92"/>
      <c r="JA22" s="92"/>
      <c r="JB22" s="92"/>
      <c r="JC22" s="92"/>
      <c r="JD22" s="92"/>
      <c r="JE22" s="92"/>
      <c r="JF22" s="92"/>
      <c r="JG22" s="92"/>
      <c r="JH22" s="92"/>
      <c r="JI22" s="92"/>
      <c r="JJ22" s="92"/>
      <c r="JK22" s="92"/>
      <c r="JL22" s="92"/>
      <c r="JM22" s="92"/>
      <c r="JN22" s="92"/>
      <c r="JO22" s="92"/>
      <c r="JP22" s="92"/>
      <c r="JQ22" s="92"/>
      <c r="JR22" s="92"/>
      <c r="JS22" s="92"/>
      <c r="JT22" s="92"/>
      <c r="JU22" s="92"/>
      <c r="JV22" s="92"/>
      <c r="JW22" s="92"/>
      <c r="JX22" s="92"/>
      <c r="JY22" s="92"/>
      <c r="JZ22" s="92"/>
      <c r="KA22" s="92"/>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2"/>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2"/>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2"/>
      <c r="MY22" s="92"/>
      <c r="MZ22" s="92"/>
      <c r="NA22" s="92"/>
      <c r="NB22" s="92"/>
      <c r="NC22" s="92"/>
      <c r="ND22" s="92"/>
      <c r="NE22" s="92"/>
      <c r="NF22" s="92"/>
      <c r="NG22" s="92"/>
      <c r="NH22" s="92"/>
      <c r="NI22" s="92"/>
      <c r="NJ22" s="92"/>
      <c r="NK22" s="92"/>
      <c r="NL22" s="92"/>
      <c r="NM22" s="92"/>
      <c r="NN22" s="92"/>
      <c r="NO22" s="92"/>
      <c r="NP22" s="92"/>
      <c r="NQ22" s="92"/>
      <c r="NR22" s="92"/>
      <c r="NS22" s="92"/>
      <c r="NT22" s="92"/>
      <c r="NU22" s="92"/>
      <c r="NV22" s="92"/>
      <c r="NW22" s="92"/>
      <c r="NX22" s="92"/>
      <c r="NY22" s="92"/>
      <c r="NZ22" s="92"/>
      <c r="OA22" s="92"/>
      <c r="OB22" s="92"/>
      <c r="OC22" s="92"/>
      <c r="OD22" s="92"/>
      <c r="OE22" s="92"/>
      <c r="OF22" s="92"/>
      <c r="OG22" s="92"/>
      <c r="OH22" s="92"/>
      <c r="OI22" s="92"/>
      <c r="OJ22" s="92"/>
      <c r="OK22" s="92"/>
      <c r="OL22" s="92"/>
      <c r="OM22" s="92"/>
      <c r="ON22" s="92"/>
      <c r="OO22" s="92"/>
      <c r="OP22" s="92"/>
      <c r="OQ22" s="92"/>
      <c r="OR22" s="92"/>
      <c r="OS22" s="92"/>
      <c r="OT22" s="92"/>
      <c r="OU22" s="92"/>
      <c r="OV22" s="92"/>
      <c r="OW22" s="92"/>
      <c r="OX22" s="92"/>
      <c r="OY22" s="92"/>
      <c r="OZ22" s="92"/>
      <c r="PA22" s="92"/>
      <c r="PB22" s="92"/>
      <c r="PC22" s="92"/>
      <c r="PD22" s="92"/>
      <c r="PE22" s="92"/>
      <c r="PF22" s="92"/>
      <c r="PG22" s="92"/>
      <c r="PH22" s="92"/>
      <c r="PI22" s="92"/>
      <c r="PJ22" s="92"/>
      <c r="PK22" s="92"/>
      <c r="PL22" s="92"/>
      <c r="PM22" s="92"/>
      <c r="PN22" s="92"/>
      <c r="PO22" s="92"/>
      <c r="PP22" s="92"/>
      <c r="PQ22" s="92"/>
      <c r="PR22" s="92"/>
      <c r="PS22" s="92"/>
      <c r="PT22" s="92"/>
      <c r="PU22" s="92"/>
      <c r="PV22" s="92"/>
      <c r="PW22" s="92"/>
      <c r="PX22" s="92"/>
      <c r="PY22" s="92"/>
      <c r="PZ22" s="92"/>
      <c r="QA22" s="92"/>
      <c r="QB22" s="92"/>
      <c r="QC22" s="92"/>
      <c r="QD22" s="92"/>
      <c r="QE22" s="92"/>
      <c r="QF22" s="92"/>
      <c r="QG22" s="92"/>
      <c r="QH22" s="92"/>
      <c r="QI22" s="92"/>
      <c r="QJ22" s="92"/>
      <c r="QK22" s="92"/>
      <c r="QL22" s="92"/>
      <c r="QM22" s="92"/>
      <c r="QN22" s="92"/>
      <c r="QO22" s="92"/>
    </row>
    <row r="23" spans="1:457" ht="15.75">
      <c r="A23" s="89">
        <v>21</v>
      </c>
      <c r="B23" s="219" t="s">
        <v>392</v>
      </c>
      <c r="C23" s="101" t="str">
        <f t="shared" si="2"/>
        <v>Gas supply by pipeline to final consumer</v>
      </c>
      <c r="D23" s="281">
        <f t="shared" si="15"/>
        <v>1.5939333333333333E-2</v>
      </c>
      <c r="E23" s="281">
        <f t="shared" si="15"/>
        <v>225.67680208328852</v>
      </c>
      <c r="F23" s="281">
        <f t="shared" si="15"/>
        <v>4.5064405431818111</v>
      </c>
      <c r="G23" s="280">
        <f t="shared" si="7"/>
        <v>230.19918195980367</v>
      </c>
      <c r="H23" s="94"/>
      <c r="I23" s="94"/>
      <c r="J23" s="94"/>
      <c r="K23" s="94"/>
      <c r="L23" s="94"/>
      <c r="M23" s="94"/>
      <c r="N23" s="94"/>
      <c r="O23" s="95"/>
      <c r="P23" s="95">
        <f t="shared" si="3"/>
        <v>230.19918195980367</v>
      </c>
      <c r="Q23" s="92"/>
      <c r="R23" s="92"/>
      <c r="S23" s="92"/>
      <c r="T23" s="66" t="s">
        <v>215</v>
      </c>
      <c r="U23" s="139">
        <v>14162.569</v>
      </c>
      <c r="V23" s="139">
        <v>0</v>
      </c>
      <c r="W23" s="139">
        <v>14479.469000000001</v>
      </c>
      <c r="X23" s="139">
        <v>143.16899999999998</v>
      </c>
      <c r="Y23" s="139">
        <v>0</v>
      </c>
      <c r="Z23" s="139">
        <v>58.888999999999996</v>
      </c>
      <c r="AA23" s="139">
        <f t="shared" si="8"/>
        <v>14305.737999999999</v>
      </c>
      <c r="AB23" s="139">
        <f t="shared" si="9"/>
        <v>0</v>
      </c>
      <c r="AC23" s="139">
        <f t="shared" si="10"/>
        <v>14538.358</v>
      </c>
      <c r="AD23" s="144">
        <f t="shared" si="11"/>
        <v>28844.095999999998</v>
      </c>
      <c r="AF23" s="145"/>
      <c r="AG23" s="145"/>
      <c r="AH23" s="145"/>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c r="IW23" s="92"/>
      <c r="IX23" s="92"/>
      <c r="IY23" s="92"/>
      <c r="IZ23" s="92"/>
      <c r="JA23" s="92"/>
      <c r="JB23" s="92"/>
      <c r="JC23" s="92"/>
      <c r="JD23" s="92"/>
      <c r="JE23" s="92"/>
      <c r="JF23" s="92"/>
      <c r="JG23" s="92"/>
      <c r="JH23" s="92"/>
      <c r="JI23" s="92"/>
      <c r="JJ23" s="92"/>
      <c r="JK23" s="92"/>
      <c r="JL23" s="92"/>
      <c r="JM23" s="92"/>
      <c r="JN23" s="92"/>
      <c r="JO23" s="92"/>
      <c r="JP23" s="92"/>
      <c r="JQ23" s="92"/>
      <c r="JR23" s="92"/>
      <c r="JS23" s="92"/>
      <c r="JT23" s="92"/>
      <c r="JU23" s="92"/>
      <c r="JV23" s="92"/>
      <c r="JW23" s="92"/>
      <c r="JX23" s="92"/>
      <c r="JY23" s="92"/>
      <c r="JZ23" s="92"/>
      <c r="KA23" s="92"/>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2"/>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2"/>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2"/>
      <c r="MY23" s="92"/>
      <c r="MZ23" s="92"/>
      <c r="NA23" s="92"/>
      <c r="NB23" s="92"/>
      <c r="NC23" s="92"/>
      <c r="ND23" s="92"/>
      <c r="NE23" s="92"/>
      <c r="NF23" s="92"/>
      <c r="NG23" s="92"/>
      <c r="NH23" s="92"/>
      <c r="NI23" s="92"/>
      <c r="NJ23" s="92"/>
      <c r="NK23" s="92"/>
      <c r="NL23" s="92"/>
      <c r="NM23" s="92"/>
      <c r="NN23" s="92"/>
      <c r="NO23" s="92"/>
      <c r="NP23" s="92"/>
      <c r="NQ23" s="92"/>
      <c r="NR23" s="92"/>
      <c r="NS23" s="92"/>
      <c r="NT23" s="92"/>
      <c r="NU23" s="92"/>
      <c r="NV23" s="92"/>
      <c r="NW23" s="92"/>
      <c r="NX23" s="92"/>
      <c r="NY23" s="92"/>
      <c r="NZ23" s="92"/>
      <c r="OA23" s="92"/>
      <c r="OB23" s="92"/>
      <c r="OC23" s="92"/>
      <c r="OD23" s="92"/>
      <c r="OE23" s="92"/>
      <c r="OF23" s="92"/>
      <c r="OG23" s="92"/>
      <c r="OH23" s="92"/>
      <c r="OI23" s="92"/>
      <c r="OJ23" s="92"/>
      <c r="OK23" s="92"/>
      <c r="OL23" s="92"/>
      <c r="OM23" s="92"/>
      <c r="ON23" s="92"/>
      <c r="OO23" s="92"/>
      <c r="OP23" s="92"/>
      <c r="OQ23" s="92"/>
      <c r="OR23" s="92"/>
      <c r="OS23" s="92"/>
      <c r="OT23" s="92"/>
      <c r="OU23" s="92"/>
      <c r="OV23" s="92"/>
      <c r="OW23" s="92"/>
      <c r="OX23" s="92"/>
      <c r="OY23" s="92"/>
      <c r="OZ23" s="92"/>
      <c r="PA23" s="92"/>
      <c r="PB23" s="92"/>
      <c r="PC23" s="92"/>
      <c r="PD23" s="92"/>
      <c r="PE23" s="92"/>
      <c r="PF23" s="92"/>
      <c r="PG23" s="92"/>
      <c r="PH23" s="92"/>
      <c r="PI23" s="92"/>
      <c r="PJ23" s="92"/>
      <c r="PK23" s="92"/>
      <c r="PL23" s="92"/>
      <c r="PM23" s="92"/>
      <c r="PN23" s="92"/>
      <c r="PO23" s="92"/>
      <c r="PP23" s="92"/>
      <c r="PQ23" s="92"/>
      <c r="PR23" s="92"/>
      <c r="PS23" s="92"/>
      <c r="PT23" s="92"/>
      <c r="PU23" s="92"/>
      <c r="PV23" s="92"/>
      <c r="PW23" s="92"/>
      <c r="PX23" s="92"/>
      <c r="PY23" s="92"/>
      <c r="PZ23" s="92"/>
      <c r="QA23" s="92"/>
      <c r="QB23" s="92"/>
      <c r="QC23" s="92"/>
      <c r="QD23" s="92"/>
      <c r="QE23" s="92"/>
      <c r="QF23" s="92"/>
      <c r="QG23" s="92"/>
      <c r="QH23" s="92"/>
      <c r="QI23" s="92"/>
      <c r="QJ23" s="92"/>
      <c r="QK23" s="92"/>
      <c r="QL23" s="92"/>
      <c r="QM23" s="92"/>
      <c r="QN23" s="92"/>
      <c r="QO23" s="92"/>
    </row>
    <row r="24" spans="1:457" ht="15.75">
      <c r="A24" s="89">
        <v>22</v>
      </c>
      <c r="B24" s="219" t="s">
        <v>392</v>
      </c>
      <c r="C24" s="101" t="str">
        <f t="shared" si="2"/>
        <v>Electricity generation, trasmission and distribution</v>
      </c>
      <c r="D24" s="281">
        <f>AA26/U$95</f>
        <v>828.16699999999992</v>
      </c>
      <c r="E24" s="281">
        <f>AB26/V$95</f>
        <v>1303.69</v>
      </c>
      <c r="F24" s="281">
        <f>AC26/W$95</f>
        <v>36.530535656139875</v>
      </c>
      <c r="G24" s="280">
        <f t="shared" si="7"/>
        <v>2168.3875356561398</v>
      </c>
      <c r="H24" s="94"/>
      <c r="I24" s="94">
        <f>'AggrStep1-energy'!I90</f>
        <v>60.542000000000002</v>
      </c>
      <c r="J24" s="94"/>
      <c r="K24" s="94">
        <f>'AggrStep1-energy'!K90</f>
        <v>15.064</v>
      </c>
      <c r="L24" s="94">
        <f>'AggrStep1-energy'!L90</f>
        <v>0.36</v>
      </c>
      <c r="M24" s="94">
        <f>'AggrStep1-energy'!M90</f>
        <v>100.87700000000001</v>
      </c>
      <c r="N24" s="94">
        <f>'AggrStep1-energy'!N90</f>
        <v>131.316</v>
      </c>
      <c r="O24" s="94">
        <f>'AggrStep1-energy'!O90</f>
        <v>122.598</v>
      </c>
      <c r="P24" s="95">
        <f>G24+I24</f>
        <v>2228.9295356561397</v>
      </c>
      <c r="Q24" s="92"/>
      <c r="R24" s="92"/>
      <c r="S24" s="92"/>
      <c r="T24" s="66" t="s">
        <v>216</v>
      </c>
      <c r="U24" s="139">
        <v>7444.2049999999999</v>
      </c>
      <c r="V24" s="139">
        <v>60570.934552815132</v>
      </c>
      <c r="W24" s="139">
        <v>755.84900000000005</v>
      </c>
      <c r="X24" s="139">
        <v>328415.43699999998</v>
      </c>
      <c r="Y24" s="139">
        <v>6751.2572386257489</v>
      </c>
      <c r="Z24" s="139">
        <v>1.76</v>
      </c>
      <c r="AA24" s="139">
        <f t="shared" si="8"/>
        <v>335859.64199999999</v>
      </c>
      <c r="AB24" s="139">
        <f t="shared" si="9"/>
        <v>67322.191791440884</v>
      </c>
      <c r="AC24" s="139">
        <f t="shared" si="10"/>
        <v>757.60900000000004</v>
      </c>
      <c r="AD24" s="144">
        <f t="shared" si="11"/>
        <v>403939.44279144087</v>
      </c>
      <c r="AF24" s="145"/>
      <c r="AG24" s="145"/>
      <c r="AH24" s="145"/>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c r="IW24" s="92"/>
      <c r="IX24" s="92"/>
      <c r="IY24" s="92"/>
      <c r="IZ24" s="92"/>
      <c r="JA24" s="92"/>
      <c r="JB24" s="92"/>
      <c r="JC24" s="92"/>
      <c r="JD24" s="92"/>
      <c r="JE24" s="92"/>
      <c r="JF24" s="92"/>
      <c r="JG24" s="92"/>
      <c r="JH24" s="92"/>
      <c r="JI24" s="92"/>
      <c r="JJ24" s="92"/>
      <c r="JK24" s="92"/>
      <c r="JL24" s="92"/>
      <c r="JM24" s="92"/>
      <c r="JN24" s="92"/>
      <c r="JO24" s="92"/>
      <c r="JP24" s="92"/>
      <c r="JQ24" s="92"/>
      <c r="JR24" s="92"/>
      <c r="JS24" s="92"/>
      <c r="JT24" s="92"/>
      <c r="JU24" s="92"/>
      <c r="JV24" s="92"/>
      <c r="JW24" s="92"/>
      <c r="JX24" s="92"/>
      <c r="JY24" s="92"/>
      <c r="JZ24" s="92"/>
      <c r="KA24" s="92"/>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2"/>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2"/>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2"/>
      <c r="MY24" s="92"/>
      <c r="MZ24" s="92"/>
      <c r="NA24" s="92"/>
      <c r="NB24" s="92"/>
      <c r="NC24" s="92"/>
      <c r="ND24" s="92"/>
      <c r="NE24" s="92"/>
      <c r="NF24" s="92"/>
      <c r="NG24" s="92"/>
      <c r="NH24" s="92"/>
      <c r="NI24" s="92"/>
      <c r="NJ24" s="92"/>
      <c r="NK24" s="92"/>
      <c r="NL24" s="92"/>
      <c r="NM24" s="92"/>
      <c r="NN24" s="92"/>
      <c r="NO24" s="92"/>
      <c r="NP24" s="92"/>
      <c r="NQ24" s="92"/>
      <c r="NR24" s="92"/>
      <c r="NS24" s="92"/>
      <c r="NT24" s="92"/>
      <c r="NU24" s="92"/>
      <c r="NV24" s="92"/>
      <c r="NW24" s="92"/>
      <c r="NX24" s="92"/>
      <c r="NY24" s="92"/>
      <c r="NZ24" s="92"/>
      <c r="OA24" s="92"/>
      <c r="OB24" s="92"/>
      <c r="OC24" s="92"/>
      <c r="OD24" s="92"/>
      <c r="OE24" s="92"/>
      <c r="OF24" s="92"/>
      <c r="OG24" s="92"/>
      <c r="OH24" s="92"/>
      <c r="OI24" s="92"/>
      <c r="OJ24" s="92"/>
      <c r="OK24" s="92"/>
      <c r="OL24" s="92"/>
      <c r="OM24" s="92"/>
      <c r="ON24" s="92"/>
      <c r="OO24" s="92"/>
      <c r="OP24" s="92"/>
      <c r="OQ24" s="92"/>
      <c r="OR24" s="92"/>
      <c r="OS24" s="92"/>
      <c r="OT24" s="92"/>
      <c r="OU24" s="92"/>
      <c r="OV24" s="92"/>
      <c r="OW24" s="92"/>
      <c r="OX24" s="92"/>
      <c r="OY24" s="92"/>
      <c r="OZ24" s="92"/>
      <c r="PA24" s="92"/>
      <c r="PB24" s="92"/>
      <c r="PC24" s="92"/>
      <c r="PD24" s="92"/>
      <c r="PE24" s="92"/>
      <c r="PF24" s="92"/>
      <c r="PG24" s="92"/>
      <c r="PH24" s="92"/>
      <c r="PI24" s="92"/>
      <c r="PJ24" s="92"/>
      <c r="PK24" s="92"/>
      <c r="PL24" s="92"/>
      <c r="PM24" s="92"/>
      <c r="PN24" s="92"/>
      <c r="PO24" s="92"/>
      <c r="PP24" s="92"/>
      <c r="PQ24" s="92"/>
      <c r="PR24" s="92"/>
      <c r="PS24" s="92"/>
      <c r="PT24" s="92"/>
      <c r="PU24" s="92"/>
      <c r="PV24" s="92"/>
      <c r="PW24" s="92"/>
      <c r="PX24" s="92"/>
      <c r="PY24" s="92"/>
      <c r="PZ24" s="92"/>
      <c r="QA24" s="92"/>
      <c r="QB24" s="92"/>
      <c r="QC24" s="92"/>
      <c r="QD24" s="92"/>
      <c r="QE24" s="92"/>
      <c r="QF24" s="92"/>
      <c r="QG24" s="92"/>
      <c r="QH24" s="92"/>
      <c r="QI24" s="92"/>
      <c r="QJ24" s="92"/>
      <c r="QK24" s="92"/>
      <c r="QL24" s="92"/>
      <c r="QM24" s="92"/>
      <c r="QN24" s="92"/>
      <c r="QO24" s="92"/>
    </row>
    <row r="25" spans="1:457" ht="15.75">
      <c r="A25" s="90"/>
      <c r="B25" s="90" t="s">
        <v>537</v>
      </c>
      <c r="C25" s="102" t="str">
        <f t="shared" si="2"/>
        <v>Total sector</v>
      </c>
      <c r="D25" s="280">
        <f>SUM(D3:D24)</f>
        <v>2489.8895778111801</v>
      </c>
      <c r="E25" s="280">
        <f t="shared" ref="E25:F25" si="16">SUM(E3:E24)</f>
        <v>2653.0483017934339</v>
      </c>
      <c r="F25" s="280">
        <f t="shared" si="16"/>
        <v>704.18255563400362</v>
      </c>
      <c r="G25" s="280">
        <f t="shared" si="7"/>
        <v>5847.1204352386176</v>
      </c>
      <c r="H25" s="94"/>
      <c r="I25" s="280">
        <f>SUM(I3:I24)</f>
        <v>124.324443</v>
      </c>
      <c r="J25" s="280">
        <f t="shared" ref="J25:P25" si="17">SUM(J3:J24)</f>
        <v>0</v>
      </c>
      <c r="K25" s="280">
        <f t="shared" si="17"/>
        <v>15.064</v>
      </c>
      <c r="L25" s="280">
        <f t="shared" si="17"/>
        <v>3.56</v>
      </c>
      <c r="M25" s="280">
        <f t="shared" si="17"/>
        <v>100.87700000000001</v>
      </c>
      <c r="N25" s="280">
        <f t="shared" si="17"/>
        <v>131.316</v>
      </c>
      <c r="O25" s="280">
        <f t="shared" si="17"/>
        <v>122.598</v>
      </c>
      <c r="P25" s="397">
        <f t="shared" si="17"/>
        <v>5974.6448782386178</v>
      </c>
      <c r="Q25" s="92"/>
      <c r="R25" s="92"/>
      <c r="S25" s="92"/>
      <c r="T25" s="66" t="s">
        <v>217</v>
      </c>
      <c r="U25" s="139">
        <v>23.548999999999999</v>
      </c>
      <c r="V25" s="139">
        <v>6514.4988748825435</v>
      </c>
      <c r="W25" s="139">
        <v>1415.9473035470903</v>
      </c>
      <c r="X25" s="139">
        <v>0.36</v>
      </c>
      <c r="Y25" s="139">
        <v>38620.861541775164</v>
      </c>
      <c r="Z25" s="139">
        <v>3.2828335852289441</v>
      </c>
      <c r="AA25" s="139">
        <f t="shared" si="8"/>
        <v>23.908999999999999</v>
      </c>
      <c r="AB25" s="139">
        <f t="shared" si="9"/>
        <v>45135.360416657706</v>
      </c>
      <c r="AC25" s="139">
        <f t="shared" si="10"/>
        <v>1419.2301371323192</v>
      </c>
      <c r="AD25" s="144">
        <f t="shared" si="11"/>
        <v>46578.499553790025</v>
      </c>
      <c r="AF25" s="145"/>
      <c r="AG25" s="145"/>
      <c r="AH25" s="145"/>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c r="IW25" s="92"/>
      <c r="IX25" s="92"/>
      <c r="IY25" s="92"/>
      <c r="IZ25" s="92"/>
      <c r="JA25" s="92"/>
      <c r="JB25" s="92"/>
      <c r="JC25" s="92"/>
      <c r="JD25" s="92"/>
      <c r="JE25" s="92"/>
      <c r="JF25" s="92"/>
      <c r="JG25" s="92"/>
      <c r="JH25" s="92"/>
      <c r="JI25" s="92"/>
      <c r="JJ25" s="92"/>
      <c r="JK25" s="92"/>
      <c r="JL25" s="92"/>
      <c r="JM25" s="92"/>
      <c r="JN25" s="92"/>
      <c r="JO25" s="92"/>
      <c r="JP25" s="92"/>
      <c r="JQ25" s="92"/>
      <c r="JR25" s="92"/>
      <c r="JS25" s="92"/>
      <c r="JT25" s="92"/>
      <c r="JU25" s="92"/>
      <c r="JV25" s="92"/>
      <c r="JW25" s="92"/>
      <c r="JX25" s="92"/>
      <c r="JY25" s="92"/>
      <c r="JZ25" s="92"/>
      <c r="KA25" s="92"/>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2"/>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2"/>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2"/>
      <c r="MY25" s="92"/>
      <c r="MZ25" s="92"/>
      <c r="NA25" s="92"/>
      <c r="NB25" s="92"/>
      <c r="NC25" s="92"/>
      <c r="ND25" s="92"/>
      <c r="NE25" s="92"/>
      <c r="NF25" s="92"/>
      <c r="NG25" s="92"/>
      <c r="NH25" s="92"/>
      <c r="NI25" s="92"/>
      <c r="NJ25" s="92"/>
      <c r="NK25" s="92"/>
      <c r="NL25" s="92"/>
      <c r="NM25" s="92"/>
      <c r="NN25" s="92"/>
      <c r="NO25" s="92"/>
      <c r="NP25" s="92"/>
      <c r="NQ25" s="92"/>
      <c r="NR25" s="92"/>
      <c r="NS25" s="92"/>
      <c r="NT25" s="92"/>
      <c r="NU25" s="92"/>
      <c r="NV25" s="92"/>
      <c r="NW25" s="92"/>
      <c r="NX25" s="92"/>
      <c r="NY25" s="92"/>
      <c r="NZ25" s="92"/>
      <c r="OA25" s="92"/>
      <c r="OB25" s="92"/>
      <c r="OC25" s="92"/>
      <c r="OD25" s="92"/>
      <c r="OE25" s="92"/>
      <c r="OF25" s="92"/>
      <c r="OG25" s="92"/>
      <c r="OH25" s="92"/>
      <c r="OI25" s="92"/>
      <c r="OJ25" s="92"/>
      <c r="OK25" s="92"/>
      <c r="OL25" s="92"/>
      <c r="OM25" s="92"/>
      <c r="ON25" s="92"/>
      <c r="OO25" s="92"/>
      <c r="OP25" s="92"/>
      <c r="OQ25" s="92"/>
      <c r="OR25" s="92"/>
      <c r="OS25" s="92"/>
      <c r="OT25" s="92"/>
      <c r="OU25" s="92"/>
      <c r="OV25" s="92"/>
      <c r="OW25" s="92"/>
      <c r="OX25" s="92"/>
      <c r="OY25" s="92"/>
      <c r="OZ25" s="92"/>
      <c r="PA25" s="92"/>
      <c r="PB25" s="92"/>
      <c r="PC25" s="92"/>
      <c r="PD25" s="92"/>
      <c r="PE25" s="92"/>
      <c r="PF25" s="92"/>
      <c r="PG25" s="92"/>
      <c r="PH25" s="92"/>
      <c r="PI25" s="92"/>
      <c r="PJ25" s="92"/>
      <c r="PK25" s="92"/>
      <c r="PL25" s="92"/>
      <c r="PM25" s="92"/>
      <c r="PN25" s="92"/>
      <c r="PO25" s="92"/>
      <c r="PP25" s="92"/>
      <c r="PQ25" s="92"/>
      <c r="PR25" s="92"/>
      <c r="PS25" s="92"/>
      <c r="PT25" s="92"/>
      <c r="PU25" s="92"/>
      <c r="PV25" s="92"/>
      <c r="PW25" s="92"/>
      <c r="PX25" s="92"/>
      <c r="PY25" s="92"/>
      <c r="PZ25" s="92"/>
      <c r="QA25" s="92"/>
      <c r="QB25" s="92"/>
      <c r="QC25" s="92"/>
      <c r="QD25" s="92"/>
      <c r="QE25" s="92"/>
      <c r="QF25" s="92"/>
      <c r="QG25" s="92"/>
      <c r="QH25" s="92"/>
      <c r="QI25" s="92"/>
      <c r="QJ25" s="92"/>
      <c r="QK25" s="92"/>
      <c r="QL25" s="92"/>
      <c r="QM25" s="92"/>
      <c r="QN25" s="92"/>
      <c r="QO25" s="92"/>
    </row>
    <row r="26" spans="1:457" ht="15.75">
      <c r="B26" s="219"/>
      <c r="C26" s="101"/>
      <c r="D26" s="94"/>
      <c r="E26" s="94"/>
      <c r="F26" s="94"/>
      <c r="G26" s="222"/>
      <c r="H26" s="94"/>
      <c r="I26" s="94"/>
      <c r="J26" s="94"/>
      <c r="K26" s="94"/>
      <c r="L26" s="94"/>
      <c r="M26" s="94"/>
      <c r="N26" s="94"/>
      <c r="O26" s="95"/>
      <c r="P26" s="95"/>
      <c r="Q26" s="92"/>
      <c r="R26" s="92"/>
      <c r="S26" s="92"/>
      <c r="T26" s="66" t="s">
        <v>418</v>
      </c>
      <c r="U26" s="139">
        <v>81222.350000000006</v>
      </c>
      <c r="V26" s="139">
        <v>27556.933948516333</v>
      </c>
      <c r="W26" s="139">
        <v>1386.096</v>
      </c>
      <c r="X26" s="139">
        <v>421.95100000000002</v>
      </c>
      <c r="Y26" s="139">
        <v>2622.2195695659325</v>
      </c>
      <c r="Z26" s="139">
        <v>1.177</v>
      </c>
      <c r="AA26" s="139">
        <f t="shared" si="8"/>
        <v>81644.301000000007</v>
      </c>
      <c r="AB26" s="139">
        <f t="shared" si="9"/>
        <v>30179.153518082265</v>
      </c>
      <c r="AC26" s="139">
        <f t="shared" si="10"/>
        <v>1387.2729999999999</v>
      </c>
      <c r="AD26" s="144">
        <f t="shared" si="11"/>
        <v>113210.72751808228</v>
      </c>
      <c r="AF26" s="145"/>
      <c r="AG26" s="145"/>
      <c r="AH26" s="145"/>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c r="IW26" s="92"/>
      <c r="IX26" s="92"/>
      <c r="IY26" s="92"/>
      <c r="IZ26" s="92"/>
      <c r="JA26" s="92"/>
      <c r="JB26" s="92"/>
      <c r="JC26" s="92"/>
      <c r="JD26" s="92"/>
      <c r="JE26" s="92"/>
      <c r="JF26" s="92"/>
      <c r="JG26" s="92"/>
      <c r="JH26" s="92"/>
      <c r="JI26" s="92"/>
      <c r="JJ26" s="92"/>
      <c r="JK26" s="92"/>
      <c r="JL26" s="92"/>
      <c r="JM26" s="92"/>
      <c r="JN26" s="92"/>
      <c r="JO26" s="92"/>
      <c r="JP26" s="92"/>
      <c r="JQ26" s="92"/>
      <c r="JR26" s="92"/>
      <c r="JS26" s="92"/>
      <c r="JT26" s="92"/>
      <c r="JU26" s="92"/>
      <c r="JV26" s="92"/>
      <c r="JW26" s="92"/>
      <c r="JX26" s="92"/>
      <c r="JY26" s="92"/>
      <c r="JZ26" s="92"/>
      <c r="KA26" s="92"/>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2"/>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2"/>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2"/>
      <c r="MY26" s="92"/>
      <c r="MZ26" s="92"/>
      <c r="NA26" s="92"/>
      <c r="NB26" s="92"/>
      <c r="NC26" s="92"/>
      <c r="ND26" s="92"/>
      <c r="NE26" s="92"/>
      <c r="NF26" s="92"/>
      <c r="NG26" s="92"/>
      <c r="NH26" s="92"/>
      <c r="NI26" s="92"/>
      <c r="NJ26" s="92"/>
      <c r="NK26" s="92"/>
      <c r="NL26" s="92"/>
      <c r="NM26" s="92"/>
      <c r="NN26" s="92"/>
      <c r="NO26" s="92"/>
      <c r="NP26" s="92"/>
      <c r="NQ26" s="92"/>
      <c r="NR26" s="92"/>
      <c r="NS26" s="92"/>
      <c r="NT26" s="92"/>
      <c r="NU26" s="92"/>
      <c r="NV26" s="92"/>
      <c r="NW26" s="92"/>
      <c r="NX26" s="92"/>
      <c r="NY26" s="92"/>
      <c r="NZ26" s="92"/>
      <c r="OA26" s="92"/>
      <c r="OB26" s="92"/>
      <c r="OC26" s="92"/>
      <c r="OD26" s="92"/>
      <c r="OE26" s="92"/>
      <c r="OF26" s="92"/>
      <c r="OG26" s="92"/>
      <c r="OH26" s="92"/>
      <c r="OI26" s="92"/>
      <c r="OJ26" s="92"/>
      <c r="OK26" s="92"/>
      <c r="OL26" s="92"/>
      <c r="OM26" s="92"/>
      <c r="ON26" s="92"/>
      <c r="OO26" s="92"/>
      <c r="OP26" s="92"/>
      <c r="OQ26" s="92"/>
      <c r="OR26" s="92"/>
      <c r="OS26" s="92"/>
      <c r="OT26" s="92"/>
      <c r="OU26" s="92"/>
      <c r="OV26" s="92"/>
      <c r="OW26" s="92"/>
      <c r="OX26" s="92"/>
      <c r="OY26" s="92"/>
      <c r="OZ26" s="92"/>
      <c r="PA26" s="92"/>
      <c r="PB26" s="92"/>
      <c r="PC26" s="92"/>
      <c r="PD26" s="92"/>
      <c r="PE26" s="92"/>
      <c r="PF26" s="92"/>
      <c r="PG26" s="92"/>
      <c r="PH26" s="92"/>
      <c r="PI26" s="92"/>
      <c r="PJ26" s="92"/>
      <c r="PK26" s="92"/>
      <c r="PL26" s="92"/>
      <c r="PM26" s="92"/>
      <c r="PN26" s="92"/>
      <c r="PO26" s="92"/>
      <c r="PP26" s="92"/>
      <c r="PQ26" s="92"/>
      <c r="PR26" s="92"/>
      <c r="PS26" s="92"/>
      <c r="PT26" s="92"/>
      <c r="PU26" s="92"/>
      <c r="PV26" s="92"/>
      <c r="PW26" s="92"/>
      <c r="PX26" s="92"/>
      <c r="PY26" s="92"/>
      <c r="PZ26" s="92"/>
      <c r="QA26" s="92"/>
      <c r="QB26" s="92"/>
      <c r="QC26" s="92"/>
      <c r="QD26" s="92"/>
      <c r="QE26" s="92"/>
      <c r="QF26" s="92"/>
      <c r="QG26" s="92"/>
      <c r="QH26" s="92"/>
      <c r="QI26" s="92"/>
      <c r="QJ26" s="92"/>
      <c r="QK26" s="92"/>
      <c r="QL26" s="92"/>
      <c r="QM26" s="92"/>
      <c r="QN26" s="92"/>
      <c r="QO26" s="92"/>
    </row>
    <row r="27" spans="1:457" ht="15.75">
      <c r="A27" s="90"/>
      <c r="B27" s="90"/>
      <c r="C27" s="102" t="s">
        <v>240</v>
      </c>
      <c r="D27" s="94"/>
      <c r="E27" s="94"/>
      <c r="F27" s="94"/>
      <c r="G27" s="222"/>
      <c r="H27" s="94"/>
      <c r="I27" s="94"/>
      <c r="J27" s="94"/>
      <c r="K27" s="94"/>
      <c r="L27" s="94"/>
      <c r="M27" s="94"/>
      <c r="N27" s="94"/>
      <c r="O27" s="95"/>
      <c r="P27" s="95"/>
      <c r="Q27" s="92"/>
      <c r="R27" s="92"/>
      <c r="S27" s="92"/>
      <c r="T27" s="56" t="s">
        <v>537</v>
      </c>
      <c r="U27" s="140">
        <f t="shared" ref="U27:Z27" si="18">SUM(U5:U26)</f>
        <v>577335.36400000006</v>
      </c>
      <c r="V27" s="140">
        <f t="shared" si="18"/>
        <v>146882.4016235492</v>
      </c>
      <c r="W27" s="140">
        <f t="shared" si="18"/>
        <v>278188.86500000005</v>
      </c>
      <c r="X27" s="140">
        <f t="shared" si="18"/>
        <v>390080.89199999999</v>
      </c>
      <c r="Y27" s="140">
        <f t="shared" si="18"/>
        <v>122706.81581652683</v>
      </c>
      <c r="Z27" s="140">
        <f t="shared" si="18"/>
        <v>1045.2850000000001</v>
      </c>
      <c r="AA27" s="140">
        <f t="shared" si="8"/>
        <v>967416.25600000005</v>
      </c>
      <c r="AB27" s="140">
        <f t="shared" si="9"/>
        <v>269589.21744007606</v>
      </c>
      <c r="AC27" s="140">
        <f t="shared" si="10"/>
        <v>279234.15000000002</v>
      </c>
      <c r="AD27" s="144">
        <f t="shared" si="11"/>
        <v>1516239.6234400761</v>
      </c>
      <c r="AF27" s="140"/>
      <c r="AG27" s="140"/>
      <c r="AH27" s="140"/>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c r="IW27" s="92"/>
      <c r="IX27" s="92"/>
      <c r="IY27" s="92"/>
      <c r="IZ27" s="92"/>
      <c r="JA27" s="92"/>
      <c r="JB27" s="92"/>
      <c r="JC27" s="92"/>
      <c r="JD27" s="92"/>
      <c r="JE27" s="92"/>
      <c r="JF27" s="92"/>
      <c r="JG27" s="92"/>
      <c r="JH27" s="92"/>
      <c r="JI27" s="92"/>
      <c r="JJ27" s="92"/>
      <c r="JK27" s="92"/>
      <c r="JL27" s="92"/>
      <c r="JM27" s="92"/>
      <c r="JN27" s="92"/>
      <c r="JO27" s="92"/>
      <c r="JP27" s="92"/>
      <c r="JQ27" s="92"/>
      <c r="JR27" s="92"/>
      <c r="JS27" s="92"/>
      <c r="JT27" s="92"/>
      <c r="JU27" s="92"/>
      <c r="JV27" s="92"/>
      <c r="JW27" s="92"/>
      <c r="JX27" s="92"/>
      <c r="JY27" s="92"/>
      <c r="JZ27" s="92"/>
      <c r="KA27" s="92"/>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2"/>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2"/>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2"/>
      <c r="MY27" s="92"/>
      <c r="MZ27" s="92"/>
      <c r="NA27" s="92"/>
      <c r="NB27" s="92"/>
      <c r="NC27" s="92"/>
      <c r="ND27" s="92"/>
      <c r="NE27" s="92"/>
      <c r="NF27" s="92"/>
      <c r="NG27" s="92"/>
      <c r="NH27" s="92"/>
      <c r="NI27" s="92"/>
      <c r="NJ27" s="92"/>
      <c r="NK27" s="92"/>
      <c r="NL27" s="92"/>
      <c r="NM27" s="92"/>
      <c r="NN27" s="92"/>
      <c r="NO27" s="92"/>
      <c r="NP27" s="92"/>
      <c r="NQ27" s="92"/>
      <c r="NR27" s="92"/>
      <c r="NS27" s="92"/>
      <c r="NT27" s="92"/>
      <c r="NU27" s="92"/>
      <c r="NV27" s="92"/>
      <c r="NW27" s="92"/>
      <c r="NX27" s="92"/>
      <c r="NY27" s="92"/>
      <c r="NZ27" s="92"/>
      <c r="OA27" s="92"/>
      <c r="OB27" s="92"/>
      <c r="OC27" s="92"/>
      <c r="OD27" s="92"/>
      <c r="OE27" s="92"/>
      <c r="OF27" s="92"/>
      <c r="OG27" s="92"/>
      <c r="OH27" s="92"/>
      <c r="OI27" s="92"/>
      <c r="OJ27" s="92"/>
      <c r="OK27" s="92"/>
      <c r="OL27" s="92"/>
      <c r="OM27" s="92"/>
      <c r="ON27" s="92"/>
      <c r="OO27" s="92"/>
      <c r="OP27" s="92"/>
      <c r="OQ27" s="92"/>
      <c r="OR27" s="92"/>
      <c r="OS27" s="92"/>
      <c r="OT27" s="92"/>
      <c r="OU27" s="92"/>
      <c r="OV27" s="92"/>
      <c r="OW27" s="92"/>
      <c r="OX27" s="92"/>
      <c r="OY27" s="92"/>
      <c r="OZ27" s="92"/>
      <c r="PA27" s="92"/>
      <c r="PB27" s="92"/>
      <c r="PC27" s="92"/>
      <c r="PD27" s="92"/>
      <c r="PE27" s="92"/>
      <c r="PF27" s="92"/>
      <c r="PG27" s="92"/>
      <c r="PH27" s="92"/>
      <c r="PI27" s="92"/>
      <c r="PJ27" s="92"/>
      <c r="PK27" s="92"/>
      <c r="PL27" s="92"/>
      <c r="PM27" s="92"/>
      <c r="PN27" s="92"/>
      <c r="PO27" s="92"/>
      <c r="PP27" s="92"/>
      <c r="PQ27" s="92"/>
      <c r="PR27" s="92"/>
      <c r="PS27" s="92"/>
      <c r="PT27" s="92"/>
      <c r="PU27" s="92"/>
      <c r="PV27" s="92"/>
      <c r="PW27" s="92"/>
      <c r="PX27" s="92"/>
      <c r="PY27" s="92"/>
      <c r="PZ27" s="92"/>
      <c r="QA27" s="92"/>
      <c r="QB27" s="92"/>
      <c r="QC27" s="92"/>
      <c r="QD27" s="92"/>
      <c r="QE27" s="92"/>
      <c r="QF27" s="92"/>
      <c r="QG27" s="92"/>
      <c r="QH27" s="92"/>
      <c r="QI27" s="92"/>
      <c r="QJ27" s="92"/>
      <c r="QK27" s="92"/>
      <c r="QL27" s="92"/>
      <c r="QM27" s="92"/>
      <c r="QN27" s="92"/>
      <c r="QO27" s="92"/>
    </row>
    <row r="28" spans="1:457" ht="15.75">
      <c r="C28" s="282" t="s">
        <v>378</v>
      </c>
      <c r="D28" s="94">
        <f>AA29/U96</f>
        <v>1453.7676719999999</v>
      </c>
      <c r="E28" s="94">
        <f>AB29/V96</f>
        <v>0</v>
      </c>
      <c r="F28" s="94">
        <f>AC29/W96</f>
        <v>4.5542567697503818E-2</v>
      </c>
      <c r="G28" s="280">
        <f t="shared" si="7"/>
        <v>1453.8132145676975</v>
      </c>
      <c r="H28" s="94"/>
      <c r="I28" s="94"/>
      <c r="J28" s="94"/>
      <c r="K28" s="94"/>
      <c r="L28" s="94"/>
      <c r="M28" s="94"/>
      <c r="N28" s="94"/>
      <c r="O28" s="95"/>
      <c r="P28" s="95">
        <f t="shared" si="3"/>
        <v>1453.8132145676975</v>
      </c>
      <c r="Q28" s="92"/>
      <c r="R28" s="92"/>
      <c r="S28" s="92"/>
      <c r="T28" s="187" t="s">
        <v>240</v>
      </c>
      <c r="U28" s="139">
        <f t="array" ref="U28:W28">TRANSPOSE([2]Step8!$BI$25:$BI$27)</f>
        <v>363423.54499999998</v>
      </c>
      <c r="V28" s="139">
        <v>9122.0974100000003</v>
      </c>
      <c r="W28" s="139">
        <v>37854.733</v>
      </c>
      <c r="X28" s="139">
        <f t="array" ref="X28:Z28">TRANSPOSE([2]Step8!$AM$70:$AM$72)</f>
        <v>18.373000000000001</v>
      </c>
      <c r="Y28" s="139">
        <v>161.10099</v>
      </c>
      <c r="Z28" s="139">
        <v>0</v>
      </c>
      <c r="AA28" s="139">
        <f>U28+X28</f>
        <v>363441.91800000001</v>
      </c>
      <c r="AB28" s="139">
        <f>V28+Y28</f>
        <v>9283.1984000000011</v>
      </c>
      <c r="AC28" s="139">
        <f>W28+Z28</f>
        <v>37854.733</v>
      </c>
      <c r="AD28" s="144">
        <f>SUM(AA28:AC28)</f>
        <v>410579.84940000001</v>
      </c>
      <c r="AF28" s="140"/>
      <c r="AG28" s="140"/>
      <c r="AH28" s="140"/>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c r="IX28" s="92"/>
      <c r="IY28" s="92"/>
      <c r="IZ28" s="92"/>
      <c r="JA28" s="92"/>
      <c r="JB28" s="92"/>
      <c r="JC28" s="92"/>
      <c r="JD28" s="92"/>
      <c r="JE28" s="92"/>
      <c r="JF28" s="92"/>
      <c r="JG28" s="92"/>
      <c r="JH28" s="92"/>
      <c r="JI28" s="92"/>
      <c r="JJ28" s="92"/>
      <c r="JK28" s="92"/>
      <c r="JL28" s="92"/>
      <c r="JM28" s="92"/>
      <c r="JN28" s="92"/>
      <c r="JO28" s="92"/>
      <c r="JP28" s="92"/>
      <c r="JQ28" s="92"/>
      <c r="JR28" s="92"/>
      <c r="JS28" s="92"/>
      <c r="JT28" s="92"/>
      <c r="JU28" s="92"/>
      <c r="JV28" s="92"/>
      <c r="JW28" s="92"/>
      <c r="JX28" s="92"/>
      <c r="JY28" s="92"/>
      <c r="JZ28" s="92"/>
      <c r="KA28" s="92"/>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2"/>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2"/>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2"/>
      <c r="MY28" s="92"/>
      <c r="MZ28" s="92"/>
      <c r="NA28" s="92"/>
      <c r="NB28" s="92"/>
      <c r="NC28" s="92"/>
      <c r="ND28" s="92"/>
      <c r="NE28" s="92"/>
      <c r="NF28" s="92"/>
      <c r="NG28" s="92"/>
      <c r="NH28" s="92"/>
      <c r="NI28" s="92"/>
      <c r="NJ28" s="92"/>
      <c r="NK28" s="92"/>
      <c r="NL28" s="92"/>
      <c r="NM28" s="92"/>
      <c r="NN28" s="92"/>
      <c r="NO28" s="92"/>
      <c r="NP28" s="92"/>
      <c r="NQ28" s="92"/>
      <c r="NR28" s="92"/>
      <c r="NS28" s="92"/>
      <c r="NT28" s="92"/>
      <c r="NU28" s="92"/>
      <c r="NV28" s="92"/>
      <c r="NW28" s="92"/>
      <c r="NX28" s="92"/>
      <c r="NY28" s="92"/>
      <c r="NZ28" s="92"/>
      <c r="OA28" s="92"/>
      <c r="OB28" s="92"/>
      <c r="OC28" s="92"/>
      <c r="OD28" s="92"/>
      <c r="OE28" s="92"/>
      <c r="OF28" s="92"/>
      <c r="OG28" s="92"/>
      <c r="OH28" s="92"/>
      <c r="OI28" s="92"/>
      <c r="OJ28" s="92"/>
      <c r="OK28" s="92"/>
      <c r="OL28" s="92"/>
      <c r="OM28" s="92"/>
      <c r="ON28" s="92"/>
      <c r="OO28" s="92"/>
      <c r="OP28" s="92"/>
      <c r="OQ28" s="92"/>
      <c r="OR28" s="92"/>
      <c r="OS28" s="92"/>
      <c r="OT28" s="92"/>
      <c r="OU28" s="92"/>
      <c r="OV28" s="92"/>
      <c r="OW28" s="92"/>
      <c r="OX28" s="92"/>
      <c r="OY28" s="92"/>
      <c r="OZ28" s="92"/>
      <c r="PA28" s="92"/>
      <c r="PB28" s="92"/>
      <c r="PC28" s="92"/>
      <c r="PD28" s="92"/>
      <c r="PE28" s="92"/>
      <c r="PF28" s="92"/>
      <c r="PG28" s="92"/>
      <c r="PH28" s="92"/>
      <c r="PI28" s="92"/>
      <c r="PJ28" s="92"/>
      <c r="PK28" s="92"/>
      <c r="PL28" s="92"/>
      <c r="PM28" s="92"/>
      <c r="PN28" s="92"/>
      <c r="PO28" s="92"/>
      <c r="PP28" s="92"/>
      <c r="PQ28" s="92"/>
      <c r="PR28" s="92"/>
      <c r="PS28" s="92"/>
      <c r="PT28" s="92"/>
      <c r="PU28" s="92"/>
      <c r="PV28" s="92"/>
      <c r="PW28" s="92"/>
      <c r="PX28" s="92"/>
      <c r="PY28" s="92"/>
      <c r="PZ28" s="92"/>
      <c r="QA28" s="92"/>
      <c r="QB28" s="92"/>
      <c r="QC28" s="92"/>
      <c r="QD28" s="92"/>
      <c r="QE28" s="92"/>
      <c r="QF28" s="92"/>
      <c r="QG28" s="92"/>
      <c r="QH28" s="92"/>
      <c r="QI28" s="92"/>
      <c r="QJ28" s="92"/>
      <c r="QK28" s="92"/>
      <c r="QL28" s="92"/>
      <c r="QM28" s="92"/>
      <c r="QN28" s="92"/>
      <c r="QO28" s="92"/>
    </row>
    <row r="29" spans="1:457">
      <c r="C29" s="282" t="s">
        <v>281</v>
      </c>
      <c r="D29" s="94">
        <f>AA30/U93</f>
        <v>258.308876</v>
      </c>
      <c r="E29" s="94">
        <f>AB30/V93</f>
        <v>33.802999999999997</v>
      </c>
      <c r="F29" s="94">
        <f>AC30/W93</f>
        <v>191.13900000000001</v>
      </c>
      <c r="G29" s="280">
        <f>SUM(D29:F29)</f>
        <v>483.25087600000001</v>
      </c>
      <c r="H29" s="94"/>
      <c r="I29" s="94">
        <f>'AggrStep1-energy'!I72</f>
        <v>255.42239699999999</v>
      </c>
      <c r="J29" s="94"/>
      <c r="K29" s="94"/>
      <c r="L29" s="94">
        <f>'AggrStep1-energy'!L72</f>
        <v>4.0359999999999996</v>
      </c>
      <c r="M29" s="94"/>
      <c r="N29" s="94"/>
      <c r="O29" s="95"/>
      <c r="P29" s="95">
        <f t="shared" si="3"/>
        <v>742.70927299999994</v>
      </c>
      <c r="Q29" s="92"/>
      <c r="R29" s="92"/>
      <c r="S29" s="92"/>
      <c r="T29" s="270" t="s">
        <v>378</v>
      </c>
      <c r="U29" s="271">
        <f>U$28*Y52</f>
        <v>218054.12699999998</v>
      </c>
      <c r="V29" s="271">
        <f t="shared" ref="V29:W29" si="19">V$28*Z52</f>
        <v>0</v>
      </c>
      <c r="W29" s="271">
        <f t="shared" si="19"/>
        <v>44.759939941194922</v>
      </c>
      <c r="X29" s="271">
        <f>X$28*Y52</f>
        <v>11.0238</v>
      </c>
      <c r="Y29" s="271">
        <f t="shared" ref="Y29:Z29" si="20">Y$28*Z52</f>
        <v>0</v>
      </c>
      <c r="Z29" s="271">
        <f t="shared" si="20"/>
        <v>0</v>
      </c>
      <c r="AA29" s="271">
        <f>AA$28*Y52</f>
        <v>218065.1508</v>
      </c>
      <c r="AB29" s="271">
        <f t="shared" ref="AB29:AC29" si="21">AB$28*Z52</f>
        <v>0</v>
      </c>
      <c r="AC29" s="271">
        <f t="shared" si="21"/>
        <v>44.759939941194922</v>
      </c>
      <c r="AD29" s="272">
        <f t="shared" ref="AD29:AD30" si="22">SUM(AA29:AC29)</f>
        <v>218109.9107399412</v>
      </c>
      <c r="AF29" s="140"/>
      <c r="AG29" s="140"/>
      <c r="AH29" s="140"/>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c r="IW29" s="92"/>
      <c r="IX29" s="92"/>
      <c r="IY29" s="92"/>
      <c r="IZ29" s="92"/>
      <c r="JA29" s="92"/>
      <c r="JB29" s="92"/>
      <c r="JC29" s="92"/>
      <c r="JD29" s="92"/>
      <c r="JE29" s="92"/>
      <c r="JF29" s="92"/>
      <c r="JG29" s="92"/>
      <c r="JH29" s="92"/>
      <c r="JI29" s="92"/>
      <c r="JJ29" s="92"/>
      <c r="JK29" s="92"/>
      <c r="JL29" s="92"/>
      <c r="JM29" s="92"/>
      <c r="JN29" s="92"/>
      <c r="JO29" s="92"/>
      <c r="JP29" s="92"/>
      <c r="JQ29" s="92"/>
      <c r="JR29" s="92"/>
      <c r="JS29" s="92"/>
      <c r="JT29" s="92"/>
      <c r="JU29" s="92"/>
      <c r="JV29" s="92"/>
      <c r="JW29" s="92"/>
      <c r="JX29" s="92"/>
      <c r="JY29" s="92"/>
      <c r="JZ29" s="92"/>
      <c r="KA29" s="92"/>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2"/>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2"/>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2"/>
      <c r="MY29" s="92"/>
      <c r="MZ29" s="92"/>
      <c r="NA29" s="92"/>
      <c r="NB29" s="92"/>
      <c r="NC29" s="92"/>
      <c r="ND29" s="92"/>
      <c r="NE29" s="92"/>
      <c r="NF29" s="92"/>
      <c r="NG29" s="92"/>
      <c r="NH29" s="92"/>
      <c r="NI29" s="92"/>
      <c r="NJ29" s="92"/>
      <c r="NK29" s="92"/>
      <c r="NL29" s="92"/>
      <c r="NM29" s="92"/>
      <c r="NN29" s="92"/>
      <c r="NO29" s="92"/>
      <c r="NP29" s="92"/>
      <c r="NQ29" s="92"/>
      <c r="NR29" s="92"/>
      <c r="NS29" s="92"/>
      <c r="NT29" s="92"/>
      <c r="NU29" s="92"/>
      <c r="NV29" s="92"/>
      <c r="NW29" s="92"/>
      <c r="NX29" s="92"/>
      <c r="NY29" s="92"/>
      <c r="NZ29" s="92"/>
      <c r="OA29" s="92"/>
      <c r="OB29" s="92"/>
      <c r="OC29" s="92"/>
      <c r="OD29" s="92"/>
      <c r="OE29" s="92"/>
      <c r="OF29" s="92"/>
      <c r="OG29" s="92"/>
      <c r="OH29" s="92"/>
      <c r="OI29" s="92"/>
      <c r="OJ29" s="92"/>
      <c r="OK29" s="92"/>
      <c r="OL29" s="92"/>
      <c r="OM29" s="92"/>
      <c r="ON29" s="92"/>
      <c r="OO29" s="92"/>
      <c r="OP29" s="92"/>
      <c r="OQ29" s="92"/>
      <c r="OR29" s="92"/>
      <c r="OS29" s="92"/>
      <c r="OT29" s="92"/>
      <c r="OU29" s="92"/>
      <c r="OV29" s="92"/>
      <c r="OW29" s="92"/>
      <c r="OX29" s="92"/>
      <c r="OY29" s="92"/>
      <c r="OZ29" s="92"/>
      <c r="PA29" s="92"/>
      <c r="PB29" s="92"/>
      <c r="PC29" s="92"/>
      <c r="PD29" s="92"/>
      <c r="PE29" s="92"/>
      <c r="PF29" s="92"/>
      <c r="PG29" s="92"/>
      <c r="PH29" s="92"/>
      <c r="PI29" s="92"/>
      <c r="PJ29" s="92"/>
      <c r="PK29" s="92"/>
      <c r="PL29" s="92"/>
      <c r="PM29" s="92"/>
      <c r="PN29" s="92"/>
      <c r="PO29" s="92"/>
      <c r="PP29" s="92"/>
      <c r="PQ29" s="92"/>
      <c r="PR29" s="92"/>
      <c r="PS29" s="92"/>
      <c r="PT29" s="92"/>
      <c r="PU29" s="92"/>
      <c r="PV29" s="92"/>
      <c r="PW29" s="92"/>
      <c r="PX29" s="92"/>
      <c r="PY29" s="92"/>
      <c r="PZ29" s="92"/>
      <c r="QA29" s="92"/>
      <c r="QB29" s="92"/>
      <c r="QC29" s="92"/>
      <c r="QD29" s="92"/>
      <c r="QE29" s="92"/>
      <c r="QF29" s="92"/>
      <c r="QG29" s="92"/>
      <c r="QH29" s="92"/>
      <c r="QI29" s="92"/>
      <c r="QJ29" s="92"/>
      <c r="QK29" s="92"/>
      <c r="QL29" s="92"/>
      <c r="QM29" s="92"/>
      <c r="QN29" s="92"/>
      <c r="QO29" s="92"/>
    </row>
    <row r="30" spans="1:457">
      <c r="C30" s="101"/>
      <c r="D30" s="94"/>
      <c r="E30" s="94"/>
      <c r="F30" s="94"/>
      <c r="G30" s="94"/>
      <c r="H30" s="94"/>
      <c r="I30" s="94"/>
      <c r="J30" s="94"/>
      <c r="K30" s="94"/>
      <c r="L30" s="94"/>
      <c r="M30" s="94"/>
      <c r="N30" s="94"/>
      <c r="O30" s="95"/>
      <c r="P30" s="95"/>
      <c r="Q30" s="92"/>
      <c r="R30" s="92"/>
      <c r="S30" s="92"/>
      <c r="T30" s="273" t="s">
        <v>241</v>
      </c>
      <c r="U30" s="274">
        <f>U$28*Y53</f>
        <v>145369.41800000001</v>
      </c>
      <c r="V30" s="274">
        <f>V$28*Z53</f>
        <v>9122.0974100000003</v>
      </c>
      <c r="W30" s="274">
        <f t="shared" ref="W30" si="23">W$28*AA53</f>
        <v>37809.973060058801</v>
      </c>
      <c r="X30" s="274">
        <f>X$28*Y53</f>
        <v>7.3492000000000006</v>
      </c>
      <c r="Y30" s="274">
        <f t="shared" ref="Y30:Z30" si="24">Y$28*Z53</f>
        <v>161.10099</v>
      </c>
      <c r="Z30" s="274">
        <f t="shared" si="24"/>
        <v>0</v>
      </c>
      <c r="AA30" s="274">
        <f>AA$28*Y53</f>
        <v>145376.7672</v>
      </c>
      <c r="AB30" s="274">
        <f t="shared" ref="AB30:AC30" si="25">AB$28*Z53</f>
        <v>9283.1984000000011</v>
      </c>
      <c r="AC30" s="274">
        <f t="shared" si="25"/>
        <v>37809.973060058801</v>
      </c>
      <c r="AD30" s="275">
        <f t="shared" si="22"/>
        <v>192469.9386600588</v>
      </c>
      <c r="AF30" s="140"/>
      <c r="AG30" s="140"/>
      <c r="AH30" s="140"/>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row>
    <row r="31" spans="1:457" ht="15.75">
      <c r="C31" s="102" t="s">
        <v>546</v>
      </c>
      <c r="D31" s="94">
        <f>D25+D28+D29</f>
        <v>4201.9661258111801</v>
      </c>
      <c r="E31" s="94">
        <f t="shared" ref="E31:G31" si="26">E25+E28+E29</f>
        <v>2686.8513017934338</v>
      </c>
      <c r="F31" s="396">
        <f t="shared" si="26"/>
        <v>895.36709820170108</v>
      </c>
      <c r="G31" s="395">
        <f t="shared" si="26"/>
        <v>7784.1845258063149</v>
      </c>
      <c r="H31" s="94"/>
      <c r="I31" s="95">
        <f>I25+I28+I29</f>
        <v>379.74684000000002</v>
      </c>
      <c r="J31" s="95">
        <f t="shared" ref="J31:O31" si="27">J25+J28+J29</f>
        <v>0</v>
      </c>
      <c r="K31" s="95">
        <f t="shared" si="27"/>
        <v>15.064</v>
      </c>
      <c r="L31" s="95">
        <f t="shared" si="27"/>
        <v>7.5960000000000001</v>
      </c>
      <c r="M31" s="95">
        <f t="shared" si="27"/>
        <v>100.87700000000001</v>
      </c>
      <c r="N31" s="95">
        <f t="shared" si="27"/>
        <v>131.316</v>
      </c>
      <c r="O31" s="95">
        <f t="shared" si="27"/>
        <v>122.598</v>
      </c>
      <c r="P31" s="95">
        <f>P25+P28+P29</f>
        <v>8171.1673658063155</v>
      </c>
      <c r="Q31" s="95"/>
      <c r="R31" s="92"/>
      <c r="S31" s="92"/>
      <c r="T31" s="187"/>
      <c r="U31" s="139"/>
      <c r="V31" s="139"/>
      <c r="W31" s="139"/>
      <c r="X31" s="139"/>
      <c r="Y31" s="139"/>
      <c r="Z31" s="139"/>
      <c r="AA31" s="139"/>
      <c r="AB31" s="139"/>
      <c r="AC31" s="139"/>
      <c r="AD31" s="144"/>
      <c r="AF31" s="140"/>
      <c r="AG31" s="140"/>
      <c r="AH31" s="140"/>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row>
    <row r="32" spans="1:457">
      <c r="C32" s="101"/>
      <c r="D32" s="94"/>
      <c r="E32" s="94"/>
      <c r="F32" s="94"/>
      <c r="G32" s="94"/>
      <c r="H32" s="94"/>
      <c r="I32" s="94"/>
      <c r="J32" s="94"/>
      <c r="K32" s="94"/>
      <c r="L32" s="94"/>
      <c r="M32" s="94"/>
      <c r="N32" s="94"/>
      <c r="O32" s="95"/>
      <c r="P32" s="101"/>
      <c r="Q32" s="92"/>
      <c r="R32" s="92"/>
      <c r="S32" s="92"/>
      <c r="T32" s="90" t="s">
        <v>372</v>
      </c>
      <c r="U32" s="115">
        <f t="shared" ref="U32:AD32" si="28">U27+U28</f>
        <v>940758.90899999999</v>
      </c>
      <c r="V32" s="115">
        <f t="shared" si="28"/>
        <v>156004.49903354919</v>
      </c>
      <c r="W32" s="115">
        <f t="shared" si="28"/>
        <v>316043.59800000006</v>
      </c>
      <c r="X32" s="115">
        <f t="shared" si="28"/>
        <v>390099.26500000001</v>
      </c>
      <c r="Y32" s="115">
        <f t="shared" si="28"/>
        <v>122867.91680652683</v>
      </c>
      <c r="Z32" s="115">
        <f t="shared" si="28"/>
        <v>1045.2850000000001</v>
      </c>
      <c r="AA32" s="115">
        <f t="shared" si="28"/>
        <v>1330858.1740000001</v>
      </c>
      <c r="AB32" s="115">
        <f t="shared" si="28"/>
        <v>278872.41584007605</v>
      </c>
      <c r="AC32" s="115">
        <f t="shared" si="28"/>
        <v>317088.88300000003</v>
      </c>
      <c r="AD32" s="115">
        <f t="shared" si="28"/>
        <v>1926819.4728400761</v>
      </c>
      <c r="AF32" s="140"/>
      <c r="AG32" s="140"/>
      <c r="AH32" s="140"/>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row>
    <row r="33" spans="2:457" ht="30">
      <c r="B33" s="283"/>
      <c r="C33" s="284" t="s">
        <v>0</v>
      </c>
      <c r="D33" s="220" t="s">
        <v>383</v>
      </c>
      <c r="E33" s="220" t="s">
        <v>384</v>
      </c>
      <c r="F33" s="221" t="s">
        <v>172</v>
      </c>
      <c r="G33" s="221" t="s">
        <v>560</v>
      </c>
      <c r="H33" s="149"/>
      <c r="I33" s="149" t="s">
        <v>386</v>
      </c>
      <c r="J33" s="149" t="s">
        <v>385</v>
      </c>
      <c r="K33" s="149" t="s">
        <v>219</v>
      </c>
      <c r="L33" s="149" t="s">
        <v>11</v>
      </c>
      <c r="M33" s="149" t="s">
        <v>218</v>
      </c>
      <c r="N33" s="149" t="s">
        <v>171</v>
      </c>
      <c r="O33" s="149" t="s">
        <v>187</v>
      </c>
      <c r="P33" s="224" t="s">
        <v>7</v>
      </c>
      <c r="Q33" s="92"/>
      <c r="R33" s="92"/>
      <c r="S33" s="92"/>
      <c r="T33" s="56"/>
      <c r="U33" s="140"/>
      <c r="V33" s="140"/>
      <c r="W33" s="140"/>
      <c r="X33" s="140"/>
      <c r="Y33" s="140"/>
      <c r="Z33" s="140"/>
      <c r="AA33" s="140"/>
      <c r="AB33" s="140"/>
      <c r="AC33" s="140"/>
      <c r="AD33" s="144"/>
      <c r="AF33" s="140"/>
      <c r="AG33" s="140"/>
      <c r="AH33" s="140"/>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row>
    <row r="34" spans="2:457">
      <c r="C34" s="267" t="s">
        <v>226</v>
      </c>
      <c r="D34" s="94">
        <f>D3+D4</f>
        <v>121.58713299999999</v>
      </c>
      <c r="E34" s="94">
        <f t="shared" ref="E34:F34" si="29">E3+E4</f>
        <v>6.5447287070636406E-2</v>
      </c>
      <c r="F34" s="94">
        <f t="shared" si="29"/>
        <v>37.028000000000006</v>
      </c>
      <c r="G34" s="280">
        <f t="shared" ref="G34:G43" si="30">SUM(D34:F34)</f>
        <v>158.68058028707065</v>
      </c>
      <c r="H34" s="94"/>
      <c r="I34" s="94">
        <f>'AggrStep1-energy'!I94</f>
        <v>0</v>
      </c>
      <c r="J34" s="94">
        <f>'AggrStep1-energy'!J94</f>
        <v>0</v>
      </c>
      <c r="K34" s="94">
        <f>'AggrStep1-energy'!K94</f>
        <v>0</v>
      </c>
      <c r="L34" s="94">
        <f>'AggrStep1-energy'!L94</f>
        <v>0</v>
      </c>
      <c r="M34" s="94">
        <f>'AggrStep1-energy'!M94</f>
        <v>0</v>
      </c>
      <c r="N34" s="94">
        <f>'AggrStep1-energy'!N94</f>
        <v>0</v>
      </c>
      <c r="O34" s="94">
        <f>'AggrStep1-energy'!O94</f>
        <v>0</v>
      </c>
      <c r="P34" s="102">
        <f>SUM(G34,I34:O34)</f>
        <v>158.68058028707065</v>
      </c>
      <c r="Q34" s="92"/>
      <c r="R34" s="92"/>
      <c r="S34" s="92"/>
      <c r="T34" s="57"/>
      <c r="U34" s="57"/>
      <c r="V34" s="57"/>
      <c r="W34" s="57"/>
      <c r="X34" s="57"/>
      <c r="Y34" s="57"/>
      <c r="Z34" s="57"/>
      <c r="AA34" s="57"/>
      <c r="AB34" s="57"/>
      <c r="AC34" s="57"/>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row>
    <row r="35" spans="2:457">
      <c r="C35" s="267" t="s">
        <v>387</v>
      </c>
      <c r="D35" s="94">
        <f>SUM(D5:D10,D12:D13)</f>
        <v>411.05060300000002</v>
      </c>
      <c r="E35" s="94">
        <f t="shared" ref="E35:F35" si="31">SUM(E5:E10,E12:E13)</f>
        <v>593.18299999999999</v>
      </c>
      <c r="F35" s="94">
        <f t="shared" si="31"/>
        <v>530.60299999999995</v>
      </c>
      <c r="G35" s="280">
        <f t="shared" si="30"/>
        <v>1534.836603</v>
      </c>
      <c r="H35" s="94"/>
      <c r="I35" s="94">
        <f>'AggrStep1-energy'!I95</f>
        <v>63.782443000000001</v>
      </c>
      <c r="J35" s="94">
        <f>'AggrStep1-energy'!J95</f>
        <v>0</v>
      </c>
      <c r="K35" s="94">
        <f>'AggrStep1-energy'!K95</f>
        <v>0</v>
      </c>
      <c r="L35" s="94">
        <f>'AggrStep1-energy'!L95</f>
        <v>0.38100000000000001</v>
      </c>
      <c r="M35" s="94">
        <f>'AggrStep1-energy'!M95</f>
        <v>0</v>
      </c>
      <c r="N35" s="94">
        <f>'AggrStep1-energy'!N95</f>
        <v>0</v>
      </c>
      <c r="O35" s="94">
        <f>'AggrStep1-energy'!O95</f>
        <v>0</v>
      </c>
      <c r="P35" s="102">
        <f t="shared" ref="P35:P39" si="32">SUM(G35,I35:O35)</f>
        <v>1599.0000460000001</v>
      </c>
      <c r="Q35" s="92"/>
      <c r="R35" s="92"/>
      <c r="S35" s="92"/>
      <c r="T35" s="90" t="s">
        <v>422</v>
      </c>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row>
    <row r="36" spans="2:457">
      <c r="C36" s="226" t="s">
        <v>570</v>
      </c>
      <c r="D36" s="94">
        <f>SUM(D14:D19,D28)</f>
        <v>2254.9638948739002</v>
      </c>
      <c r="E36" s="94">
        <f t="shared" ref="E36" si="33">SUM(E14:E19,E28)</f>
        <v>1.3886131564022892</v>
      </c>
      <c r="F36" s="94">
        <f>SUM(F14:F19,F28)</f>
        <v>4.226999960136375</v>
      </c>
      <c r="G36" s="280">
        <f t="shared" si="30"/>
        <v>2260.5795079904387</v>
      </c>
      <c r="H36" s="94"/>
      <c r="I36" s="94">
        <f>'AggrStep1-energy'!I96</f>
        <v>0</v>
      </c>
      <c r="J36" s="94">
        <f>'AggrStep1-energy'!J96</f>
        <v>0</v>
      </c>
      <c r="K36" s="94">
        <f>'AggrStep1-energy'!K96</f>
        <v>0</v>
      </c>
      <c r="L36" s="94">
        <f>'AggrStep1-energy'!L96</f>
        <v>0</v>
      </c>
      <c r="M36" s="94">
        <f>'AggrStep1-energy'!M96</f>
        <v>0</v>
      </c>
      <c r="N36" s="94">
        <f>'AggrStep1-energy'!N96</f>
        <v>0</v>
      </c>
      <c r="O36" s="94">
        <f>'AggrStep1-energy'!O96</f>
        <v>0</v>
      </c>
      <c r="P36" s="102">
        <f t="shared" si="32"/>
        <v>2260.5795079904387</v>
      </c>
      <c r="Q36" s="92"/>
      <c r="R36" s="92"/>
      <c r="S36" s="92"/>
      <c r="T36" s="146" t="s">
        <v>226</v>
      </c>
      <c r="U36" s="78">
        <f>U5+U6</f>
        <v>16798.418000000001</v>
      </c>
      <c r="V36" s="78">
        <f t="shared" ref="V36:AC36" si="34">V5+V6</f>
        <v>5.9706494829678478</v>
      </c>
      <c r="W36" s="78">
        <f t="shared" si="34"/>
        <v>3001.944</v>
      </c>
      <c r="X36" s="78">
        <f t="shared" si="34"/>
        <v>59.913999999999987</v>
      </c>
      <c r="Y36" s="78">
        <f t="shared" si="34"/>
        <v>3.7266061988958232</v>
      </c>
      <c r="Z36" s="78">
        <f t="shared" si="34"/>
        <v>6.9869999999999974</v>
      </c>
      <c r="AA36" s="78">
        <f t="shared" si="34"/>
        <v>16858.332000000002</v>
      </c>
      <c r="AB36" s="78">
        <f t="shared" si="34"/>
        <v>9.6972556818636715</v>
      </c>
      <c r="AC36" s="78">
        <f t="shared" si="34"/>
        <v>3008.931</v>
      </c>
      <c r="AD36" s="140">
        <f>SUM(AA36:AC36)</f>
        <v>19876.960255681865</v>
      </c>
      <c r="AE36" s="142"/>
      <c r="AF36" s="145"/>
      <c r="AG36" s="145"/>
      <c r="AH36" s="145"/>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row>
    <row r="37" spans="2:457" ht="15.75">
      <c r="C37" s="66" t="s">
        <v>214</v>
      </c>
      <c r="D37" s="94">
        <f>D20</f>
        <v>69.427136802081847</v>
      </c>
      <c r="E37" s="94">
        <f t="shared" ref="E37:F37" si="35">E20</f>
        <v>11.097</v>
      </c>
      <c r="F37" s="94">
        <f t="shared" si="35"/>
        <v>50.080999638307667</v>
      </c>
      <c r="G37" s="280">
        <f>SUM(D37:F37)</f>
        <v>130.60513644038951</v>
      </c>
      <c r="H37" s="94"/>
      <c r="I37" s="94">
        <f>'AggrStep1-energy'!I97</f>
        <v>0</v>
      </c>
      <c r="J37" s="94">
        <f>'AggrStep1-energy'!J97</f>
        <v>0</v>
      </c>
      <c r="K37" s="94">
        <f>'AggrStep1-energy'!K97</f>
        <v>0</v>
      </c>
      <c r="L37" s="94">
        <f>'AggrStep1-energy'!L97</f>
        <v>2.819</v>
      </c>
      <c r="M37" s="94">
        <f>'AggrStep1-energy'!M97</f>
        <v>0</v>
      </c>
      <c r="N37" s="94">
        <f>'AggrStep1-energy'!N97</f>
        <v>0</v>
      </c>
      <c r="O37" s="94">
        <f>'AggrStep1-energy'!O97</f>
        <v>0</v>
      </c>
      <c r="P37" s="102">
        <f t="shared" si="32"/>
        <v>133.4241364403895</v>
      </c>
      <c r="Q37" s="92"/>
      <c r="R37" s="92"/>
      <c r="S37" s="92"/>
      <c r="T37" s="147" t="s">
        <v>387</v>
      </c>
      <c r="U37" s="148">
        <f t="shared" ref="U37:AC37" si="36">SUM(U7:U12,U14:U15)</f>
        <v>144957.04499999998</v>
      </c>
      <c r="V37" s="148">
        <f t="shared" si="36"/>
        <v>38240.270169186995</v>
      </c>
      <c r="W37" s="148">
        <f t="shared" si="36"/>
        <v>166341.18569645286</v>
      </c>
      <c r="X37" s="148">
        <f t="shared" si="36"/>
        <v>13084.055</v>
      </c>
      <c r="Y37" s="148">
        <f t="shared" si="36"/>
        <v>49651.030977132672</v>
      </c>
      <c r="Z37" s="148">
        <f t="shared" si="36"/>
        <v>763.59716641477121</v>
      </c>
      <c r="AA37" s="148">
        <f t="shared" si="36"/>
        <v>158041.09999999998</v>
      </c>
      <c r="AB37" s="148">
        <f t="shared" si="36"/>
        <v>87891.301146319689</v>
      </c>
      <c r="AC37" s="148">
        <f t="shared" si="36"/>
        <v>167104.78286286767</v>
      </c>
      <c r="AD37" s="140">
        <f t="shared" ref="AD37" si="37">SUM(AA37:AC37)</f>
        <v>413037.18400918733</v>
      </c>
      <c r="AE37" s="92"/>
      <c r="AF37" s="338"/>
      <c r="AG37" s="145"/>
      <c r="AH37" s="145"/>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row>
    <row r="38" spans="2:457" ht="15.75">
      <c r="C38" s="66" t="s">
        <v>215</v>
      </c>
      <c r="D38" s="94">
        <f>D21</f>
        <v>25.010031468531466</v>
      </c>
      <c r="E38" s="94">
        <f t="shared" ref="E38:F38" si="38">E21</f>
        <v>0</v>
      </c>
      <c r="F38" s="94">
        <f t="shared" si="38"/>
        <v>33.427</v>
      </c>
      <c r="G38" s="280">
        <f t="shared" ref="G38:G39" si="39">SUM(D38:F38)</f>
        <v>58.437031468531465</v>
      </c>
      <c r="H38" s="94"/>
      <c r="I38" s="94">
        <f>'AggrStep1-energy'!I98</f>
        <v>0</v>
      </c>
      <c r="J38" s="94">
        <f>'AggrStep1-energy'!J98</f>
        <v>0</v>
      </c>
      <c r="K38" s="94">
        <f>'AggrStep1-energy'!K98</f>
        <v>0</v>
      </c>
      <c r="L38" s="94">
        <f>'AggrStep1-energy'!L98</f>
        <v>0</v>
      </c>
      <c r="M38" s="94">
        <f>'AggrStep1-energy'!M98</f>
        <v>0</v>
      </c>
      <c r="N38" s="94">
        <f>'AggrStep1-energy'!N98</f>
        <v>0</v>
      </c>
      <c r="O38" s="94">
        <f>'AggrStep1-energy'!O98</f>
        <v>0</v>
      </c>
      <c r="P38" s="102">
        <f t="shared" si="32"/>
        <v>58.437031468531465</v>
      </c>
      <c r="Q38" s="92"/>
      <c r="R38" s="92"/>
      <c r="S38" s="92"/>
      <c r="T38" s="661" t="s">
        <v>952</v>
      </c>
      <c r="U38" s="148">
        <f>SUM(U16:U21,U28)</f>
        <v>590002.39800000004</v>
      </c>
      <c r="V38" s="148">
        <f t="shared" ref="V38:AC38" si="40">SUM(V16:V21,V28)</f>
        <v>9254.2846600000012</v>
      </c>
      <c r="W38" s="148">
        <f t="shared" si="40"/>
        <v>41954.794999999998</v>
      </c>
      <c r="X38" s="148">
        <f t="shared" si="40"/>
        <v>46647.432000000001</v>
      </c>
      <c r="Y38" s="148">
        <f t="shared" si="40"/>
        <v>338.56619000000001</v>
      </c>
      <c r="Z38" s="148">
        <f t="shared" si="40"/>
        <v>9.5389999999999997</v>
      </c>
      <c r="AA38" s="148">
        <f t="shared" si="40"/>
        <v>636649.83000000007</v>
      </c>
      <c r="AB38" s="148">
        <f t="shared" si="40"/>
        <v>9592.8508500000007</v>
      </c>
      <c r="AC38" s="148">
        <f t="shared" si="40"/>
        <v>41964.334000000003</v>
      </c>
      <c r="AD38" s="140">
        <f>SUM(AA38:AC38)</f>
        <v>688207.01485000015</v>
      </c>
      <c r="AE38" s="92"/>
      <c r="AF38" s="148"/>
      <c r="AG38" s="339"/>
      <c r="AH38" s="145"/>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row>
    <row r="39" spans="2:457" ht="15.75">
      <c r="C39" s="276" t="s">
        <v>241</v>
      </c>
      <c r="D39" s="94">
        <f>D29</f>
        <v>258.308876</v>
      </c>
      <c r="E39" s="94">
        <f t="shared" ref="E39:F39" si="41">E29</f>
        <v>33.802999999999997</v>
      </c>
      <c r="F39" s="94">
        <f t="shared" si="41"/>
        <v>191.13900000000001</v>
      </c>
      <c r="G39" s="280">
        <f t="shared" si="39"/>
        <v>483.25087600000001</v>
      </c>
      <c r="H39" s="94"/>
      <c r="I39" s="94">
        <f>'AggrStep1-energy'!I99</f>
        <v>255.42239699999999</v>
      </c>
      <c r="J39" s="94">
        <f>'AggrStep1-energy'!J99</f>
        <v>0</v>
      </c>
      <c r="K39" s="94">
        <f>'AggrStep1-energy'!K99</f>
        <v>0</v>
      </c>
      <c r="L39" s="94">
        <f>'AggrStep1-energy'!L99</f>
        <v>4.0359999999999996</v>
      </c>
      <c r="M39" s="94">
        <f>'AggrStep1-energy'!M99</f>
        <v>0</v>
      </c>
      <c r="N39" s="94">
        <f>'AggrStep1-energy'!N99</f>
        <v>0</v>
      </c>
      <c r="O39" s="94">
        <f>'AggrStep1-energy'!O99</f>
        <v>0</v>
      </c>
      <c r="P39" s="102">
        <f t="shared" si="32"/>
        <v>742.70927299999994</v>
      </c>
      <c r="Q39" s="92"/>
      <c r="R39" s="92"/>
      <c r="S39" s="92"/>
      <c r="T39" s="330" t="s">
        <v>214</v>
      </c>
      <c r="U39" s="148">
        <f>U22</f>
        <v>71886.799000000014</v>
      </c>
      <c r="V39" s="148">
        <f t="shared" ref="V39:AC39" si="42">V22</f>
        <v>906.27792000000022</v>
      </c>
      <c r="W39" s="148">
        <f t="shared" si="42"/>
        <v>85005.48900000006</v>
      </c>
      <c r="X39" s="148">
        <f t="shared" si="42"/>
        <v>1294.8979999999992</v>
      </c>
      <c r="Y39" s="148">
        <f t="shared" si="42"/>
        <v>1568.2868799999999</v>
      </c>
      <c r="Z39" s="148">
        <f t="shared" si="42"/>
        <v>196.09000000000003</v>
      </c>
      <c r="AA39" s="148">
        <f t="shared" si="42"/>
        <v>73181.697000000015</v>
      </c>
      <c r="AB39" s="332">
        <f t="shared" si="42"/>
        <v>2474.5648000000001</v>
      </c>
      <c r="AC39" s="148">
        <f t="shared" si="42"/>
        <v>85201.579000000056</v>
      </c>
      <c r="AD39" s="140">
        <f t="shared" ref="AD39:AD40" si="43">SUM(AA39:AC39)</f>
        <v>160857.84080000006</v>
      </c>
      <c r="AE39" s="92"/>
      <c r="AF39" s="148"/>
      <c r="AG39" s="339"/>
      <c r="AH39" s="145"/>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row>
    <row r="40" spans="2:457" ht="15.75">
      <c r="C40" s="51" t="s">
        <v>586</v>
      </c>
      <c r="D40" s="95">
        <f>SUM(D34:D39)</f>
        <v>3140.3476751445137</v>
      </c>
      <c r="E40" s="95">
        <f t="shared" ref="E40" si="44">SUM(E34:E39)</f>
        <v>639.5370604434728</v>
      </c>
      <c r="F40" s="395">
        <f>SUM(F34:F39)</f>
        <v>846.50499959844399</v>
      </c>
      <c r="G40" s="395">
        <f>SUM(G34:G39)</f>
        <v>4626.3897351864298</v>
      </c>
      <c r="H40" s="94"/>
      <c r="I40" s="95">
        <f>SUM(I34:I39)</f>
        <v>319.20483999999999</v>
      </c>
      <c r="J40" s="95">
        <f t="shared" ref="J40:O40" si="45">SUM(J34:J39)</f>
        <v>0</v>
      </c>
      <c r="K40" s="95">
        <f t="shared" si="45"/>
        <v>0</v>
      </c>
      <c r="L40" s="95">
        <f t="shared" si="45"/>
        <v>7.2359999999999998</v>
      </c>
      <c r="M40" s="95">
        <f t="shared" si="45"/>
        <v>0</v>
      </c>
      <c r="N40" s="95">
        <f t="shared" si="45"/>
        <v>0</v>
      </c>
      <c r="O40" s="95">
        <f t="shared" si="45"/>
        <v>0</v>
      </c>
      <c r="P40" s="95">
        <f>SUM(P34:P39)</f>
        <v>4952.83057518643</v>
      </c>
      <c r="Q40" s="92"/>
      <c r="R40" s="92"/>
      <c r="S40" s="92"/>
      <c r="T40" s="330" t="s">
        <v>215</v>
      </c>
      <c r="U40" s="148">
        <f t="shared" ref="U40:AC40" si="46">U23</f>
        <v>14162.569</v>
      </c>
      <c r="V40" s="148">
        <f t="shared" si="46"/>
        <v>0</v>
      </c>
      <c r="W40" s="148">
        <f t="shared" si="46"/>
        <v>14479.469000000001</v>
      </c>
      <c r="X40" s="148">
        <f t="shared" si="46"/>
        <v>143.16899999999998</v>
      </c>
      <c r="Y40" s="148">
        <f t="shared" si="46"/>
        <v>0</v>
      </c>
      <c r="Z40" s="148">
        <f t="shared" si="46"/>
        <v>58.888999999999996</v>
      </c>
      <c r="AA40" s="148">
        <f t="shared" si="46"/>
        <v>14305.737999999999</v>
      </c>
      <c r="AB40" s="332">
        <f t="shared" si="46"/>
        <v>0</v>
      </c>
      <c r="AC40" s="148">
        <f t="shared" si="46"/>
        <v>14538.358</v>
      </c>
      <c r="AD40" s="140">
        <f t="shared" si="43"/>
        <v>28844.095999999998</v>
      </c>
      <c r="AF40" s="148"/>
      <c r="AG40" s="339"/>
      <c r="AH40" s="145"/>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row>
    <row r="41" spans="2:457">
      <c r="C41" s="51"/>
      <c r="D41" s="94"/>
      <c r="E41" s="94"/>
      <c r="F41" s="94"/>
      <c r="G41" s="94"/>
      <c r="H41" s="94"/>
      <c r="I41" s="94"/>
      <c r="J41" s="94"/>
      <c r="K41" s="94"/>
      <c r="L41" s="94"/>
      <c r="M41" s="94"/>
      <c r="N41" s="94"/>
      <c r="O41" s="95"/>
      <c r="P41" s="102"/>
      <c r="Q41" s="92"/>
      <c r="R41" s="92"/>
      <c r="S41" s="92"/>
      <c r="T41" s="147" t="s">
        <v>388</v>
      </c>
      <c r="U41" s="148">
        <f t="shared" ref="U41:AC41" si="47">SUM(U13,U24:U25)</f>
        <v>21729.329999999998</v>
      </c>
      <c r="V41" s="148">
        <f t="shared" si="47"/>
        <v>80040.761686362894</v>
      </c>
      <c r="W41" s="148">
        <f t="shared" si="47"/>
        <v>3874.6193035470906</v>
      </c>
      <c r="X41" s="148">
        <f t="shared" si="47"/>
        <v>328447.84599999996</v>
      </c>
      <c r="Y41" s="148">
        <f t="shared" si="47"/>
        <v>68684.086583629323</v>
      </c>
      <c r="Z41" s="148">
        <f t="shared" si="47"/>
        <v>9.0058335852289435</v>
      </c>
      <c r="AA41" s="148">
        <f t="shared" si="47"/>
        <v>350177.17599999998</v>
      </c>
      <c r="AB41" s="148">
        <f t="shared" si="47"/>
        <v>148724.84826999222</v>
      </c>
      <c r="AC41" s="148">
        <f t="shared" si="47"/>
        <v>3883.6251371323192</v>
      </c>
      <c r="AD41" s="140">
        <f>SUM(AA41:AC41)</f>
        <v>502785.6494071245</v>
      </c>
      <c r="AE41" s="92"/>
      <c r="AF41" s="148"/>
      <c r="AG41" s="339"/>
      <c r="AH41" s="145"/>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row>
    <row r="42" spans="2:457">
      <c r="C42" s="267" t="s">
        <v>388</v>
      </c>
      <c r="D42" s="94">
        <f>SUM(D11,D22:D23)</f>
        <v>233.45145066666669</v>
      </c>
      <c r="E42" s="94">
        <f t="shared" ref="E42:F42" si="48">SUM(E11,E22:E23)</f>
        <v>743.62424134996115</v>
      </c>
      <c r="F42" s="94">
        <f t="shared" si="48"/>
        <v>12.331562947117295</v>
      </c>
      <c r="G42" s="280">
        <f t="shared" si="30"/>
        <v>989.40725496374512</v>
      </c>
      <c r="H42" s="94"/>
      <c r="I42" s="94">
        <f>'AggrStep1-energy'!I102</f>
        <v>0</v>
      </c>
      <c r="J42" s="94">
        <f>'AggrStep1-energy'!J102</f>
        <v>0</v>
      </c>
      <c r="K42" s="94">
        <f>'AggrStep1-energy'!K102</f>
        <v>0</v>
      </c>
      <c r="L42" s="94">
        <f>'AggrStep1-energy'!L102</f>
        <v>0</v>
      </c>
      <c r="M42" s="94">
        <f>'AggrStep1-energy'!M102</f>
        <v>0</v>
      </c>
      <c r="N42" s="94">
        <f>'AggrStep1-energy'!N102</f>
        <v>0</v>
      </c>
      <c r="O42" s="94">
        <f>'AggrStep1-energy'!O102</f>
        <v>0</v>
      </c>
      <c r="P42" s="102">
        <f>SUM(G42,I42:O42)</f>
        <v>989.40725496374512</v>
      </c>
      <c r="Q42" s="92"/>
      <c r="R42" s="92"/>
      <c r="S42" s="92"/>
      <c r="T42" s="147" t="s">
        <v>421</v>
      </c>
      <c r="U42" s="148">
        <f t="shared" ref="U42:AC42" si="49">U26</f>
        <v>81222.350000000006</v>
      </c>
      <c r="V42" s="148">
        <f t="shared" si="49"/>
        <v>27556.933948516333</v>
      </c>
      <c r="W42" s="148">
        <f t="shared" si="49"/>
        <v>1386.096</v>
      </c>
      <c r="X42" s="148">
        <f t="shared" si="49"/>
        <v>421.95100000000002</v>
      </c>
      <c r="Y42" s="148">
        <f t="shared" si="49"/>
        <v>2622.2195695659325</v>
      </c>
      <c r="Z42" s="148">
        <f t="shared" si="49"/>
        <v>1.177</v>
      </c>
      <c r="AA42" s="148">
        <f t="shared" si="49"/>
        <v>81644.301000000007</v>
      </c>
      <c r="AB42" s="148">
        <f t="shared" si="49"/>
        <v>30179.153518082265</v>
      </c>
      <c r="AC42" s="148">
        <f t="shared" si="49"/>
        <v>1387.2729999999999</v>
      </c>
      <c r="AD42" s="140">
        <f>SUM(AA42:AC42)</f>
        <v>113210.72751808228</v>
      </c>
      <c r="AE42" s="92"/>
      <c r="AF42" s="145"/>
      <c r="AG42" s="145"/>
      <c r="AH42" s="145"/>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row>
    <row r="43" spans="2:457">
      <c r="C43" s="267" t="s">
        <v>574</v>
      </c>
      <c r="D43" s="94">
        <f>D24</f>
        <v>828.16699999999992</v>
      </c>
      <c r="E43" s="94">
        <f t="shared" ref="E43" si="50">E24</f>
        <v>1303.69</v>
      </c>
      <c r="F43" s="94">
        <f>F24</f>
        <v>36.530535656139875</v>
      </c>
      <c r="G43" s="280">
        <f t="shared" si="30"/>
        <v>2168.3875356561398</v>
      </c>
      <c r="H43" s="94"/>
      <c r="I43" s="94">
        <f>'AggrStep1-energy'!I103</f>
        <v>60.542000000000002</v>
      </c>
      <c r="J43" s="94">
        <f>'AggrStep1-energy'!J103</f>
        <v>0</v>
      </c>
      <c r="K43" s="94">
        <f>'AggrStep1-energy'!K103</f>
        <v>15.064</v>
      </c>
      <c r="L43" s="94">
        <f>'AggrStep1-energy'!L103</f>
        <v>0.36</v>
      </c>
      <c r="M43" s="94">
        <f>'AggrStep1-energy'!M103</f>
        <v>100.87700000000001</v>
      </c>
      <c r="N43" s="94">
        <f>'AggrStep1-energy'!N103</f>
        <v>131.316</v>
      </c>
      <c r="O43" s="94">
        <f>'AggrStep1-energy'!O103</f>
        <v>122.598</v>
      </c>
      <c r="P43" s="102">
        <f>G43+I43</f>
        <v>2228.9295356561397</v>
      </c>
      <c r="Q43" s="92"/>
      <c r="R43" s="92"/>
      <c r="S43" s="92"/>
      <c r="T43" s="98" t="s">
        <v>7</v>
      </c>
      <c r="U43" s="144">
        <f>SUM(U36:U42)</f>
        <v>940758.90899999999</v>
      </c>
      <c r="V43" s="144">
        <f t="shared" ref="V43:AD43" si="51">SUM(V36:V42)</f>
        <v>156004.49903354919</v>
      </c>
      <c r="W43" s="144">
        <f t="shared" si="51"/>
        <v>316043.598</v>
      </c>
      <c r="X43" s="144">
        <f t="shared" si="51"/>
        <v>390099.26499999996</v>
      </c>
      <c r="Y43" s="144">
        <f t="shared" si="51"/>
        <v>122867.91680652683</v>
      </c>
      <c r="Z43" s="144">
        <f t="shared" si="51"/>
        <v>1045.2849999999999</v>
      </c>
      <c r="AA43" s="144">
        <f t="shared" si="51"/>
        <v>1330858.1740000001</v>
      </c>
      <c r="AB43" s="144">
        <f t="shared" si="51"/>
        <v>278872.41584007605</v>
      </c>
      <c r="AC43" s="144">
        <f t="shared" si="51"/>
        <v>317088.88300000003</v>
      </c>
      <c r="AD43" s="144">
        <f t="shared" si="51"/>
        <v>1926819.4728400761</v>
      </c>
      <c r="AE43" s="92"/>
      <c r="AF43" s="92"/>
      <c r="AG43" s="92"/>
      <c r="AH43" s="145"/>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row>
    <row r="44" spans="2:457">
      <c r="C44" s="267"/>
      <c r="D44" s="94"/>
      <c r="E44" s="94"/>
      <c r="F44" s="94"/>
      <c r="G44" s="94"/>
      <c r="H44" s="94"/>
      <c r="I44" s="94"/>
      <c r="J44" s="94"/>
      <c r="K44" s="94"/>
      <c r="L44" s="94"/>
      <c r="M44" s="94"/>
      <c r="N44" s="94"/>
      <c r="O44" s="95"/>
      <c r="P44" s="102"/>
      <c r="Q44" s="92"/>
      <c r="R44" s="92"/>
      <c r="S44" s="92"/>
      <c r="AE44" s="92"/>
      <c r="AF44" s="92"/>
      <c r="AG44" s="92"/>
      <c r="AH44" s="145"/>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row>
    <row r="45" spans="2:457">
      <c r="C45" s="51" t="s">
        <v>546</v>
      </c>
      <c r="D45" s="95">
        <f>D40+D42+D43</f>
        <v>4201.966125811181</v>
      </c>
      <c r="E45" s="95">
        <f t="shared" ref="E45" si="52">E40+E42+E43</f>
        <v>2686.8513017934338</v>
      </c>
      <c r="F45" s="95">
        <f>F40+F42+F43</f>
        <v>895.36709820170108</v>
      </c>
      <c r="G45" s="280">
        <f>SUM(D45:F45)</f>
        <v>7784.1845258063158</v>
      </c>
      <c r="H45" s="94"/>
      <c r="I45" s="95">
        <f>I40+I42+I43</f>
        <v>379.74684000000002</v>
      </c>
      <c r="J45" s="95">
        <f t="shared" ref="J45:P45" si="53">J40+J42+J43</f>
        <v>0</v>
      </c>
      <c r="K45" s="95">
        <f t="shared" si="53"/>
        <v>15.064</v>
      </c>
      <c r="L45" s="95">
        <f t="shared" si="53"/>
        <v>7.5960000000000001</v>
      </c>
      <c r="M45" s="95">
        <f t="shared" si="53"/>
        <v>100.87700000000001</v>
      </c>
      <c r="N45" s="95">
        <f t="shared" si="53"/>
        <v>131.316</v>
      </c>
      <c r="O45" s="95">
        <f t="shared" si="53"/>
        <v>122.598</v>
      </c>
      <c r="P45" s="95">
        <f t="shared" si="53"/>
        <v>8171.1673658063146</v>
      </c>
      <c r="Q45" s="92"/>
      <c r="R45" s="92"/>
      <c r="S45" s="92"/>
      <c r="T45" s="632" t="s">
        <v>940</v>
      </c>
      <c r="U45" s="597">
        <f t="shared" ref="U45:AC45" si="54">U29</f>
        <v>218054.12699999998</v>
      </c>
      <c r="V45" s="597">
        <f t="shared" si="54"/>
        <v>0</v>
      </c>
      <c r="W45" s="597">
        <f t="shared" si="54"/>
        <v>44.759939941194922</v>
      </c>
      <c r="X45" s="597">
        <f t="shared" si="54"/>
        <v>11.0238</v>
      </c>
      <c r="Y45" s="597">
        <f t="shared" si="54"/>
        <v>0</v>
      </c>
      <c r="Z45" s="597">
        <f t="shared" si="54"/>
        <v>0</v>
      </c>
      <c r="AA45" s="597">
        <f t="shared" si="54"/>
        <v>218065.1508</v>
      </c>
      <c r="AB45" s="597">
        <f t="shared" si="54"/>
        <v>0</v>
      </c>
      <c r="AC45" s="597">
        <f t="shared" si="54"/>
        <v>44.759939941194922</v>
      </c>
      <c r="AD45" s="140">
        <f>SUM(AA45:AC45)</f>
        <v>218109.9107399412</v>
      </c>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row>
    <row r="46" spans="2:457">
      <c r="D46" s="94"/>
      <c r="E46" s="94"/>
      <c r="F46" s="94"/>
      <c r="G46" s="94"/>
      <c r="H46" s="94"/>
      <c r="I46" s="94"/>
      <c r="J46" s="94"/>
      <c r="K46" s="94"/>
      <c r="L46" s="94"/>
      <c r="M46" s="94"/>
      <c r="N46" s="94"/>
      <c r="O46" s="95"/>
      <c r="P46" s="101"/>
      <c r="Q46" s="92"/>
      <c r="R46" s="92"/>
      <c r="S46" s="92"/>
      <c r="T46" s="331" t="s">
        <v>241</v>
      </c>
      <c r="U46" s="148">
        <f t="shared" ref="U46:AC46" si="55">U30</f>
        <v>145369.41800000001</v>
      </c>
      <c r="V46" s="148">
        <f t="shared" si="55"/>
        <v>9122.0974100000003</v>
      </c>
      <c r="W46" s="148">
        <f t="shared" si="55"/>
        <v>37809.973060058801</v>
      </c>
      <c r="X46" s="148">
        <f t="shared" si="55"/>
        <v>7.3492000000000006</v>
      </c>
      <c r="Y46" s="148">
        <f t="shared" si="55"/>
        <v>161.10099</v>
      </c>
      <c r="Z46" s="148">
        <f t="shared" si="55"/>
        <v>0</v>
      </c>
      <c r="AA46" s="148">
        <f t="shared" si="55"/>
        <v>145376.7672</v>
      </c>
      <c r="AB46" s="332">
        <f t="shared" si="55"/>
        <v>9283.1984000000011</v>
      </c>
      <c r="AC46" s="148">
        <f t="shared" si="55"/>
        <v>37809.973060058801</v>
      </c>
      <c r="AD46" s="140">
        <f>SUM(AA46:AC46)</f>
        <v>192469.9386600588</v>
      </c>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row>
    <row r="47" spans="2:457">
      <c r="B47" s="283"/>
      <c r="C47" s="310" t="s">
        <v>591</v>
      </c>
      <c r="D47" s="277"/>
      <c r="E47" s="277"/>
      <c r="F47" s="277"/>
      <c r="G47" s="277"/>
      <c r="H47" s="277"/>
      <c r="I47" s="277"/>
      <c r="J47" s="277"/>
      <c r="K47" s="277"/>
      <c r="L47" s="277"/>
      <c r="M47" s="277"/>
      <c r="N47" s="277"/>
      <c r="O47" s="278"/>
      <c r="P47" s="316"/>
      <c r="Q47" s="92"/>
      <c r="R47" s="92"/>
      <c r="S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row>
    <row r="48" spans="2:457" ht="18.75">
      <c r="C48" s="311" t="s">
        <v>226</v>
      </c>
      <c r="D48" s="307">
        <f>D34-'AggrStep1-energy'!D94</f>
        <v>0</v>
      </c>
      <c r="E48" s="307">
        <f>E34-'AggrStep1-energy'!E94</f>
        <v>6.5447287070636406E-2</v>
      </c>
      <c r="F48" s="307">
        <f>F34-'AggrStep1-energy'!F94</f>
        <v>0</v>
      </c>
      <c r="G48" s="308">
        <f>SUM(D48:F48)</f>
        <v>6.5447287070636406E-2</v>
      </c>
      <c r="H48" s="94"/>
      <c r="I48" s="94"/>
      <c r="J48" s="94"/>
      <c r="K48" s="94"/>
      <c r="L48" s="94"/>
      <c r="M48" s="94"/>
      <c r="N48" s="94"/>
      <c r="O48" s="95"/>
      <c r="P48" s="101"/>
      <c r="Q48" s="92"/>
      <c r="R48" s="92"/>
      <c r="S48" s="92"/>
      <c r="T48" s="713" t="s">
        <v>569</v>
      </c>
      <c r="U48" s="713"/>
      <c r="V48" s="713"/>
      <c r="W48" s="713"/>
      <c r="X48" s="713"/>
      <c r="Y48" s="713"/>
      <c r="Z48" s="713"/>
      <c r="AA48" s="713"/>
      <c r="AB48" s="713"/>
      <c r="AC48" s="713"/>
      <c r="AD48" s="148"/>
      <c r="AE48" s="92"/>
      <c r="AF48" s="92"/>
      <c r="AG48" s="92"/>
      <c r="AH48" s="92"/>
      <c r="AI48" s="186"/>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row>
    <row r="49" spans="1:457">
      <c r="C49" s="311" t="s">
        <v>387</v>
      </c>
      <c r="D49" s="307">
        <f>D35-'AggrStep1-energy'!D95</f>
        <v>0</v>
      </c>
      <c r="E49" s="307">
        <f>E35-'AggrStep1-energy'!E95</f>
        <v>0</v>
      </c>
      <c r="F49" s="307">
        <f>F35-'AggrStep1-energy'!F95</f>
        <v>0</v>
      </c>
      <c r="G49" s="308">
        <f t="shared" ref="G49" si="56">SUM(D49:F49)</f>
        <v>0</v>
      </c>
      <c r="H49" s="94"/>
      <c r="I49" s="94"/>
      <c r="J49" s="94"/>
      <c r="K49" s="94"/>
      <c r="L49" s="94"/>
      <c r="M49" s="94"/>
      <c r="N49" s="94"/>
      <c r="O49" s="95"/>
      <c r="P49" s="101"/>
      <c r="Q49" s="92"/>
      <c r="R49" s="92"/>
      <c r="S49" s="92"/>
      <c r="T49" s="90"/>
      <c r="U49" s="148"/>
      <c r="V49" s="148"/>
      <c r="W49" s="148"/>
      <c r="X49" s="148"/>
      <c r="Y49" s="148"/>
      <c r="Z49" s="148"/>
      <c r="AA49" s="148"/>
      <c r="AB49" s="148"/>
      <c r="AC49" s="148"/>
      <c r="AD49" s="148"/>
      <c r="AE49" s="92"/>
      <c r="AF49" s="92"/>
      <c r="AG49" s="92"/>
      <c r="AH49" s="92"/>
      <c r="AI49" s="186"/>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row>
    <row r="50" spans="1:457">
      <c r="C50" s="312" t="s">
        <v>570</v>
      </c>
      <c r="D50" s="307">
        <f>D36-'AggrStep1-energy'!D96</f>
        <v>-1.2082551260996297</v>
      </c>
      <c r="E50" s="307">
        <f>E36-'AggrStep1-energy'!E96</f>
        <v>0.52161315640228922</v>
      </c>
      <c r="F50" s="307">
        <f>F36-'AggrStep1-energy'!F96</f>
        <v>-3.9863624401448305E-8</v>
      </c>
      <c r="G50" s="308">
        <f>SUM(D50:F50)</f>
        <v>-0.68664200956096488</v>
      </c>
      <c r="H50" s="94"/>
      <c r="I50" s="94"/>
      <c r="J50" s="94"/>
      <c r="K50" s="94"/>
      <c r="L50" s="94"/>
      <c r="M50" s="94"/>
      <c r="N50" s="94"/>
      <c r="O50" s="95"/>
      <c r="P50" s="101"/>
      <c r="Q50" s="92"/>
      <c r="R50" s="92"/>
      <c r="S50" s="92"/>
      <c r="T50" s="90"/>
      <c r="U50" s="148"/>
      <c r="V50" s="148"/>
      <c r="W50" s="148"/>
      <c r="X50" s="148"/>
      <c r="Y50" s="148"/>
      <c r="Z50" s="148"/>
      <c r="AA50" s="148"/>
      <c r="AB50" s="148"/>
      <c r="AC50" s="148"/>
      <c r="AD50" s="148"/>
      <c r="AE50" s="92"/>
      <c r="AF50" s="92"/>
      <c r="AG50" s="92"/>
      <c r="AH50" s="92"/>
      <c r="AI50" s="186"/>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row>
    <row r="51" spans="1:457" ht="15.75">
      <c r="C51" s="313" t="s">
        <v>214</v>
      </c>
      <c r="D51" s="307">
        <f>D37-'AggrStep1-energy'!D97</f>
        <v>-1.9791815475400654E-7</v>
      </c>
      <c r="E51" s="307">
        <f>E37-'AggrStep1-energy'!E97</f>
        <v>0</v>
      </c>
      <c r="F51" s="307">
        <f>F37-'AggrStep1-energy'!F97</f>
        <v>-3.6169233652572075E-7</v>
      </c>
      <c r="G51" s="308">
        <f>SUM(D51:F51)</f>
        <v>-5.5961049127972728E-7</v>
      </c>
      <c r="H51" s="94"/>
      <c r="I51" s="94"/>
      <c r="J51" s="94"/>
      <c r="K51" s="94"/>
      <c r="L51" s="94"/>
      <c r="M51" s="94"/>
      <c r="N51" s="94"/>
      <c r="O51" s="95"/>
      <c r="P51" s="101"/>
      <c r="Q51" s="92"/>
      <c r="R51" s="92"/>
      <c r="S51" s="92"/>
      <c r="T51" s="147"/>
      <c r="U51" s="53" t="s">
        <v>419</v>
      </c>
      <c r="V51" s="53" t="s">
        <v>384</v>
      </c>
      <c r="W51" s="53" t="s">
        <v>172</v>
      </c>
      <c r="X51" s="98"/>
      <c r="Y51" s="53" t="s">
        <v>419</v>
      </c>
      <c r="Z51" s="53" t="s">
        <v>384</v>
      </c>
      <c r="AA51" s="53" t="s">
        <v>172</v>
      </c>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row>
    <row r="52" spans="1:457" ht="15.75">
      <c r="C52" s="313" t="s">
        <v>215</v>
      </c>
      <c r="D52" s="307">
        <f>D38-'AggrStep1-energy'!D98</f>
        <v>25.010031468531466</v>
      </c>
      <c r="E52" s="307">
        <f>E38-'AggrStep1-energy'!E98</f>
        <v>0</v>
      </c>
      <c r="F52" s="307">
        <f>F38-'AggrStep1-energy'!F98</f>
        <v>0</v>
      </c>
      <c r="G52" s="308">
        <f t="shared" ref="G52:G54" si="57">SUM(D52:F52)</f>
        <v>25.010031468531466</v>
      </c>
      <c r="H52" s="94"/>
      <c r="I52" s="94"/>
      <c r="J52" s="94"/>
      <c r="K52" s="94"/>
      <c r="L52" s="94"/>
      <c r="M52" s="94"/>
      <c r="N52" s="94"/>
      <c r="O52" s="95"/>
      <c r="P52" s="101"/>
      <c r="Q52" s="92"/>
      <c r="R52" s="92"/>
      <c r="S52" s="92"/>
      <c r="T52" t="s">
        <v>378</v>
      </c>
      <c r="U52" s="269">
        <v>531.90704357166999</v>
      </c>
      <c r="V52" s="269">
        <v>0</v>
      </c>
      <c r="W52" s="269">
        <v>0.23391442734934734</v>
      </c>
      <c r="X52" s="269"/>
      <c r="Y52" s="594">
        <v>0.6</v>
      </c>
      <c r="Z52" s="269">
        <f t="shared" ref="Z52:AA52" si="58">V52/V$54</f>
        <v>0</v>
      </c>
      <c r="AA52" s="269">
        <f t="shared" si="58"/>
        <v>1.1824133045977348E-3</v>
      </c>
      <c r="AB52"/>
      <c r="AC52" s="268">
        <f>U52/U54</f>
        <v>0.5936177890318427</v>
      </c>
      <c r="AD52" s="268"/>
      <c r="AE52" s="268"/>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row>
    <row r="53" spans="1:457" ht="15.75">
      <c r="C53" s="314" t="s">
        <v>241</v>
      </c>
      <c r="D53" s="307">
        <f>D39-'AggrStep1-energy'!D99</f>
        <v>0</v>
      </c>
      <c r="E53" s="307">
        <f>E39-'AggrStep1-energy'!E99</f>
        <v>0</v>
      </c>
      <c r="F53" s="307">
        <f>F39-'AggrStep1-energy'!F99</f>
        <v>0</v>
      </c>
      <c r="G53" s="308">
        <f t="shared" si="57"/>
        <v>0</v>
      </c>
      <c r="H53" s="94"/>
      <c r="I53" s="94"/>
      <c r="J53" s="94"/>
      <c r="K53" s="94"/>
      <c r="L53" s="94"/>
      <c r="M53" s="94"/>
      <c r="N53" s="94"/>
      <c r="O53" s="95"/>
      <c r="P53" s="101"/>
      <c r="Q53" s="92"/>
      <c r="R53" s="92"/>
      <c r="S53" s="92"/>
      <c r="T53" t="s">
        <v>281</v>
      </c>
      <c r="U53" s="269">
        <v>364.13592110966226</v>
      </c>
      <c r="V53" s="269">
        <v>34.156922416949669</v>
      </c>
      <c r="W53" s="269">
        <v>197.59405861709018</v>
      </c>
      <c r="X53" s="269"/>
      <c r="Y53" s="594">
        <f>1-Y52</f>
        <v>0.4</v>
      </c>
      <c r="Z53" s="269">
        <f t="shared" ref="Z53:AA53" si="59">1-Z52</f>
        <v>1</v>
      </c>
      <c r="AA53" s="269">
        <f t="shared" si="59"/>
        <v>0.99881758669540222</v>
      </c>
      <c r="AB53"/>
      <c r="AC53" s="269"/>
      <c r="AD53" s="269"/>
      <c r="AE53" s="269"/>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row>
    <row r="54" spans="1:457">
      <c r="C54" s="315" t="s">
        <v>586</v>
      </c>
      <c r="D54" s="309">
        <f>SUM(D48:D53)</f>
        <v>23.801776144513681</v>
      </c>
      <c r="E54" s="309">
        <f>SUM(E48:E53)</f>
        <v>0.58706044347292563</v>
      </c>
      <c r="F54" s="309">
        <f>SUM(F48:F53)</f>
        <v>-4.0155596092716905E-7</v>
      </c>
      <c r="G54" s="308">
        <f t="shared" si="57"/>
        <v>24.388836186430645</v>
      </c>
      <c r="H54" s="94"/>
      <c r="I54" s="94"/>
      <c r="J54" s="94"/>
      <c r="K54" s="94"/>
      <c r="L54" s="94"/>
      <c r="M54" s="94"/>
      <c r="N54" s="94"/>
      <c r="O54" s="95"/>
      <c r="P54" s="101"/>
      <c r="Q54" s="92"/>
      <c r="R54" s="92"/>
      <c r="S54" s="92"/>
      <c r="T54" s="320" t="s">
        <v>240</v>
      </c>
      <c r="U54" s="321">
        <f>U52+U53</f>
        <v>896.04296468133225</v>
      </c>
      <c r="V54" s="321">
        <f t="shared" ref="V54:W54" si="60">V52+V53</f>
        <v>34.156922416949669</v>
      </c>
      <c r="W54" s="321">
        <f t="shared" si="60"/>
        <v>197.82797304443952</v>
      </c>
      <c r="X54" s="321"/>
      <c r="Y54" s="321">
        <f>Y52+Y53</f>
        <v>1</v>
      </c>
      <c r="Z54" s="321">
        <f t="shared" ref="Z54:AA54" si="61">Z52+Z53</f>
        <v>1</v>
      </c>
      <c r="AA54" s="321">
        <f t="shared" si="61"/>
        <v>1</v>
      </c>
      <c r="AB54" s="320"/>
      <c r="AC54" s="321"/>
      <c r="AD54" s="321"/>
      <c r="AE54" s="321"/>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row>
    <row r="55" spans="1:457">
      <c r="C55" s="315"/>
      <c r="D55" s="307"/>
      <c r="E55" s="307"/>
      <c r="F55" s="307"/>
      <c r="G55" s="307"/>
      <c r="H55" s="94"/>
      <c r="I55" s="94"/>
      <c r="J55" s="94"/>
      <c r="K55" s="94"/>
      <c r="L55" s="94"/>
      <c r="M55" s="94"/>
      <c r="N55" s="94"/>
      <c r="O55" s="95"/>
      <c r="P55" s="101"/>
      <c r="Q55" s="92"/>
      <c r="R55" s="92"/>
      <c r="S55" s="92"/>
      <c r="T55" s="147"/>
      <c r="U55" s="148"/>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row>
    <row r="56" spans="1:457">
      <c r="C56" s="311" t="s">
        <v>388</v>
      </c>
      <c r="D56" s="307">
        <f>D42-'AggrStep1-energy'!D102</f>
        <v>229.92471866666668</v>
      </c>
      <c r="E56" s="307">
        <f>E42-'AggrStep1-energy'!E102</f>
        <v>-114.80712503767825</v>
      </c>
      <c r="F56" s="307">
        <f>F42-'AggrStep1-energy'!F102</f>
        <v>12.331562947117295</v>
      </c>
      <c r="G56" s="308">
        <f t="shared" ref="G56:G57" si="62">SUM(D56:F56)</f>
        <v>127.44915657610572</v>
      </c>
      <c r="H56" s="94"/>
      <c r="I56" s="94"/>
      <c r="J56" s="94"/>
      <c r="K56" s="94"/>
      <c r="L56" s="94"/>
      <c r="M56" s="94"/>
      <c r="N56" s="94"/>
      <c r="O56" s="95"/>
      <c r="P56" s="101"/>
      <c r="Q56" s="92"/>
      <c r="R56" s="92"/>
      <c r="S56" s="92"/>
      <c r="T56" s="147"/>
      <c r="U56" s="148"/>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row>
    <row r="57" spans="1:457">
      <c r="C57" s="311" t="s">
        <v>574</v>
      </c>
      <c r="D57" s="307">
        <f>D43-'AggrStep1-energy'!D103</f>
        <v>0</v>
      </c>
      <c r="E57" s="307">
        <f>E43-'AggrStep1-energy'!E103</f>
        <v>0</v>
      </c>
      <c r="F57" s="307">
        <f>F43-PRODESEN!K52*'Step1-V1'!V80</f>
        <v>-4.266309829858983E-7</v>
      </c>
      <c r="G57" s="308">
        <f t="shared" si="62"/>
        <v>-4.266309829858983E-7</v>
      </c>
      <c r="H57" s="94"/>
      <c r="I57" s="94"/>
      <c r="J57" s="94"/>
      <c r="K57" s="94"/>
      <c r="L57" s="94"/>
      <c r="M57" s="94"/>
      <c r="N57" s="94"/>
      <c r="O57" s="95"/>
      <c r="P57" s="101"/>
      <c r="Q57" s="92"/>
      <c r="R57" s="92"/>
      <c r="S57" s="92"/>
      <c r="T57" s="147"/>
      <c r="U57" s="148"/>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row>
    <row r="58" spans="1:457" ht="18.75">
      <c r="C58" s="311"/>
      <c r="D58" s="307"/>
      <c r="E58" s="307"/>
      <c r="F58" s="307"/>
      <c r="G58" s="307"/>
      <c r="H58" s="94"/>
      <c r="I58" s="94"/>
      <c r="J58" s="94"/>
      <c r="K58" s="94"/>
      <c r="L58" s="94"/>
      <c r="M58" s="94"/>
      <c r="N58" s="94"/>
      <c r="O58" s="95"/>
      <c r="P58" s="101"/>
      <c r="Q58" s="92"/>
      <c r="R58" s="92"/>
      <c r="S58" s="92"/>
      <c r="T58" s="713" t="s">
        <v>538</v>
      </c>
      <c r="U58" s="713"/>
      <c r="V58" s="713"/>
      <c r="W58" s="713"/>
      <c r="X58" s="713"/>
      <c r="Y58" s="713"/>
      <c r="Z58" s="713"/>
      <c r="AA58" s="713"/>
      <c r="AB58" s="713"/>
      <c r="AC58" s="713"/>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row>
    <row r="59" spans="1:457">
      <c r="C59" s="315" t="s">
        <v>546</v>
      </c>
      <c r="D59" s="309">
        <f>D54+D56+D57</f>
        <v>253.72649481118037</v>
      </c>
      <c r="E59" s="309">
        <f t="shared" ref="E59:F59" si="63">E54+E56+E57</f>
        <v>-114.22006459420533</v>
      </c>
      <c r="F59" s="309">
        <f t="shared" si="63"/>
        <v>12.33156211893035</v>
      </c>
      <c r="G59" s="308">
        <f>SUM(D59:F59)</f>
        <v>151.8379923359054</v>
      </c>
      <c r="H59" s="94"/>
      <c r="I59" s="94"/>
      <c r="J59" s="94"/>
      <c r="K59" s="94"/>
      <c r="L59" s="94"/>
      <c r="M59" s="94"/>
      <c r="N59" s="94"/>
      <c r="O59" s="95"/>
      <c r="P59" s="101"/>
      <c r="Q59" s="92"/>
      <c r="R59" s="92"/>
      <c r="S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row>
    <row r="60" spans="1:457" ht="26.25">
      <c r="A60" s="83"/>
      <c r="B60" s="51"/>
      <c r="C60" s="102"/>
      <c r="D60" s="103"/>
      <c r="E60" s="95"/>
      <c r="F60" s="95"/>
      <c r="G60" s="95"/>
      <c r="H60" s="95"/>
      <c r="I60" s="95"/>
      <c r="J60" s="95"/>
      <c r="K60" s="95"/>
      <c r="L60" s="95"/>
      <c r="M60" s="95"/>
      <c r="N60" s="95"/>
      <c r="O60" s="95"/>
      <c r="P60" s="101"/>
      <c r="Q60" s="92"/>
      <c r="R60" s="92"/>
      <c r="S60" s="92"/>
      <c r="T60" s="183" t="s">
        <v>526</v>
      </c>
      <c r="U60" s="183" t="s">
        <v>527</v>
      </c>
      <c r="V60" s="183" t="s">
        <v>528</v>
      </c>
      <c r="W60" s="183" t="s">
        <v>532</v>
      </c>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row>
    <row r="61" spans="1:457">
      <c r="A61" s="83"/>
      <c r="B61" s="51"/>
      <c r="C61" s="101"/>
      <c r="D61" s="101"/>
      <c r="E61" s="101"/>
      <c r="F61" s="101"/>
      <c r="G61" s="101"/>
      <c r="H61" s="101"/>
      <c r="I61" s="101"/>
      <c r="J61" s="101"/>
      <c r="K61" s="101"/>
      <c r="L61" s="101"/>
      <c r="M61" s="101"/>
      <c r="N61" s="101"/>
      <c r="O61" s="101"/>
      <c r="P61" s="101"/>
      <c r="Q61" s="92"/>
      <c r="R61" s="92"/>
      <c r="S61" s="92"/>
      <c r="T61" s="184" t="s">
        <v>529</v>
      </c>
      <c r="U61" s="184">
        <v>2017</v>
      </c>
      <c r="V61" s="184" t="s">
        <v>530</v>
      </c>
      <c r="W61" s="185">
        <v>73.227099999999993</v>
      </c>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row>
    <row r="62" spans="1:457">
      <c r="A62" s="317"/>
      <c r="B62" s="317"/>
      <c r="C62" s="223"/>
      <c r="D62" s="223"/>
      <c r="E62" s="223"/>
      <c r="F62" s="223"/>
      <c r="G62" s="223"/>
      <c r="H62" s="223"/>
      <c r="I62" s="223"/>
      <c r="J62" s="223"/>
      <c r="K62" s="223"/>
      <c r="L62" s="223"/>
      <c r="M62" s="223"/>
      <c r="N62" s="223"/>
      <c r="O62" s="223"/>
      <c r="P62" s="223"/>
      <c r="Q62" s="334"/>
      <c r="R62" s="105"/>
      <c r="S62" s="105"/>
      <c r="T62" s="184" t="s">
        <v>534</v>
      </c>
      <c r="U62" s="184">
        <v>2017</v>
      </c>
      <c r="V62" s="184" t="s">
        <v>531</v>
      </c>
      <c r="W62" s="185">
        <v>481.25633586548514</v>
      </c>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row>
    <row r="63" spans="1:457">
      <c r="A63" s="83"/>
      <c r="B63" s="90"/>
      <c r="C63" s="90"/>
      <c r="D63" s="91"/>
      <c r="E63" s="91"/>
      <c r="F63" s="91"/>
      <c r="G63" s="91"/>
      <c r="H63" s="91"/>
      <c r="I63" s="91"/>
      <c r="J63" s="91"/>
      <c r="K63" s="91"/>
      <c r="L63" s="91"/>
      <c r="M63" s="91"/>
      <c r="N63" s="91"/>
      <c r="O63" s="91"/>
      <c r="P63" s="101"/>
      <c r="Q63" s="92"/>
      <c r="R63" s="92"/>
      <c r="S63" s="92"/>
      <c r="T63" s="184" t="s">
        <v>533</v>
      </c>
      <c r="U63" s="184">
        <v>2017</v>
      </c>
      <c r="V63" s="184" t="s">
        <v>531</v>
      </c>
      <c r="W63" s="185">
        <v>535.15942793952775</v>
      </c>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row>
    <row r="64" spans="1:457">
      <c r="A64" s="83"/>
      <c r="C64" s="106"/>
      <c r="D64" s="101"/>
      <c r="E64" s="101"/>
      <c r="F64" s="101"/>
      <c r="G64" s="101"/>
      <c r="H64" s="101"/>
      <c r="I64" s="101"/>
      <c r="J64" s="101"/>
      <c r="K64" s="101"/>
      <c r="L64" s="101"/>
      <c r="M64" s="101"/>
      <c r="N64" s="101"/>
      <c r="O64" s="102"/>
      <c r="P64" s="101"/>
      <c r="Q64" s="92"/>
      <c r="R64" s="92"/>
      <c r="S64" s="92"/>
      <c r="T64" s="184" t="s">
        <v>3</v>
      </c>
      <c r="U64" s="184">
        <v>2017</v>
      </c>
      <c r="V64" s="184" t="s">
        <v>531</v>
      </c>
      <c r="W64" s="185">
        <v>463.84352633049798</v>
      </c>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row>
    <row r="65" spans="1:457">
      <c r="A65" s="83"/>
      <c r="C65" s="106"/>
      <c r="D65" s="101"/>
      <c r="E65" s="101"/>
      <c r="F65" s="101"/>
      <c r="G65" s="101"/>
      <c r="H65" s="101"/>
      <c r="I65" s="101"/>
      <c r="J65" s="101"/>
      <c r="K65" s="101"/>
      <c r="L65" s="101"/>
      <c r="M65" s="101"/>
      <c r="N65" s="101"/>
      <c r="O65" s="102"/>
      <c r="P65" s="101"/>
      <c r="Q65" s="92"/>
      <c r="R65" s="92"/>
      <c r="S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row>
    <row r="66" spans="1:457" ht="15.75">
      <c r="A66" s="83"/>
      <c r="C66" s="106"/>
      <c r="D66" s="101"/>
      <c r="E66" s="101"/>
      <c r="F66" s="101"/>
      <c r="G66" s="101"/>
      <c r="H66" s="101"/>
      <c r="I66" s="101"/>
      <c r="J66" s="101"/>
      <c r="K66" s="101"/>
      <c r="L66" s="101"/>
      <c r="M66" s="101"/>
      <c r="N66" s="101"/>
      <c r="O66" s="102"/>
      <c r="P66" s="101"/>
      <c r="Q66" s="92"/>
      <c r="R66" s="92"/>
      <c r="S66" s="92"/>
      <c r="T66" s="182" t="s">
        <v>535</v>
      </c>
      <c r="U66" s="182"/>
      <c r="V66" s="182"/>
      <c r="W66" s="182"/>
      <c r="X66" s="182"/>
      <c r="Y66" s="182"/>
      <c r="Z66" s="18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row>
    <row r="67" spans="1:457">
      <c r="A67" s="83"/>
      <c r="C67" s="106"/>
      <c r="D67" s="101"/>
      <c r="E67" s="101"/>
      <c r="F67" s="101"/>
      <c r="G67" s="101"/>
      <c r="H67" s="101"/>
      <c r="I67" s="101"/>
      <c r="J67" s="101"/>
      <c r="K67" s="101"/>
      <c r="L67" s="101"/>
      <c r="M67" s="101"/>
      <c r="N67" s="101"/>
      <c r="O67" s="102"/>
      <c r="P67" s="101"/>
      <c r="Q67" s="92"/>
      <c r="R67" s="92"/>
      <c r="S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row>
    <row r="68" spans="1:457" ht="24.75">
      <c r="A68" s="83"/>
      <c r="C68" s="106"/>
      <c r="D68" s="101"/>
      <c r="E68" s="101"/>
      <c r="F68" s="101"/>
      <c r="G68" s="101"/>
      <c r="H68" s="101"/>
      <c r="I68" s="101"/>
      <c r="J68" s="101"/>
      <c r="K68" s="101"/>
      <c r="L68" s="101"/>
      <c r="M68" s="101"/>
      <c r="N68" s="101"/>
      <c r="O68" s="102"/>
      <c r="P68" s="101"/>
      <c r="Q68" s="92"/>
      <c r="R68" s="92"/>
      <c r="S68" s="92"/>
      <c r="U68" s="368" t="s">
        <v>589</v>
      </c>
      <c r="V68" s="369" t="s">
        <v>587</v>
      </c>
      <c r="W68" s="285"/>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row>
    <row r="69" spans="1:457">
      <c r="A69" s="83"/>
      <c r="C69" s="106"/>
      <c r="D69" s="101"/>
      <c r="E69" s="101"/>
      <c r="F69" s="101"/>
      <c r="G69" s="101"/>
      <c r="H69" s="101"/>
      <c r="I69" s="101"/>
      <c r="J69" s="101"/>
      <c r="K69" s="101"/>
      <c r="L69" s="101"/>
      <c r="M69" s="101"/>
      <c r="N69" s="101"/>
      <c r="O69" s="102"/>
      <c r="P69" s="101"/>
      <c r="Q69" s="92"/>
      <c r="R69" s="92"/>
      <c r="S69" s="92"/>
      <c r="T69" s="286" t="s">
        <v>575</v>
      </c>
      <c r="U69" s="303">
        <v>152.69999999999999</v>
      </c>
      <c r="V69" s="304">
        <f>U69*$X$82</f>
        <v>424.16666666666663</v>
      </c>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row>
    <row r="70" spans="1:457">
      <c r="A70" s="83"/>
      <c r="C70" s="106"/>
      <c r="D70" s="101"/>
      <c r="E70" s="101"/>
      <c r="F70" s="101"/>
      <c r="G70" s="101"/>
      <c r="H70" s="101"/>
      <c r="I70" s="101"/>
      <c r="J70" s="101"/>
      <c r="K70" s="101"/>
      <c r="L70" s="101"/>
      <c r="M70" s="101"/>
      <c r="N70" s="101"/>
      <c r="O70" s="102"/>
      <c r="P70" s="101"/>
      <c r="Q70" s="92"/>
      <c r="R70" s="92"/>
      <c r="S70" s="92"/>
      <c r="T70" s="287" t="s">
        <v>576</v>
      </c>
      <c r="U70" s="303">
        <v>116</v>
      </c>
      <c r="V70" s="304">
        <f t="shared" ref="V70:V76" si="64">U70*$X$82</f>
        <v>322.22222222222223</v>
      </c>
      <c r="Z70" s="276"/>
      <c r="AA70" s="302"/>
      <c r="AB70" s="276"/>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2"/>
      <c r="EN70" s="92"/>
      <c r="EO70" s="92"/>
      <c r="EP70" s="92"/>
      <c r="EQ70" s="92"/>
      <c r="ER70" s="92"/>
      <c r="ES70" s="92"/>
      <c r="ET70" s="92"/>
      <c r="EU70" s="92"/>
      <c r="EV70" s="92"/>
      <c r="EW70" s="92"/>
      <c r="EX70" s="92"/>
      <c r="EY70" s="92"/>
      <c r="EZ70" s="92"/>
      <c r="FA70" s="92"/>
      <c r="FB70" s="92"/>
      <c r="FC70" s="92"/>
      <c r="FD70" s="92"/>
      <c r="FE70" s="92"/>
      <c r="FF70" s="92"/>
      <c r="FG70" s="92"/>
      <c r="FH70" s="92"/>
      <c r="FI70" s="92"/>
      <c r="FJ70" s="92"/>
      <c r="FK70" s="92"/>
      <c r="FL70" s="92"/>
      <c r="FM70" s="92"/>
      <c r="FN70" s="92"/>
      <c r="FO70" s="92"/>
      <c r="FP70" s="92"/>
      <c r="FQ70" s="92"/>
      <c r="FR70" s="92"/>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c r="IX70" s="92"/>
      <c r="IY70" s="92"/>
      <c r="IZ70" s="92"/>
      <c r="JA70" s="92"/>
      <c r="JB70" s="92"/>
      <c r="JC70" s="92"/>
      <c r="JD70" s="92"/>
      <c r="JE70" s="92"/>
      <c r="JF70" s="92"/>
      <c r="JG70" s="92"/>
      <c r="JH70" s="92"/>
      <c r="JI70" s="92"/>
      <c r="JJ70" s="92"/>
      <c r="JK70" s="92"/>
      <c r="JL70" s="92"/>
      <c r="JM70" s="92"/>
      <c r="JN70" s="92"/>
      <c r="JO70" s="92"/>
      <c r="JP70" s="92"/>
      <c r="JQ70" s="92"/>
      <c r="JR70" s="92"/>
      <c r="JS70" s="92"/>
      <c r="JT70" s="92"/>
      <c r="JU70" s="92"/>
      <c r="JV70" s="92"/>
      <c r="JW70" s="92"/>
      <c r="JX70" s="92"/>
      <c r="JY70" s="92"/>
      <c r="JZ70" s="92"/>
      <c r="KA70" s="92"/>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2"/>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2"/>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2"/>
      <c r="MY70" s="92"/>
      <c r="MZ70" s="92"/>
      <c r="NA70" s="92"/>
      <c r="NB70" s="92"/>
      <c r="NC70" s="92"/>
      <c r="ND70" s="92"/>
      <c r="NE70" s="92"/>
      <c r="NF70" s="92"/>
      <c r="NG70" s="92"/>
      <c r="NH70" s="92"/>
      <c r="NI70" s="92"/>
      <c r="NJ70" s="92"/>
      <c r="NK70" s="92"/>
      <c r="NL70" s="92"/>
      <c r="NM70" s="92"/>
      <c r="NN70" s="92"/>
      <c r="NO70" s="92"/>
      <c r="NP70" s="92"/>
      <c r="NQ70" s="92"/>
      <c r="NR70" s="92"/>
      <c r="NS70" s="92"/>
      <c r="NT70" s="92"/>
      <c r="NU70" s="92"/>
      <c r="NV70" s="92"/>
      <c r="NW70" s="92"/>
      <c r="NX70" s="92"/>
      <c r="NY70" s="92"/>
      <c r="NZ70" s="92"/>
      <c r="OA70" s="92"/>
      <c r="OB70" s="92"/>
      <c r="OC70" s="92"/>
      <c r="OD70" s="92"/>
      <c r="OE70" s="92"/>
      <c r="OF70" s="92"/>
      <c r="OG70" s="92"/>
      <c r="OH70" s="92"/>
      <c r="OI70" s="92"/>
      <c r="OJ70" s="92"/>
      <c r="OK70" s="92"/>
      <c r="OL70" s="92"/>
      <c r="OM70" s="92"/>
      <c r="ON70" s="92"/>
      <c r="OO70" s="92"/>
      <c r="OP70" s="92"/>
      <c r="OQ70" s="92"/>
      <c r="OR70" s="92"/>
      <c r="OS70" s="92"/>
      <c r="OT70" s="92"/>
      <c r="OU70" s="92"/>
      <c r="OV70" s="92"/>
      <c r="OW70" s="92"/>
      <c r="OX70" s="92"/>
      <c r="OY70" s="92"/>
      <c r="OZ70" s="92"/>
      <c r="PA70" s="92"/>
      <c r="PB70" s="92"/>
      <c r="PC70" s="92"/>
      <c r="PD70" s="92"/>
      <c r="PE70" s="92"/>
      <c r="PF70" s="92"/>
      <c r="PG70" s="92"/>
      <c r="PH70" s="92"/>
      <c r="PI70" s="92"/>
      <c r="PJ70" s="92"/>
      <c r="PK70" s="92"/>
      <c r="PL70" s="92"/>
      <c r="PM70" s="92"/>
      <c r="PN70" s="92"/>
      <c r="PO70" s="92"/>
      <c r="PP70" s="92"/>
      <c r="PQ70" s="92"/>
      <c r="PR70" s="92"/>
      <c r="PS70" s="92"/>
      <c r="PT70" s="92"/>
      <c r="PU70" s="92"/>
      <c r="PV70" s="92"/>
      <c r="PW70" s="92"/>
      <c r="PX70" s="92"/>
      <c r="PY70" s="92"/>
      <c r="PZ70" s="92"/>
      <c r="QA70" s="92"/>
      <c r="QB70" s="92"/>
      <c r="QC70" s="92"/>
      <c r="QD70" s="92"/>
      <c r="QE70" s="92"/>
      <c r="QF70" s="92"/>
      <c r="QG70" s="92"/>
      <c r="QH70" s="92"/>
      <c r="QI70" s="92"/>
      <c r="QJ70" s="92"/>
      <c r="QK70" s="92"/>
      <c r="QL70" s="92"/>
      <c r="QM70" s="92"/>
      <c r="QN70" s="92"/>
      <c r="QO70" s="92"/>
    </row>
    <row r="71" spans="1:457">
      <c r="A71" s="83"/>
      <c r="C71" s="106"/>
      <c r="D71" s="79"/>
      <c r="E71" s="79"/>
      <c r="F71" s="79"/>
      <c r="G71" s="79"/>
      <c r="H71" s="79"/>
      <c r="I71" s="79"/>
      <c r="J71" s="79"/>
      <c r="K71" s="79"/>
      <c r="L71" s="79"/>
      <c r="M71" s="79"/>
      <c r="N71" s="79"/>
      <c r="O71" s="102"/>
      <c r="P71" s="52"/>
      <c r="Q71" s="92"/>
      <c r="R71" s="92"/>
      <c r="S71" s="92"/>
      <c r="T71" s="287" t="s">
        <v>398</v>
      </c>
      <c r="U71" s="303">
        <v>225.9</v>
      </c>
      <c r="V71" s="304">
        <f t="shared" si="64"/>
        <v>627.5</v>
      </c>
      <c r="Y71" s="298"/>
      <c r="Z71" s="276"/>
      <c r="AA71" s="302"/>
      <c r="AB71" s="276"/>
      <c r="AC71" s="297"/>
      <c r="AD71" s="297"/>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row>
    <row r="72" spans="1:457">
      <c r="A72" s="83"/>
      <c r="C72" s="106"/>
      <c r="D72" s="80"/>
      <c r="E72" s="80"/>
      <c r="F72" s="80"/>
      <c r="G72" s="80"/>
      <c r="H72" s="80"/>
      <c r="I72" s="80"/>
      <c r="J72" s="80"/>
      <c r="K72" s="80"/>
      <c r="L72" s="80"/>
      <c r="M72" s="80"/>
      <c r="N72" s="80"/>
      <c r="O72" s="102"/>
      <c r="P72" s="83"/>
      <c r="Q72" s="92"/>
      <c r="R72" s="92"/>
      <c r="S72" s="92"/>
      <c r="T72" s="287" t="s">
        <v>577</v>
      </c>
      <c r="U72" s="303">
        <v>294.60000000000002</v>
      </c>
      <c r="V72" s="304">
        <f t="shared" si="64"/>
        <v>818.33333333333337</v>
      </c>
      <c r="Z72" s="276"/>
      <c r="AA72" s="30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row>
    <row r="73" spans="1:457">
      <c r="A73" s="83"/>
      <c r="C73" s="106"/>
      <c r="D73" s="81"/>
      <c r="E73" s="81"/>
      <c r="F73" s="81"/>
      <c r="G73" s="81"/>
      <c r="H73" s="81"/>
      <c r="I73" s="81"/>
      <c r="J73" s="81"/>
      <c r="K73" s="81"/>
      <c r="L73" s="81"/>
      <c r="M73" s="81"/>
      <c r="N73" s="81"/>
      <c r="O73" s="102"/>
      <c r="P73" s="83"/>
      <c r="Q73" s="92"/>
      <c r="R73" s="92"/>
      <c r="S73" s="92"/>
      <c r="T73" s="287" t="s">
        <v>578</v>
      </c>
      <c r="U73" s="303">
        <v>53.7</v>
      </c>
      <c r="V73" s="304">
        <f t="shared" si="64"/>
        <v>149.16666666666666</v>
      </c>
      <c r="Z73" s="276"/>
      <c r="AA73" s="302"/>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row>
    <row r="74" spans="1:457">
      <c r="A74" s="83"/>
      <c r="C74" s="106"/>
      <c r="D74" s="82"/>
      <c r="E74" s="82"/>
      <c r="F74" s="82"/>
      <c r="G74" s="82"/>
      <c r="H74" s="82"/>
      <c r="I74" s="82"/>
      <c r="J74" s="82"/>
      <c r="K74" s="82"/>
      <c r="L74" s="82"/>
      <c r="M74" s="82"/>
      <c r="N74" s="82"/>
      <c r="O74" s="102"/>
      <c r="P74" s="83"/>
      <c r="Q74" s="92"/>
      <c r="R74" s="92"/>
      <c r="S74" s="92"/>
      <c r="T74" s="286" t="s">
        <v>579</v>
      </c>
      <c r="U74" s="303">
        <v>155.19999999999999</v>
      </c>
      <c r="V74" s="304">
        <f t="shared" si="64"/>
        <v>431.11111111111109</v>
      </c>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row>
    <row r="75" spans="1:457">
      <c r="A75" s="83"/>
      <c r="C75" s="106"/>
      <c r="D75" s="82"/>
      <c r="E75" s="82"/>
      <c r="F75" s="82"/>
      <c r="G75" s="82"/>
      <c r="H75" s="82"/>
      <c r="I75" s="82"/>
      <c r="J75" s="82"/>
      <c r="K75" s="82"/>
      <c r="L75" s="82"/>
      <c r="M75" s="82"/>
      <c r="N75" s="82"/>
      <c r="O75" s="102"/>
      <c r="P75" s="83"/>
      <c r="Q75" s="92"/>
      <c r="R75" s="92"/>
      <c r="S75" s="92"/>
      <c r="T75" s="287" t="s">
        <v>580</v>
      </c>
      <c r="U75" s="303">
        <v>168.6</v>
      </c>
      <c r="V75" s="304">
        <f t="shared" si="64"/>
        <v>468.33333333333331</v>
      </c>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row>
    <row r="76" spans="1:457">
      <c r="A76" s="83"/>
      <c r="C76" s="106"/>
      <c r="D76" s="82"/>
      <c r="E76" s="82"/>
      <c r="F76" s="82"/>
      <c r="G76" s="82"/>
      <c r="H76" s="82"/>
      <c r="I76" s="82"/>
      <c r="J76" s="82"/>
      <c r="K76" s="82"/>
      <c r="L76" s="82"/>
      <c r="M76" s="82"/>
      <c r="N76" s="82"/>
      <c r="O76" s="102"/>
      <c r="P76" s="83"/>
      <c r="Q76" s="92"/>
      <c r="R76" s="92"/>
      <c r="S76" s="92"/>
      <c r="T76" s="287" t="s">
        <v>581</v>
      </c>
      <c r="U76" s="303">
        <v>132.1</v>
      </c>
      <c r="V76" s="304">
        <f t="shared" si="64"/>
        <v>366.9444444444444</v>
      </c>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row>
    <row r="77" spans="1:457">
      <c r="A77" s="83"/>
      <c r="C77" s="106"/>
      <c r="D77" s="82"/>
      <c r="E77" s="82"/>
      <c r="F77" s="82"/>
      <c r="G77" s="82"/>
      <c r="H77" s="82"/>
      <c r="I77" s="82"/>
      <c r="J77" s="82"/>
      <c r="K77" s="82"/>
      <c r="L77" s="82"/>
      <c r="M77" s="82"/>
      <c r="N77" s="82"/>
      <c r="O77" s="102"/>
      <c r="P77" s="83"/>
      <c r="Q77" s="92"/>
      <c r="R77" s="92"/>
      <c r="S77" s="92"/>
      <c r="T77" s="288"/>
      <c r="U77" s="288"/>
      <c r="V77" s="288"/>
      <c r="W77" s="285"/>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row>
    <row r="78" spans="1:457">
      <c r="A78" s="83"/>
      <c r="C78" s="106"/>
      <c r="D78" s="82"/>
      <c r="E78" s="82"/>
      <c r="F78" s="82"/>
      <c r="G78" s="82"/>
      <c r="H78" s="82"/>
      <c r="I78" s="82"/>
      <c r="J78" s="82"/>
      <c r="K78" s="82"/>
      <c r="L78" s="82"/>
      <c r="M78" s="82"/>
      <c r="N78" s="82"/>
      <c r="O78" s="102"/>
      <c r="P78" s="83"/>
      <c r="Q78" s="54"/>
      <c r="R78" s="83"/>
      <c r="S78" s="83"/>
      <c r="T78" s="289" t="s">
        <v>582</v>
      </c>
      <c r="U78" s="290" t="s">
        <v>568</v>
      </c>
      <c r="V78" s="483">
        <v>1E-8</v>
      </c>
      <c r="W78" s="335" t="s">
        <v>641</v>
      </c>
      <c r="X78" s="295"/>
      <c r="AE78" s="92"/>
      <c r="AF78" s="92"/>
      <c r="AG78" s="92"/>
      <c r="AH78" s="92"/>
      <c r="AI78" s="92"/>
      <c r="AJ78" s="92"/>
      <c r="AK78" s="92"/>
      <c r="AL78" s="92"/>
      <c r="AM78" s="92"/>
      <c r="AN78" s="92"/>
      <c r="AO78" s="92"/>
      <c r="AP78" s="92"/>
      <c r="AQ78" s="92"/>
      <c r="AR78" s="92"/>
      <c r="AS78" s="92"/>
      <c r="AT78" s="92"/>
      <c r="AU78" s="92"/>
      <c r="AV78" s="92"/>
    </row>
    <row r="79" spans="1:457" ht="15.75">
      <c r="A79" s="83"/>
      <c r="C79" s="106"/>
      <c r="D79" s="82"/>
      <c r="E79" s="82"/>
      <c r="F79" s="82"/>
      <c r="G79" s="82"/>
      <c r="H79" s="82"/>
      <c r="I79" s="82"/>
      <c r="J79" s="82"/>
      <c r="K79" s="82"/>
      <c r="L79" s="82"/>
      <c r="M79" s="82"/>
      <c r="N79" s="82"/>
      <c r="O79" s="102"/>
      <c r="P79" s="83"/>
      <c r="Q79" s="54"/>
      <c r="R79" s="83"/>
      <c r="S79" s="83"/>
      <c r="T79" s="488" t="s">
        <v>584</v>
      </c>
      <c r="U79" s="486" t="s">
        <v>568</v>
      </c>
      <c r="V79" s="487">
        <v>3.6E-9</v>
      </c>
      <c r="W79" s="89" t="s">
        <v>642</v>
      </c>
      <c r="X79" s="411"/>
      <c r="Y79" s="319"/>
      <c r="AE79" s="92"/>
      <c r="AF79" s="92"/>
      <c r="AG79" s="92"/>
      <c r="AH79" s="92"/>
      <c r="AI79" s="92"/>
      <c r="AJ79" s="92"/>
      <c r="AK79" s="92"/>
      <c r="AL79" s="92"/>
      <c r="AM79" s="92"/>
      <c r="AN79" s="92"/>
      <c r="AO79" s="92"/>
      <c r="AP79" s="92"/>
      <c r="AQ79" s="92"/>
      <c r="AR79" s="92"/>
      <c r="AS79" s="92"/>
      <c r="AT79" s="92"/>
      <c r="AU79" s="92"/>
      <c r="AV79" s="92"/>
    </row>
    <row r="80" spans="1:457">
      <c r="A80" s="83"/>
      <c r="C80" s="106"/>
      <c r="D80" s="82"/>
      <c r="E80" s="82"/>
      <c r="F80" s="82"/>
      <c r="G80" s="82"/>
      <c r="H80" s="82"/>
      <c r="I80" s="82"/>
      <c r="J80" s="82"/>
      <c r="K80" s="82"/>
      <c r="L80" s="82"/>
      <c r="M80" s="82"/>
      <c r="N80" s="82"/>
      <c r="O80" s="102"/>
      <c r="P80" s="83"/>
      <c r="Q80" s="54"/>
      <c r="R80" s="83"/>
      <c r="S80" s="83"/>
      <c r="T80" s="484" t="s">
        <v>919</v>
      </c>
      <c r="U80" s="292" t="s">
        <v>568</v>
      </c>
      <c r="V80" s="336">
        <v>3.5999999999999999E-3</v>
      </c>
      <c r="W80" s="489" t="s">
        <v>390</v>
      </c>
      <c r="X80" s="296"/>
      <c r="AE80" s="92"/>
      <c r="AF80" s="92"/>
      <c r="AG80" s="92"/>
      <c r="AH80" s="92"/>
      <c r="AI80" s="92"/>
      <c r="AJ80" s="92"/>
      <c r="AK80" s="92"/>
      <c r="AL80" s="92"/>
      <c r="AM80" s="92"/>
      <c r="AN80" s="92"/>
      <c r="AO80" s="92"/>
      <c r="AP80" s="92"/>
      <c r="AQ80" s="92"/>
      <c r="AR80" s="92"/>
      <c r="AS80" s="92"/>
      <c r="AT80" s="92"/>
      <c r="AU80" s="92"/>
      <c r="AV80" s="92"/>
    </row>
    <row r="81" spans="1:48">
      <c r="A81" s="83"/>
      <c r="C81" s="106"/>
      <c r="D81" s="82"/>
      <c r="E81" s="82"/>
      <c r="F81" s="82"/>
      <c r="G81" s="82"/>
      <c r="H81" s="82"/>
      <c r="I81" s="82"/>
      <c r="J81" s="82"/>
      <c r="K81" s="82"/>
      <c r="L81" s="82"/>
      <c r="M81" s="82"/>
      <c r="N81" s="82"/>
      <c r="O81" s="102"/>
      <c r="P81" s="83"/>
      <c r="Q81" s="54"/>
      <c r="R81" s="83"/>
      <c r="S81" s="83"/>
      <c r="AE81" s="92"/>
      <c r="AF81" s="92"/>
      <c r="AG81" s="92"/>
      <c r="AH81" s="92"/>
      <c r="AI81" s="92"/>
      <c r="AJ81" s="92"/>
      <c r="AK81" s="92"/>
      <c r="AL81" s="92"/>
      <c r="AM81" s="92"/>
      <c r="AN81" s="92"/>
      <c r="AO81" s="92"/>
      <c r="AP81" s="92"/>
      <c r="AQ81" s="92"/>
      <c r="AR81" s="92"/>
      <c r="AS81" s="92"/>
      <c r="AT81" s="92"/>
      <c r="AU81" s="92"/>
      <c r="AV81" s="92"/>
    </row>
    <row r="82" spans="1:48">
      <c r="A82" s="83"/>
      <c r="C82" s="106"/>
      <c r="D82" s="82"/>
      <c r="E82" s="82"/>
      <c r="F82" s="82"/>
      <c r="G82" s="82"/>
      <c r="H82" s="82"/>
      <c r="I82" s="82"/>
      <c r="J82" s="82"/>
      <c r="K82" s="82"/>
      <c r="L82" s="82"/>
      <c r="M82" s="82"/>
      <c r="N82" s="82"/>
      <c r="O82" s="102"/>
      <c r="P82" s="83"/>
      <c r="Q82" s="54"/>
      <c r="R82" s="83"/>
      <c r="S82" s="83"/>
      <c r="T82" s="711" t="s">
        <v>643</v>
      </c>
      <c r="U82" s="711"/>
      <c r="V82" s="711"/>
      <c r="W82" s="711"/>
      <c r="X82" s="712">
        <f>V78/V79</f>
        <v>2.7777777777777777</v>
      </c>
      <c r="AE82" s="92"/>
      <c r="AF82" s="92"/>
      <c r="AG82" s="92"/>
      <c r="AH82" s="92"/>
      <c r="AI82" s="92"/>
      <c r="AJ82" s="92"/>
      <c r="AK82" s="92"/>
      <c r="AL82" s="92"/>
      <c r="AM82" s="92"/>
      <c r="AN82" s="92"/>
      <c r="AO82" s="92"/>
      <c r="AP82" s="92"/>
      <c r="AQ82" s="92"/>
      <c r="AR82" s="92"/>
      <c r="AS82" s="92"/>
      <c r="AT82" s="92"/>
      <c r="AU82" s="92"/>
      <c r="AV82" s="92"/>
    </row>
    <row r="83" spans="1:48">
      <c r="A83" s="83"/>
      <c r="C83" s="106"/>
      <c r="D83" s="82"/>
      <c r="E83" s="82"/>
      <c r="F83" s="82"/>
      <c r="G83" s="82"/>
      <c r="H83" s="82"/>
      <c r="I83" s="82"/>
      <c r="J83" s="82"/>
      <c r="K83" s="82"/>
      <c r="L83" s="82"/>
      <c r="M83" s="82"/>
      <c r="N83" s="82"/>
      <c r="O83" s="102"/>
      <c r="P83" s="83"/>
      <c r="Q83" s="54"/>
      <c r="R83" s="83"/>
      <c r="T83" s="711"/>
      <c r="U83" s="711"/>
      <c r="V83" s="711"/>
      <c r="W83" s="711"/>
      <c r="X83" s="712"/>
      <c r="AE83" s="92"/>
      <c r="AF83" s="92"/>
      <c r="AG83" s="92"/>
      <c r="AH83" s="92"/>
    </row>
    <row r="84" spans="1:48" ht="15" customHeight="1">
      <c r="A84" s="83"/>
      <c r="C84" s="106"/>
      <c r="D84" s="82"/>
      <c r="E84" s="82"/>
      <c r="F84" s="82"/>
      <c r="G84" s="82"/>
      <c r="H84" s="82"/>
      <c r="I84" s="82"/>
      <c r="J84" s="82"/>
      <c r="K84" s="82"/>
      <c r="L84" s="82"/>
      <c r="M84" s="82"/>
      <c r="N84" s="82"/>
      <c r="O84" s="102"/>
      <c r="P84" s="83"/>
      <c r="Q84" s="54"/>
      <c r="R84" s="83"/>
      <c r="S84" s="83"/>
      <c r="T84" s="293"/>
      <c r="U84" s="293"/>
      <c r="V84" s="293"/>
      <c r="W84" s="293"/>
      <c r="X84" s="293"/>
      <c r="AE84" s="92"/>
      <c r="AF84" s="92"/>
      <c r="AG84" s="92"/>
      <c r="AH84" s="92"/>
    </row>
    <row r="85" spans="1:48" ht="18.75">
      <c r="A85" s="83"/>
      <c r="C85" s="106"/>
      <c r="D85" s="82"/>
      <c r="E85" s="82"/>
      <c r="F85" s="82"/>
      <c r="G85" s="82"/>
      <c r="H85" s="82"/>
      <c r="I85" s="82"/>
      <c r="J85" s="82"/>
      <c r="K85" s="82"/>
      <c r="L85" s="82"/>
      <c r="M85" s="82"/>
      <c r="N85" s="82"/>
      <c r="O85" s="102"/>
      <c r="P85" s="83"/>
      <c r="Q85" s="54"/>
      <c r="R85" s="83"/>
      <c r="S85" s="83"/>
      <c r="T85" s="713" t="s">
        <v>525</v>
      </c>
      <c r="U85" s="713"/>
      <c r="V85" s="713"/>
      <c r="W85" s="713"/>
      <c r="X85" s="713"/>
      <c r="Y85" s="713"/>
      <c r="Z85" s="713"/>
      <c r="AA85" s="713"/>
      <c r="AB85" s="713"/>
      <c r="AC85" s="713"/>
      <c r="AD85" s="92"/>
      <c r="AE85" s="92"/>
      <c r="AF85" s="92"/>
      <c r="AG85" s="92"/>
      <c r="AH85" s="92"/>
    </row>
    <row r="86" spans="1:48" ht="18.75">
      <c r="A86" s="83"/>
      <c r="C86" s="106"/>
      <c r="D86" s="82"/>
      <c r="E86" s="82"/>
      <c r="F86" s="82"/>
      <c r="G86" s="82"/>
      <c r="H86" s="82"/>
      <c r="I86" s="82"/>
      <c r="J86" s="82"/>
      <c r="K86" s="82"/>
      <c r="L86" s="82"/>
      <c r="M86" s="82"/>
      <c r="N86" s="82"/>
      <c r="O86" s="102"/>
      <c r="P86" s="83"/>
      <c r="Q86" s="54"/>
      <c r="R86" s="83"/>
      <c r="S86" s="83"/>
      <c r="T86" s="706" t="s">
        <v>571</v>
      </c>
      <c r="U86" s="706"/>
      <c r="V86" s="706"/>
      <c r="W86" s="706"/>
      <c r="X86" s="706"/>
      <c r="Y86" s="194"/>
      <c r="Z86" s="706" t="s">
        <v>594</v>
      </c>
      <c r="AA86" s="706"/>
      <c r="AB86" s="706"/>
      <c r="AC86" s="706"/>
      <c r="AD86" s="706"/>
      <c r="AE86" s="92"/>
      <c r="AF86" s="92"/>
      <c r="AG86" s="92"/>
      <c r="AH86" s="92"/>
    </row>
    <row r="87" spans="1:48">
      <c r="A87" s="83"/>
      <c r="C87" s="106"/>
      <c r="D87" s="82"/>
      <c r="E87" s="82"/>
      <c r="F87" s="82"/>
      <c r="G87" s="82"/>
      <c r="H87" s="82"/>
      <c r="I87" s="82"/>
      <c r="J87" s="82"/>
      <c r="K87" s="82"/>
      <c r="L87" s="82"/>
      <c r="M87" s="82"/>
      <c r="N87" s="82"/>
      <c r="O87" s="102"/>
      <c r="P87" s="83"/>
      <c r="Q87" s="54"/>
      <c r="R87" s="83"/>
      <c r="S87" s="83"/>
      <c r="U87" s="53" t="s">
        <v>419</v>
      </c>
      <c r="V87" s="53" t="s">
        <v>384</v>
      </c>
      <c r="W87" s="53" t="s">
        <v>172</v>
      </c>
      <c r="X87" s="98" t="s">
        <v>590</v>
      </c>
      <c r="Y87" s="92"/>
      <c r="AA87" s="53" t="s">
        <v>419</v>
      </c>
      <c r="AB87" s="53" t="s">
        <v>384</v>
      </c>
      <c r="AC87" s="53" t="s">
        <v>172</v>
      </c>
      <c r="AD87" s="98" t="s">
        <v>7</v>
      </c>
      <c r="AE87" s="92"/>
      <c r="AF87" s="92"/>
      <c r="AG87" s="92"/>
      <c r="AH87" s="92"/>
    </row>
    <row r="88" spans="1:48">
      <c r="A88" s="83"/>
      <c r="C88" s="106"/>
      <c r="D88" s="82"/>
      <c r="E88" s="82"/>
      <c r="F88" s="82"/>
      <c r="G88" s="82"/>
      <c r="H88" s="82"/>
      <c r="I88" s="82"/>
      <c r="J88" s="82"/>
      <c r="K88" s="82"/>
      <c r="L88" s="82"/>
      <c r="M88" s="82"/>
      <c r="N88" s="82"/>
      <c r="O88" s="102"/>
      <c r="P88" s="83"/>
      <c r="Q88" s="54"/>
      <c r="R88" s="83"/>
      <c r="S88" s="83"/>
      <c r="T88" s="215" t="s">
        <v>226</v>
      </c>
      <c r="U88" s="213">
        <f>AA88</f>
        <v>138.65227005558231</v>
      </c>
      <c r="V88" s="218">
        <f>V89</f>
        <v>148.16894810930131</v>
      </c>
      <c r="W88" s="214">
        <f>AC88</f>
        <v>81.260964675380791</v>
      </c>
      <c r="X88" s="214">
        <f>AVERAGE(U88:W88)</f>
        <v>122.6940609467548</v>
      </c>
      <c r="Y88" s="92"/>
      <c r="Z88" s="215" t="s">
        <v>226</v>
      </c>
      <c r="AA88" s="213">
        <f>IF('AggrStep1-energy'!D94=0,"NA",AA36/'AggrStep1-energy'!D94)</f>
        <v>138.65227005558231</v>
      </c>
      <c r="AB88" s="213" t="str">
        <f>IF('AggrStep1-energy'!E94=0,"NA",AB36/'AggrStep1-energy'!E94)</f>
        <v>NA</v>
      </c>
      <c r="AC88" s="213">
        <f>IF('AggrStep1-energy'!F94=0,"NA",AC36/'AggrStep1-energy'!F94)</f>
        <v>81.260964675380791</v>
      </c>
      <c r="AD88" s="213">
        <f>IF('AggrStep1-energy'!G94=0,"NA",AD36/'AggrStep1-energy'!G94)</f>
        <v>125.31566112094656</v>
      </c>
      <c r="AE88" s="92"/>
      <c r="AF88" s="92"/>
      <c r="AG88" s="92"/>
      <c r="AH88" s="92"/>
    </row>
    <row r="89" spans="1:48">
      <c r="A89" s="83"/>
      <c r="C89" s="106"/>
      <c r="D89" s="82"/>
      <c r="E89" s="82"/>
      <c r="F89" s="82"/>
      <c r="G89" s="82"/>
      <c r="H89" s="82"/>
      <c r="I89" s="82"/>
      <c r="J89" s="82"/>
      <c r="K89" s="82"/>
      <c r="L89" s="82"/>
      <c r="M89" s="82"/>
      <c r="N89" s="82"/>
      <c r="O89" s="102"/>
      <c r="P89" s="83"/>
      <c r="Q89" s="54"/>
      <c r="R89" s="83"/>
      <c r="S89" s="83"/>
      <c r="T89" s="216" t="s">
        <v>387</v>
      </c>
      <c r="U89" s="213">
        <f>AA89</f>
        <v>384.48088592148343</v>
      </c>
      <c r="V89" s="213">
        <f t="shared" ref="V89:W89" si="65">AB89</f>
        <v>148.16894810930131</v>
      </c>
      <c r="W89" s="213">
        <f t="shared" si="65"/>
        <v>314.93373174080745</v>
      </c>
      <c r="X89" s="214">
        <f t="shared" ref="X89:X94" si="66">AVERAGE(U89:W89)</f>
        <v>282.52785525719742</v>
      </c>
      <c r="Y89" s="92"/>
      <c r="Z89" s="216" t="s">
        <v>387</v>
      </c>
      <c r="AA89" s="213">
        <f>IF('AggrStep1-energy'!D95=0,"NA",AA37/'AggrStep1-energy'!D95)</f>
        <v>384.48088592148343</v>
      </c>
      <c r="AB89" s="213">
        <f>IF('AggrStep1-energy'!E95=0,"NA",AB37/'AggrStep1-energy'!E95)</f>
        <v>148.16894810930131</v>
      </c>
      <c r="AC89" s="213">
        <f>IF('AggrStep1-energy'!F95=0,"NA",AC37/'AggrStep1-energy'!F95)</f>
        <v>314.93373174080745</v>
      </c>
      <c r="AD89" s="213">
        <f>IF('AggrStep1-energy'!G95=0,"NA",AD37/'AggrStep1-energy'!G95)</f>
        <v>269.10824461826263</v>
      </c>
      <c r="AE89" s="92"/>
      <c r="AF89" s="92"/>
      <c r="AG89" s="92"/>
    </row>
    <row r="90" spans="1:48">
      <c r="A90" s="83"/>
      <c r="C90" s="106"/>
      <c r="D90" s="82"/>
      <c r="E90" s="82"/>
      <c r="F90" s="82"/>
      <c r="G90" s="82"/>
      <c r="H90" s="82"/>
      <c r="I90" s="82"/>
      <c r="J90" s="82"/>
      <c r="K90" s="82"/>
      <c r="L90" s="82"/>
      <c r="M90" s="82"/>
      <c r="N90" s="82"/>
      <c r="O90" s="102"/>
      <c r="P90" s="83"/>
      <c r="Q90" s="54"/>
      <c r="R90" s="83"/>
      <c r="S90" s="83"/>
      <c r="T90" s="595" t="s">
        <v>921</v>
      </c>
      <c r="U90" s="213">
        <v>341</v>
      </c>
      <c r="V90" s="217">
        <f>V91</f>
        <v>222.99403442371815</v>
      </c>
      <c r="W90" s="218">
        <v>982.81546702620824</v>
      </c>
      <c r="X90" s="214">
        <f t="shared" si="66"/>
        <v>515.60316714997543</v>
      </c>
      <c r="Y90" s="92"/>
      <c r="Z90" s="662" t="s">
        <v>952</v>
      </c>
      <c r="AA90" s="213">
        <f>IF('AggrStep1-energy'!D96=0,"NA",AA38/('AggrStep1-energy'!D96+'AggrStep1-energy'!D99))</f>
        <v>253.19333230872434</v>
      </c>
      <c r="AB90" s="213">
        <f>IF('AggrStep1-energy'!E96=0,"NA",AB38/('AggrStep1-energy'!E96+'AggrStep1-energy'!E99))</f>
        <v>276.69024661090288</v>
      </c>
      <c r="AC90" s="213">
        <f>IF('AggrStep1-energy'!F96=0,"NA",AC38/('AggrStep1-energy'!F96+'AggrStep1-energy'!F99))</f>
        <v>214.79855246051002</v>
      </c>
      <c r="AD90" s="213">
        <f>IF('AggrStep1-energy'!G96=0,"NA",AD38/('AggrStep1-energy'!G96+'AggrStep1-energy'!G99))</f>
        <v>250.75705791959629</v>
      </c>
      <c r="AE90" s="92"/>
      <c r="AF90" s="92"/>
      <c r="AG90" s="92"/>
    </row>
    <row r="91" spans="1:48" ht="15.75">
      <c r="A91" s="83"/>
      <c r="C91" s="106"/>
      <c r="D91" s="82"/>
      <c r="E91" s="82"/>
      <c r="F91" s="82"/>
      <c r="G91" s="82"/>
      <c r="H91" s="82"/>
      <c r="I91" s="82"/>
      <c r="J91" s="82"/>
      <c r="K91" s="82"/>
      <c r="L91" s="82"/>
      <c r="M91" s="82"/>
      <c r="N91" s="82"/>
      <c r="O91" s="102"/>
      <c r="P91" s="83"/>
      <c r="Q91" s="54"/>
      <c r="R91" s="83"/>
      <c r="S91" s="83"/>
      <c r="T91" s="66" t="s">
        <v>214</v>
      </c>
      <c r="U91" s="213">
        <v>1054.0791449980345</v>
      </c>
      <c r="V91" s="217">
        <f>AB91</f>
        <v>222.99403442371815</v>
      </c>
      <c r="W91" s="213">
        <v>1701.2755259547207</v>
      </c>
      <c r="X91" s="214">
        <f t="shared" si="66"/>
        <v>992.78290179215776</v>
      </c>
      <c r="Y91" s="92"/>
      <c r="Z91" s="66" t="s">
        <v>214</v>
      </c>
      <c r="AA91" s="213">
        <f>IF('AggrStep1-energy'!D97=0,"NA",AA39/'AggrStep1-energy'!D97)</f>
        <v>1054.0791419931375</v>
      </c>
      <c r="AB91" s="213">
        <f>IF('AggrStep1-energy'!E97=0,"NA",AB39/'AggrStep1-energy'!E97)</f>
        <v>222.99403442371815</v>
      </c>
      <c r="AC91" s="213">
        <f>IF('AggrStep1-energy'!F97=0,"NA",AC39/'AggrStep1-energy'!F97)</f>
        <v>1701.2755136678591</v>
      </c>
      <c r="AD91" s="213">
        <f>IF('AggrStep1-energy'!G97=0,"NA",AD39/'AggrStep1-energy'!G97)</f>
        <v>1231.6348690021284</v>
      </c>
      <c r="AE91" s="92"/>
      <c r="AF91" s="92"/>
      <c r="AG91" s="92"/>
    </row>
    <row r="92" spans="1:48" ht="15.75">
      <c r="A92" s="83"/>
      <c r="C92" s="106"/>
      <c r="D92" s="82"/>
      <c r="E92" s="82"/>
      <c r="F92" s="82"/>
      <c r="G92" s="82"/>
      <c r="H92" s="82"/>
      <c r="I92" s="82"/>
      <c r="J92" s="82"/>
      <c r="K92" s="82"/>
      <c r="L92" s="82"/>
      <c r="M92" s="82"/>
      <c r="N92" s="82"/>
      <c r="O92" s="102"/>
      <c r="P92" s="83"/>
      <c r="Q92" s="54"/>
      <c r="R92" s="83"/>
      <c r="S92" s="83"/>
      <c r="T92" s="66" t="s">
        <v>215</v>
      </c>
      <c r="U92" s="213">
        <v>572</v>
      </c>
      <c r="V92" s="217">
        <v>200</v>
      </c>
      <c r="W92" s="305">
        <f>AC92</f>
        <v>434.92859066024471</v>
      </c>
      <c r="X92" s="214">
        <f t="shared" si="66"/>
        <v>402.30953022008157</v>
      </c>
      <c r="Y92" s="92"/>
      <c r="Z92" s="66" t="s">
        <v>215</v>
      </c>
      <c r="AA92" s="213" t="str">
        <f>IF('AggrStep1-energy'!D98=0,"NA",AA40/'AggrStep1-energy'!D98)</f>
        <v>NA</v>
      </c>
      <c r="AB92" s="213" t="str">
        <f>IF('AggrStep1-energy'!E98=0,"NA",AB40/'AggrStep1-energy'!E98)</f>
        <v>NA</v>
      </c>
      <c r="AC92" s="213">
        <f>IF('AggrStep1-energy'!F98=0,"NA",AC40/'AggrStep1-energy'!F98)</f>
        <v>434.92859066024471</v>
      </c>
      <c r="AD92" s="213">
        <f>AD40/'AggrStep1-energy'!G98</f>
        <v>862.8981362371735</v>
      </c>
      <c r="AE92" s="92"/>
      <c r="AF92" s="92"/>
      <c r="AG92" s="92"/>
    </row>
    <row r="93" spans="1:48">
      <c r="A93" s="83"/>
      <c r="C93" s="106"/>
      <c r="D93" s="82"/>
      <c r="E93" s="82"/>
      <c r="F93" s="82"/>
      <c r="G93" s="82"/>
      <c r="H93" s="82"/>
      <c r="I93" s="82"/>
      <c r="J93" s="82"/>
      <c r="K93" s="82"/>
      <c r="L93" s="82"/>
      <c r="M93" s="82"/>
      <c r="N93" s="82"/>
      <c r="O93" s="102"/>
      <c r="P93" s="83"/>
      <c r="Q93" s="54"/>
      <c r="R93" s="83"/>
      <c r="S93" s="83"/>
      <c r="T93" s="276" t="s">
        <v>241</v>
      </c>
      <c r="U93" s="213">
        <f>AA93</f>
        <v>562.80205872600368</v>
      </c>
      <c r="V93" s="217">
        <f>AB93</f>
        <v>274.6264651066474</v>
      </c>
      <c r="W93" s="306">
        <f>AC93</f>
        <v>197.81401524575728</v>
      </c>
      <c r="X93" s="214">
        <f t="shared" si="66"/>
        <v>345.08084635946943</v>
      </c>
      <c r="Y93" s="92"/>
      <c r="Z93" s="276" t="s">
        <v>241</v>
      </c>
      <c r="AA93" s="213">
        <f>IF('AggrStep1-energy'!D99=0,"NA",AA46/'AggrStep1-energy'!D99)</f>
        <v>562.80205872600368</v>
      </c>
      <c r="AB93" s="213">
        <f>IF('AggrStep1-energy'!E99=0,"NA",AB46/'AggrStep1-energy'!E99)</f>
        <v>274.6264651066474</v>
      </c>
      <c r="AC93" s="213">
        <f>IF('AggrStep1-energy'!F99=0,"NA",AC46/'AggrStep1-energy'!F99)</f>
        <v>197.81401524575728</v>
      </c>
      <c r="AD93" s="213">
        <f>IF('AggrStep1-energy'!G99=0,"NA",AD46/'AggrStep1-energy'!G99)</f>
        <v>398.2816135858568</v>
      </c>
      <c r="AE93" s="92"/>
    </row>
    <row r="94" spans="1:48">
      <c r="A94" s="83"/>
      <c r="C94" s="106"/>
      <c r="D94" s="82"/>
      <c r="E94" s="82"/>
      <c r="F94" s="82"/>
      <c r="G94" s="82"/>
      <c r="H94" s="82"/>
      <c r="I94" s="82"/>
      <c r="J94" s="82"/>
      <c r="K94" s="82"/>
      <c r="L94" s="82"/>
      <c r="M94" s="82"/>
      <c r="N94" s="82"/>
      <c r="O94" s="102"/>
      <c r="P94" s="83"/>
      <c r="Q94" s="54"/>
      <c r="R94" s="83"/>
      <c r="S94" s="83"/>
      <c r="T94" s="216" t="s">
        <v>388</v>
      </c>
      <c r="U94" s="482">
        <v>1500</v>
      </c>
      <c r="V94" s="217">
        <v>200</v>
      </c>
      <c r="W94" s="218">
        <f>W89</f>
        <v>314.93373174080745</v>
      </c>
      <c r="X94" s="214">
        <f t="shared" si="66"/>
        <v>671.6445772469358</v>
      </c>
      <c r="Y94" s="92"/>
      <c r="Z94" s="216" t="s">
        <v>388</v>
      </c>
      <c r="AA94" s="213">
        <f>IF('AggrStep1-energy'!D102=0,"NA",AA41/'AggrStep1-energy'!D102)</f>
        <v>99292.255833445801</v>
      </c>
      <c r="AB94" s="213">
        <f>IF('AggrStep1-energy'!E102=0,"NA",AB41/'AggrStep1-energy'!E102)</f>
        <v>173.25188022408884</v>
      </c>
      <c r="AC94" s="213" t="str">
        <f>IF('AggrStep1-energy'!F102=0,"NA",AC41/'AggrStep1-energy'!F102)</f>
        <v>NA</v>
      </c>
      <c r="AD94" s="213">
        <f>IF('AggrStep1-energy'!G102=0,"NA",AD41/'AggrStep1-energy'!G102)</f>
        <v>583.30636993564383</v>
      </c>
      <c r="AE94" s="92"/>
    </row>
    <row r="95" spans="1:48">
      <c r="A95" s="83"/>
      <c r="C95" s="106"/>
      <c r="D95" s="82"/>
      <c r="E95" s="82"/>
      <c r="F95" s="82"/>
      <c r="G95" s="82"/>
      <c r="H95" s="82"/>
      <c r="I95" s="82"/>
      <c r="J95" s="82"/>
      <c r="K95" s="82"/>
      <c r="L95" s="82"/>
      <c r="M95" s="82"/>
      <c r="N95" s="82"/>
      <c r="O95" s="102"/>
      <c r="P95" s="83"/>
      <c r="Q95" s="54"/>
      <c r="R95" s="83"/>
      <c r="S95" s="83"/>
      <c r="T95" s="216" t="s">
        <v>421</v>
      </c>
      <c r="U95" s="213">
        <f>AA95</f>
        <v>98.584344703423355</v>
      </c>
      <c r="V95" s="213">
        <f>AB95</f>
        <v>23.149025855903062</v>
      </c>
      <c r="W95" s="213">
        <v>37.975709227434606</v>
      </c>
      <c r="X95" s="214">
        <f>AVERAGE(U95:W95)</f>
        <v>53.236359928920344</v>
      </c>
      <c r="Y95" s="92"/>
      <c r="Z95" s="216" t="s">
        <v>421</v>
      </c>
      <c r="AA95" s="213">
        <f>IF('AggrStep1-energy'!D103=0,"NA",AA42/'AggrStep1-energy'!D103)</f>
        <v>98.584344703423355</v>
      </c>
      <c r="AB95" s="213">
        <f>IF('AggrStep1-energy'!E103=0,"NA",AB42/'AggrStep1-energy'!E103)</f>
        <v>23.149025855903062</v>
      </c>
      <c r="AC95" s="213" t="str">
        <f>IF('AggrStep1-energy'!F103=0,"NA",AC42/'AggrStep1-energy'!F103)</f>
        <v>NA</v>
      </c>
      <c r="AD95" s="213">
        <f>IF('AggrStep1-energy'!G103=0,"NA",AD42/'AggrStep1-energy'!G103)</f>
        <v>53.104278344223971</v>
      </c>
      <c r="AE95" s="92"/>
    </row>
    <row r="96" spans="1:48">
      <c r="A96" s="83"/>
      <c r="C96" s="106"/>
      <c r="D96" s="82"/>
      <c r="E96" s="82"/>
      <c r="F96" s="82"/>
      <c r="G96" s="82"/>
      <c r="H96" s="82"/>
      <c r="I96" s="82"/>
      <c r="J96" s="82"/>
      <c r="K96" s="82"/>
      <c r="L96" s="82"/>
      <c r="M96" s="82"/>
      <c r="N96" s="82"/>
      <c r="O96" s="102"/>
      <c r="P96" s="83"/>
      <c r="Q96" s="54"/>
      <c r="R96" s="83"/>
      <c r="S96" s="83"/>
      <c r="T96" s="596" t="s">
        <v>922</v>
      </c>
      <c r="U96" s="148">
        <v>150</v>
      </c>
      <c r="V96" s="148">
        <f>V90</f>
        <v>222.99403442371815</v>
      </c>
      <c r="W96" s="150">
        <f>W90</f>
        <v>982.81546702620824</v>
      </c>
      <c r="X96" s="214">
        <f>AVERAGE(U96:W96)</f>
        <v>451.93650048330875</v>
      </c>
      <c r="Y96" s="92"/>
      <c r="Z96" s="596" t="s">
        <v>922</v>
      </c>
      <c r="AA96" s="213" t="str">
        <f>IF('AggrStep1-energy'!D104=0,"NA",AA45/'AggrStep1-energy'!D104)</f>
        <v>NA</v>
      </c>
      <c r="AB96" s="213" t="str">
        <f>IF('AggrStep1-energy'!E104=0,"NA",AB45/'AggrStep1-energy'!E104)</f>
        <v>NA</v>
      </c>
      <c r="AC96" s="213" t="str">
        <f>IF('AggrStep1-energy'!F104=0,"NA",AC45/'AggrStep1-energy'!F104)</f>
        <v>NA</v>
      </c>
      <c r="AD96" s="213" t="str">
        <f>IF('AggrStep1-energy'!G104=0,"NA",AD45/'AggrStep1-energy'!G104)</f>
        <v>NA</v>
      </c>
      <c r="AE96" s="92"/>
    </row>
    <row r="97" spans="1:31" ht="24" customHeight="1">
      <c r="A97" s="83"/>
      <c r="C97" s="106"/>
      <c r="D97" s="82"/>
      <c r="E97" s="82"/>
      <c r="F97" s="82"/>
      <c r="G97" s="82"/>
      <c r="H97" s="82"/>
      <c r="I97" s="82"/>
      <c r="J97" s="82"/>
      <c r="K97" s="82"/>
      <c r="L97" s="82"/>
      <c r="M97" s="82"/>
      <c r="N97" s="82"/>
      <c r="O97" s="102"/>
      <c r="P97" s="83"/>
      <c r="Q97" s="54"/>
      <c r="R97" s="83"/>
      <c r="S97" s="83"/>
      <c r="X97" s="92"/>
      <c r="Y97" s="92"/>
      <c r="Z97" s="92"/>
      <c r="AA97" s="92"/>
      <c r="AB97" s="92"/>
      <c r="AC97" s="92"/>
      <c r="AD97" s="92"/>
      <c r="AE97" s="92"/>
    </row>
    <row r="98" spans="1:31">
      <c r="A98" s="83"/>
      <c r="C98" s="106"/>
      <c r="D98" s="82"/>
      <c r="E98" s="82"/>
      <c r="F98" s="82"/>
      <c r="G98" s="82"/>
      <c r="H98" s="82"/>
      <c r="I98" s="82"/>
      <c r="J98" s="82"/>
      <c r="K98" s="82"/>
      <c r="L98" s="82"/>
      <c r="M98" s="82"/>
      <c r="N98" s="82"/>
      <c r="O98" s="102"/>
      <c r="P98" s="83"/>
      <c r="Q98" s="54"/>
      <c r="R98" s="83"/>
      <c r="S98" s="83"/>
      <c r="T98" s="318"/>
      <c r="X98" s="92"/>
      <c r="Y98" s="92"/>
      <c r="Z98" s="92"/>
      <c r="AA98" s="92"/>
      <c r="AB98" s="92"/>
      <c r="AC98" s="92"/>
      <c r="AD98" s="92"/>
      <c r="AE98" s="92"/>
    </row>
    <row r="99" spans="1:31">
      <c r="A99" s="83"/>
      <c r="B99" s="83"/>
      <c r="C99" s="54"/>
      <c r="D99" s="54"/>
      <c r="E99" s="54"/>
      <c r="F99" s="54"/>
      <c r="G99" s="54"/>
      <c r="H99" s="54"/>
      <c r="I99" s="54"/>
      <c r="J99" s="54"/>
      <c r="K99" s="54"/>
      <c r="L99" s="54"/>
      <c r="M99" s="54"/>
      <c r="N99" s="54"/>
      <c r="O99" s="102"/>
      <c r="P99" s="83"/>
      <c r="Q99" s="54"/>
      <c r="R99" s="83"/>
      <c r="S99" s="83"/>
      <c r="X99" s="92"/>
      <c r="Y99" s="92"/>
      <c r="Z99" s="92"/>
      <c r="AA99" s="92"/>
      <c r="AB99" s="92"/>
      <c r="AC99" s="92"/>
      <c r="AD99" s="92"/>
      <c r="AE99" s="92"/>
    </row>
    <row r="100" spans="1:31">
      <c r="A100" s="83"/>
      <c r="B100" s="83"/>
      <c r="C100" s="82"/>
      <c r="D100" s="82"/>
      <c r="E100" s="82"/>
      <c r="F100" s="82"/>
      <c r="G100" s="82"/>
      <c r="H100" s="82"/>
      <c r="I100" s="82"/>
      <c r="J100" s="82"/>
      <c r="K100" s="54"/>
      <c r="L100" s="83"/>
      <c r="M100" s="83"/>
      <c r="N100" s="83"/>
      <c r="O100" s="83"/>
      <c r="P100" s="83"/>
      <c r="Q100" s="54"/>
      <c r="R100" s="83"/>
      <c r="S100" s="83"/>
      <c r="X100" s="92"/>
      <c r="Y100" s="92"/>
      <c r="Z100" s="92"/>
      <c r="AA100" s="92"/>
      <c r="AB100" s="92"/>
      <c r="AC100" s="92"/>
      <c r="AD100" s="92"/>
      <c r="AE100" s="92"/>
    </row>
    <row r="101" spans="1:31">
      <c r="A101" s="317"/>
      <c r="B101" s="317"/>
      <c r="C101" s="223"/>
      <c r="D101" s="223"/>
      <c r="E101" s="223"/>
      <c r="F101" s="223"/>
      <c r="G101" s="223"/>
      <c r="H101" s="223"/>
      <c r="I101" s="223"/>
      <c r="J101" s="223"/>
      <c r="K101" s="223"/>
      <c r="L101" s="223"/>
      <c r="M101" s="223"/>
      <c r="N101" s="223"/>
      <c r="O101" s="223"/>
      <c r="P101" s="223"/>
      <c r="Q101" s="54"/>
      <c r="R101" s="83"/>
      <c r="S101" s="83"/>
      <c r="X101" s="92"/>
      <c r="Y101" s="92"/>
      <c r="Z101" s="92"/>
      <c r="AA101" s="92"/>
      <c r="AB101" s="92"/>
      <c r="AC101" s="92"/>
      <c r="AD101" s="92"/>
      <c r="AE101" s="92"/>
    </row>
    <row r="102" spans="1:31">
      <c r="A102" s="83"/>
      <c r="B102" s="83"/>
      <c r="C102" s="82"/>
      <c r="D102" s="82"/>
      <c r="E102" s="82"/>
      <c r="F102" s="82"/>
      <c r="G102" s="82"/>
      <c r="H102" s="82"/>
      <c r="I102" s="82"/>
      <c r="J102" s="82"/>
      <c r="K102" s="54"/>
      <c r="L102" s="83"/>
      <c r="M102" s="83"/>
      <c r="N102" s="83"/>
      <c r="O102" s="83"/>
      <c r="P102" s="83"/>
      <c r="Q102" s="54"/>
      <c r="R102" s="83"/>
      <c r="S102" s="83"/>
      <c r="X102" s="92"/>
      <c r="Y102" s="92"/>
      <c r="Z102" s="92"/>
      <c r="AA102" s="92"/>
      <c r="AB102" s="92"/>
      <c r="AC102" s="92"/>
      <c r="AD102" s="92"/>
      <c r="AE102" s="92"/>
    </row>
    <row r="103" spans="1:31">
      <c r="A103" s="124"/>
      <c r="C103" s="127"/>
      <c r="D103" s="128"/>
      <c r="E103" s="128"/>
      <c r="F103" s="129"/>
      <c r="G103" s="128"/>
      <c r="H103" s="128"/>
      <c r="I103" s="128"/>
      <c r="J103" s="128"/>
      <c r="K103" s="128"/>
      <c r="L103" s="83"/>
      <c r="M103" s="83"/>
      <c r="N103" s="83"/>
      <c r="O103" s="83"/>
      <c r="P103" s="83"/>
      <c r="Q103" s="54"/>
      <c r="R103" s="83"/>
      <c r="S103" s="83"/>
      <c r="X103" s="92"/>
      <c r="Y103" s="92"/>
      <c r="Z103" s="92"/>
      <c r="AA103" s="92"/>
      <c r="AB103" s="92"/>
      <c r="AC103" s="92"/>
      <c r="AD103" s="92"/>
      <c r="AE103" s="92"/>
    </row>
    <row r="104" spans="1:31">
      <c r="A104" s="124"/>
      <c r="C104" s="109"/>
      <c r="D104" s="125"/>
      <c r="E104" s="126"/>
      <c r="F104" s="126"/>
      <c r="G104" s="126"/>
      <c r="H104" s="126"/>
      <c r="I104" s="126"/>
      <c r="J104" s="126"/>
      <c r="K104" s="130"/>
      <c r="L104" s="83"/>
      <c r="M104" s="83"/>
      <c r="N104" s="83"/>
      <c r="O104" s="83"/>
      <c r="P104" s="83"/>
      <c r="Q104" s="83"/>
      <c r="R104" s="83"/>
      <c r="S104" s="83"/>
      <c r="X104" s="92"/>
      <c r="Y104" s="92"/>
      <c r="Z104" s="92"/>
      <c r="AA104" s="92"/>
      <c r="AB104" s="92"/>
      <c r="AC104" s="92"/>
      <c r="AD104" s="92"/>
      <c r="AE104" s="92"/>
    </row>
    <row r="105" spans="1:31">
      <c r="A105" s="124"/>
      <c r="C105" s="109"/>
      <c r="D105" s="125"/>
      <c r="E105" s="126"/>
      <c r="F105" s="126"/>
      <c r="G105" s="126"/>
      <c r="H105" s="126"/>
      <c r="I105" s="126"/>
      <c r="J105" s="126"/>
      <c r="K105" s="130"/>
      <c r="L105" s="83"/>
      <c r="M105" s="83"/>
      <c r="N105" s="83"/>
      <c r="O105" s="83"/>
      <c r="P105" s="83"/>
      <c r="Q105" s="55"/>
      <c r="R105" s="83"/>
      <c r="S105" s="83"/>
      <c r="X105" s="92"/>
      <c r="Y105" s="92"/>
      <c r="Z105" s="92"/>
      <c r="AA105" s="92"/>
      <c r="AB105" s="92"/>
      <c r="AC105" s="92"/>
      <c r="AD105" s="92"/>
      <c r="AE105" s="92"/>
    </row>
    <row r="106" spans="1:31">
      <c r="A106" s="124"/>
      <c r="C106" s="109"/>
      <c r="D106" s="125"/>
      <c r="E106" s="126"/>
      <c r="F106" s="126"/>
      <c r="G106" s="126"/>
      <c r="H106" s="126"/>
      <c r="I106" s="126"/>
      <c r="J106" s="126"/>
      <c r="K106" s="130"/>
      <c r="L106" s="51"/>
      <c r="M106" s="51"/>
      <c r="N106" s="51"/>
      <c r="O106" s="51"/>
      <c r="P106" s="51"/>
      <c r="Q106" s="54"/>
      <c r="R106" s="51"/>
      <c r="S106" s="51"/>
      <c r="X106" s="92"/>
      <c r="Y106" s="92"/>
      <c r="Z106" s="92"/>
      <c r="AA106" s="92"/>
      <c r="AB106" s="92"/>
      <c r="AC106" s="92"/>
      <c r="AD106" s="92"/>
      <c r="AE106" s="92"/>
    </row>
    <row r="107" spans="1:31">
      <c r="A107" s="124"/>
      <c r="C107" s="109"/>
      <c r="D107" s="125"/>
      <c r="E107" s="126"/>
      <c r="F107" s="126"/>
      <c r="G107" s="126"/>
      <c r="H107" s="126"/>
      <c r="I107" s="126"/>
      <c r="J107" s="126"/>
      <c r="K107" s="130"/>
      <c r="L107" s="83"/>
      <c r="M107" s="83"/>
      <c r="N107" s="83"/>
      <c r="O107" s="83"/>
      <c r="P107" s="83"/>
      <c r="Q107" s="54"/>
      <c r="R107" s="83"/>
      <c r="S107" s="83"/>
      <c r="X107" s="92"/>
      <c r="Y107" s="92"/>
      <c r="Z107" s="92"/>
      <c r="AA107" s="92"/>
      <c r="AB107" s="92"/>
      <c r="AC107" s="92"/>
      <c r="AD107" s="92"/>
      <c r="AE107" s="92"/>
    </row>
    <row r="108" spans="1:31">
      <c r="A108" s="124"/>
      <c r="C108" s="109"/>
      <c r="D108" s="125"/>
      <c r="E108" s="126"/>
      <c r="F108" s="126"/>
      <c r="G108" s="126"/>
      <c r="H108" s="126"/>
      <c r="I108" s="126"/>
      <c r="J108" s="126"/>
      <c r="K108" s="130"/>
      <c r="L108" s="83"/>
      <c r="M108" s="83"/>
      <c r="N108" s="83"/>
      <c r="O108" s="83"/>
      <c r="P108" s="83"/>
      <c r="Q108" s="54"/>
      <c r="R108" s="83"/>
      <c r="S108" s="83"/>
      <c r="X108" s="92"/>
      <c r="Y108" s="92"/>
      <c r="Z108" s="92"/>
      <c r="AA108" s="92"/>
      <c r="AB108" s="92"/>
      <c r="AC108" s="92"/>
      <c r="AD108" s="92"/>
      <c r="AE108" s="92"/>
    </row>
    <row r="109" spans="1:31">
      <c r="A109" s="124"/>
      <c r="C109" s="109"/>
      <c r="D109" s="125"/>
      <c r="E109" s="126"/>
      <c r="F109" s="126"/>
      <c r="G109" s="126"/>
      <c r="H109" s="126"/>
      <c r="I109" s="126"/>
      <c r="J109" s="126"/>
      <c r="K109" s="130"/>
      <c r="L109" s="83"/>
      <c r="M109" s="83"/>
      <c r="N109" s="83"/>
      <c r="O109" s="83"/>
      <c r="P109" s="83"/>
      <c r="Q109" s="54"/>
      <c r="R109" s="83"/>
      <c r="S109" s="83"/>
      <c r="X109" s="92"/>
      <c r="Y109" s="92"/>
      <c r="Z109" s="92"/>
      <c r="AA109" s="92"/>
      <c r="AB109" s="92"/>
      <c r="AC109" s="92"/>
      <c r="AD109" s="92"/>
      <c r="AE109" s="92"/>
    </row>
    <row r="110" spans="1:31">
      <c r="A110" s="124"/>
      <c r="C110" s="109"/>
      <c r="D110" s="125"/>
      <c r="E110" s="126"/>
      <c r="F110" s="126"/>
      <c r="G110" s="126"/>
      <c r="H110" s="126"/>
      <c r="I110" s="126"/>
      <c r="J110" s="126"/>
      <c r="K110" s="130"/>
      <c r="L110" s="83"/>
      <c r="M110" s="83"/>
      <c r="N110" s="83"/>
      <c r="O110" s="83"/>
      <c r="P110" s="83"/>
      <c r="Q110" s="54"/>
      <c r="R110" s="83"/>
      <c r="S110" s="83"/>
      <c r="X110" s="92"/>
      <c r="Y110" s="92"/>
      <c r="Z110" s="92"/>
      <c r="AA110" s="92"/>
      <c r="AB110" s="92"/>
      <c r="AC110" s="92"/>
      <c r="AD110" s="92"/>
      <c r="AE110" s="92"/>
    </row>
    <row r="111" spans="1:31">
      <c r="A111" s="124"/>
      <c r="C111" s="109"/>
      <c r="D111" s="125"/>
      <c r="E111" s="126"/>
      <c r="F111" s="126"/>
      <c r="G111" s="126"/>
      <c r="H111" s="126"/>
      <c r="I111" s="126"/>
      <c r="J111" s="126"/>
      <c r="K111" s="130"/>
      <c r="L111" s="83"/>
      <c r="M111" s="83"/>
      <c r="N111" s="83"/>
      <c r="O111" s="83"/>
      <c r="P111" s="83"/>
      <c r="Q111" s="54"/>
      <c r="R111" s="83"/>
      <c r="S111" s="83"/>
      <c r="X111" s="92"/>
      <c r="Y111" s="92"/>
      <c r="Z111" s="92"/>
      <c r="AA111" s="92"/>
      <c r="AB111" s="92"/>
      <c r="AC111" s="92"/>
      <c r="AD111" s="92"/>
      <c r="AE111" s="92"/>
    </row>
    <row r="112" spans="1:31">
      <c r="A112" s="124"/>
      <c r="C112" s="109"/>
      <c r="D112" s="125"/>
      <c r="E112" s="126"/>
      <c r="F112" s="126"/>
      <c r="G112" s="126"/>
      <c r="H112" s="126"/>
      <c r="I112" s="126"/>
      <c r="J112" s="126"/>
      <c r="K112" s="130"/>
      <c r="L112" s="83"/>
      <c r="M112" s="83"/>
      <c r="N112" s="83"/>
      <c r="O112" s="83"/>
      <c r="P112" s="83"/>
      <c r="Q112" s="54"/>
      <c r="R112" s="83"/>
      <c r="S112" s="83"/>
      <c r="T112" s="92"/>
      <c r="U112" s="92"/>
      <c r="V112" s="92"/>
      <c r="W112" s="92"/>
      <c r="X112" s="92"/>
      <c r="Y112" s="92"/>
      <c r="Z112" s="92"/>
      <c r="AA112" s="92"/>
      <c r="AB112" s="92"/>
      <c r="AC112" s="92"/>
      <c r="AD112" s="92"/>
      <c r="AE112" s="92"/>
    </row>
    <row r="113" spans="1:24">
      <c r="A113" s="124"/>
      <c r="C113" s="109"/>
      <c r="D113" s="125"/>
      <c r="E113" s="126"/>
      <c r="F113" s="126"/>
      <c r="G113" s="126"/>
      <c r="H113" s="126"/>
      <c r="I113" s="126"/>
      <c r="J113" s="126"/>
      <c r="K113" s="130"/>
      <c r="L113" s="83"/>
      <c r="M113" s="83"/>
      <c r="N113" s="83"/>
      <c r="O113" s="83"/>
      <c r="P113" s="83"/>
      <c r="Q113" s="54"/>
      <c r="R113" s="83"/>
      <c r="S113" s="83"/>
      <c r="T113" s="83"/>
      <c r="U113" s="83"/>
      <c r="V113" s="83"/>
      <c r="W113" s="83"/>
      <c r="X113" s="83"/>
    </row>
    <row r="114" spans="1:24">
      <c r="A114" s="124"/>
      <c r="C114" s="109"/>
      <c r="D114" s="125"/>
      <c r="E114" s="126"/>
      <c r="F114" s="126"/>
      <c r="G114" s="126"/>
      <c r="H114" s="126"/>
      <c r="I114" s="126"/>
      <c r="J114" s="126"/>
      <c r="K114" s="130"/>
      <c r="L114" s="83"/>
      <c r="M114" s="83"/>
      <c r="N114" s="83"/>
      <c r="O114" s="83"/>
      <c r="P114" s="83"/>
      <c r="Q114" s="54"/>
      <c r="R114" s="83"/>
      <c r="S114" s="83"/>
      <c r="T114" s="83"/>
      <c r="U114" s="83"/>
      <c r="V114" s="83"/>
      <c r="W114" s="83"/>
      <c r="X114" s="83"/>
    </row>
    <row r="115" spans="1:24">
      <c r="A115" s="124"/>
      <c r="C115" s="109"/>
      <c r="D115" s="125"/>
      <c r="E115" s="126"/>
      <c r="F115" s="126"/>
      <c r="G115" s="126"/>
      <c r="H115" s="126"/>
      <c r="I115" s="126"/>
      <c r="J115" s="126"/>
      <c r="K115" s="130"/>
      <c r="L115" s="83"/>
      <c r="M115" s="83"/>
      <c r="N115" s="83"/>
      <c r="O115" s="83"/>
      <c r="P115" s="83"/>
      <c r="Q115" s="54"/>
      <c r="R115" s="83"/>
      <c r="S115" s="83"/>
      <c r="T115" s="83"/>
      <c r="U115" s="83"/>
      <c r="V115" s="83"/>
      <c r="W115" s="83"/>
      <c r="X115" s="83"/>
    </row>
    <row r="116" spans="1:24">
      <c r="A116" s="124"/>
      <c r="C116" s="90"/>
      <c r="D116" s="115"/>
      <c r="E116" s="125"/>
      <c r="F116" s="125"/>
      <c r="G116" s="131"/>
      <c r="H116" s="131"/>
      <c r="I116" s="131"/>
      <c r="J116" s="131"/>
      <c r="K116" s="132"/>
      <c r="L116" s="83"/>
      <c r="M116" s="83"/>
      <c r="N116" s="83"/>
      <c r="O116" s="83"/>
      <c r="P116" s="83"/>
      <c r="Q116" s="54"/>
      <c r="R116" s="83"/>
      <c r="S116" s="83"/>
      <c r="T116" s="83"/>
      <c r="U116" s="83"/>
      <c r="V116" s="83"/>
      <c r="W116" s="83"/>
      <c r="X116" s="83"/>
    </row>
    <row r="117" spans="1:24">
      <c r="A117" s="83"/>
      <c r="B117" s="83"/>
      <c r="C117" s="82"/>
      <c r="D117" s="82"/>
      <c r="E117" s="82"/>
      <c r="F117" s="82"/>
      <c r="G117" s="82"/>
      <c r="H117" s="82"/>
      <c r="I117" s="82"/>
      <c r="J117" s="82"/>
      <c r="K117" s="54"/>
      <c r="L117" s="83"/>
      <c r="M117" s="83"/>
      <c r="N117" s="83"/>
      <c r="O117" s="83"/>
      <c r="P117" s="83"/>
      <c r="Q117" s="54"/>
      <c r="R117" s="83"/>
      <c r="S117" s="83"/>
      <c r="T117" s="83"/>
      <c r="U117" s="83"/>
      <c r="V117" s="83"/>
      <c r="W117" s="83"/>
      <c r="X117" s="83"/>
    </row>
    <row r="118" spans="1:24">
      <c r="A118" s="83"/>
      <c r="B118" s="83"/>
      <c r="C118" s="82"/>
      <c r="D118" s="82"/>
      <c r="E118" s="82"/>
      <c r="F118" s="82"/>
      <c r="G118" s="82"/>
      <c r="H118" s="82"/>
      <c r="I118" s="82"/>
      <c r="J118" s="82"/>
      <c r="K118" s="54"/>
      <c r="L118" s="83"/>
      <c r="M118" s="83"/>
      <c r="N118" s="83"/>
      <c r="O118" s="83"/>
      <c r="P118" s="83"/>
      <c r="Q118" s="54"/>
      <c r="R118" s="83"/>
      <c r="S118" s="83"/>
      <c r="T118" s="83"/>
      <c r="U118" s="83"/>
      <c r="V118" s="83"/>
      <c r="W118" s="83"/>
      <c r="X118" s="83"/>
    </row>
    <row r="119" spans="1:24">
      <c r="A119" s="83"/>
      <c r="B119" s="83"/>
      <c r="C119" s="82"/>
      <c r="D119" s="82"/>
      <c r="E119" s="82"/>
      <c r="F119" s="82"/>
      <c r="G119" s="82"/>
      <c r="H119" s="82"/>
      <c r="I119" s="82"/>
      <c r="J119" s="82"/>
      <c r="K119" s="54"/>
      <c r="L119" s="83"/>
      <c r="M119" s="83"/>
      <c r="N119" s="83"/>
      <c r="O119" s="83"/>
      <c r="P119" s="83"/>
      <c r="Q119" s="54"/>
      <c r="R119" s="83"/>
      <c r="S119" s="83"/>
      <c r="T119" s="83"/>
      <c r="U119" s="83"/>
      <c r="V119" s="83"/>
      <c r="W119" s="83"/>
      <c r="X119" s="83"/>
    </row>
    <row r="120" spans="1:24">
      <c r="A120" s="83"/>
      <c r="B120" s="83"/>
      <c r="C120" s="82"/>
      <c r="D120" s="82"/>
      <c r="E120" s="82"/>
      <c r="F120" s="82"/>
      <c r="G120" s="82"/>
      <c r="H120" s="82"/>
      <c r="I120" s="82"/>
      <c r="J120" s="82"/>
      <c r="K120" s="54"/>
      <c r="L120" s="83"/>
      <c r="M120" s="83"/>
      <c r="N120" s="83"/>
      <c r="O120" s="83"/>
      <c r="P120" s="83"/>
      <c r="Q120" s="54"/>
      <c r="R120" s="83"/>
      <c r="S120" s="83"/>
      <c r="T120" s="83"/>
      <c r="U120" s="83"/>
      <c r="V120" s="83"/>
      <c r="W120" s="83"/>
      <c r="X120" s="83"/>
    </row>
    <row r="121" spans="1:24">
      <c r="A121" s="83"/>
      <c r="B121" s="83"/>
      <c r="C121" s="82"/>
      <c r="D121" s="82"/>
      <c r="E121" s="82"/>
      <c r="F121" s="82"/>
      <c r="G121" s="82"/>
      <c r="H121" s="82"/>
      <c r="I121" s="82"/>
      <c r="J121" s="82"/>
      <c r="K121" s="54"/>
      <c r="L121" s="83"/>
      <c r="M121" s="83"/>
      <c r="N121" s="83"/>
      <c r="O121" s="83"/>
      <c r="P121" s="83"/>
      <c r="Q121" s="54"/>
      <c r="R121" s="83"/>
      <c r="S121" s="83"/>
      <c r="T121" s="83"/>
      <c r="U121" s="83"/>
      <c r="V121" s="83"/>
      <c r="W121" s="83"/>
      <c r="X121" s="83"/>
    </row>
    <row r="122" spans="1:24">
      <c r="A122" s="83"/>
      <c r="B122" s="83"/>
      <c r="C122" s="82"/>
      <c r="D122" s="82"/>
      <c r="E122" s="82"/>
      <c r="F122" s="82"/>
      <c r="G122" s="82"/>
      <c r="H122" s="82"/>
      <c r="I122" s="82"/>
      <c r="J122" s="82"/>
      <c r="K122" s="54"/>
      <c r="L122" s="83"/>
      <c r="M122" s="83"/>
      <c r="N122" s="83"/>
      <c r="O122" s="83"/>
      <c r="P122" s="83"/>
      <c r="Q122" s="54"/>
      <c r="R122" s="83"/>
      <c r="S122" s="83"/>
      <c r="T122" s="83"/>
      <c r="U122" s="83"/>
      <c r="V122" s="83"/>
      <c r="W122" s="83"/>
      <c r="X122" s="83"/>
    </row>
    <row r="123" spans="1:24">
      <c r="A123" s="83"/>
      <c r="B123" s="51"/>
      <c r="C123" s="54"/>
      <c r="D123" s="54"/>
      <c r="E123" s="54"/>
      <c r="F123" s="54"/>
      <c r="G123" s="54"/>
      <c r="H123" s="54"/>
      <c r="I123" s="54"/>
      <c r="J123" s="54"/>
      <c r="K123" s="54"/>
      <c r="L123" s="83"/>
      <c r="M123" s="83"/>
      <c r="N123" s="83"/>
      <c r="O123" s="83"/>
      <c r="P123" s="83"/>
      <c r="Q123" s="54"/>
      <c r="R123" s="83"/>
      <c r="S123" s="83"/>
      <c r="T123" s="83"/>
      <c r="U123" s="83"/>
      <c r="V123" s="83"/>
      <c r="W123" s="83"/>
      <c r="X123" s="83"/>
    </row>
    <row r="124" spans="1:24">
      <c r="A124" s="83"/>
      <c r="B124" s="83"/>
      <c r="C124" s="82"/>
      <c r="D124" s="82"/>
      <c r="E124" s="82"/>
      <c r="F124" s="82"/>
      <c r="G124" s="82"/>
      <c r="H124" s="82"/>
      <c r="I124" s="82"/>
      <c r="J124" s="82"/>
      <c r="K124" s="54"/>
      <c r="L124" s="83"/>
      <c r="M124" s="83"/>
      <c r="N124" s="83"/>
      <c r="O124" s="83"/>
      <c r="P124" s="83"/>
      <c r="Q124" s="54"/>
      <c r="R124" s="83"/>
      <c r="S124" s="83"/>
      <c r="T124" s="83"/>
      <c r="U124" s="83"/>
      <c r="V124" s="83"/>
      <c r="W124" s="83"/>
      <c r="X124" s="83"/>
    </row>
    <row r="125" spans="1:24">
      <c r="A125" s="83"/>
      <c r="B125" s="83"/>
      <c r="C125" s="82"/>
      <c r="D125" s="82"/>
      <c r="E125" s="82"/>
      <c r="F125" s="82"/>
      <c r="G125" s="82"/>
      <c r="H125" s="82"/>
      <c r="I125" s="82"/>
      <c r="J125" s="82"/>
      <c r="K125" s="54"/>
      <c r="L125" s="83"/>
      <c r="M125" s="83"/>
      <c r="N125" s="83"/>
      <c r="O125" s="83"/>
      <c r="P125" s="83"/>
      <c r="Q125" s="54"/>
      <c r="R125" s="83"/>
      <c r="S125" s="83"/>
      <c r="T125" s="83"/>
      <c r="U125" s="83"/>
      <c r="V125" s="83"/>
      <c r="W125" s="83"/>
      <c r="X125" s="83"/>
    </row>
    <row r="126" spans="1:24">
      <c r="A126" s="83"/>
      <c r="B126" s="83"/>
      <c r="C126" s="82"/>
      <c r="D126" s="82"/>
      <c r="E126" s="82"/>
      <c r="F126" s="82"/>
      <c r="G126" s="82"/>
      <c r="H126" s="82"/>
      <c r="I126" s="82"/>
      <c r="J126" s="82"/>
      <c r="K126" s="54"/>
      <c r="L126" s="83"/>
      <c r="M126" s="83"/>
      <c r="N126" s="83"/>
      <c r="O126" s="83"/>
      <c r="P126" s="83"/>
      <c r="Q126" s="54"/>
      <c r="R126" s="83"/>
      <c r="S126" s="83"/>
      <c r="T126" s="83"/>
      <c r="U126" s="83"/>
      <c r="V126" s="83"/>
      <c r="W126" s="83"/>
      <c r="X126" s="83"/>
    </row>
    <row r="127" spans="1:24">
      <c r="A127" s="83"/>
      <c r="B127" s="83"/>
      <c r="C127" s="82"/>
      <c r="D127" s="82"/>
      <c r="E127" s="82"/>
      <c r="F127" s="82"/>
      <c r="G127" s="82"/>
      <c r="H127" s="82"/>
      <c r="I127" s="82"/>
      <c r="J127" s="82"/>
      <c r="K127" s="54"/>
      <c r="L127" s="83"/>
      <c r="M127" s="83"/>
      <c r="N127" s="83"/>
      <c r="O127" s="83"/>
      <c r="P127" s="83"/>
      <c r="Q127" s="54"/>
      <c r="R127" s="83"/>
      <c r="S127" s="83"/>
      <c r="T127" s="83"/>
      <c r="U127" s="83"/>
      <c r="V127" s="83"/>
      <c r="W127" s="83"/>
      <c r="X127" s="83"/>
    </row>
    <row r="128" spans="1:24">
      <c r="A128" s="83"/>
      <c r="B128" s="83"/>
      <c r="C128" s="82"/>
      <c r="D128" s="82"/>
      <c r="E128" s="82"/>
      <c r="F128" s="82"/>
      <c r="G128" s="82"/>
      <c r="H128" s="82"/>
      <c r="I128" s="82"/>
      <c r="J128" s="82"/>
      <c r="K128" s="54"/>
      <c r="L128" s="83"/>
      <c r="M128" s="83"/>
      <c r="N128" s="83"/>
      <c r="O128" s="83"/>
      <c r="P128" s="83"/>
      <c r="Q128" s="54"/>
      <c r="R128" s="83"/>
      <c r="S128" s="83"/>
      <c r="T128" s="83"/>
      <c r="U128" s="83"/>
      <c r="V128" s="83"/>
      <c r="W128" s="83"/>
      <c r="X128" s="83"/>
    </row>
    <row r="129" spans="1:24">
      <c r="A129" s="83"/>
      <c r="B129" s="51"/>
      <c r="C129" s="54"/>
      <c r="D129" s="54"/>
      <c r="E129" s="54"/>
      <c r="F129" s="54"/>
      <c r="G129" s="54"/>
      <c r="H129" s="54"/>
      <c r="I129" s="54"/>
      <c r="J129" s="54"/>
      <c r="K129" s="54"/>
      <c r="L129" s="83"/>
      <c r="M129" s="83"/>
      <c r="N129" s="83"/>
      <c r="O129" s="83"/>
      <c r="P129" s="83"/>
      <c r="Q129" s="54"/>
      <c r="R129" s="83"/>
      <c r="S129" s="83"/>
      <c r="T129" s="83"/>
      <c r="U129" s="83"/>
      <c r="V129" s="83"/>
      <c r="W129" s="83"/>
      <c r="X129" s="83"/>
    </row>
    <row r="130" spans="1:24">
      <c r="A130" s="83"/>
      <c r="B130" s="83"/>
      <c r="C130" s="82"/>
      <c r="D130" s="82"/>
      <c r="E130" s="82"/>
      <c r="F130" s="82"/>
      <c r="G130" s="82"/>
      <c r="H130" s="82"/>
      <c r="I130" s="82"/>
      <c r="J130" s="82"/>
      <c r="K130" s="54"/>
      <c r="L130" s="83"/>
      <c r="M130" s="83"/>
      <c r="N130" s="83"/>
      <c r="O130" s="83"/>
      <c r="P130" s="83"/>
      <c r="Q130" s="54"/>
      <c r="R130" s="83"/>
      <c r="S130" s="83"/>
      <c r="T130" s="83"/>
      <c r="U130" s="83"/>
      <c r="V130" s="83"/>
      <c r="W130" s="83"/>
      <c r="X130" s="83"/>
    </row>
    <row r="131" spans="1:24">
      <c r="A131" s="83"/>
      <c r="B131" s="83"/>
      <c r="C131" s="82"/>
      <c r="D131" s="82"/>
      <c r="E131" s="82"/>
      <c r="F131" s="82"/>
      <c r="G131" s="82"/>
      <c r="H131" s="82"/>
      <c r="I131" s="82"/>
      <c r="J131" s="82"/>
      <c r="K131" s="54"/>
      <c r="L131" s="83"/>
      <c r="M131" s="83"/>
      <c r="N131" s="83"/>
      <c r="O131" s="83"/>
      <c r="P131" s="83"/>
      <c r="Q131" s="54"/>
      <c r="R131" s="83"/>
      <c r="S131" s="83"/>
      <c r="T131" s="83"/>
      <c r="U131" s="83"/>
      <c r="V131" s="83"/>
      <c r="W131" s="83"/>
      <c r="X131" s="83"/>
    </row>
    <row r="132" spans="1:24">
      <c r="A132" s="83"/>
      <c r="B132" s="83"/>
      <c r="C132" s="82"/>
      <c r="D132" s="82"/>
      <c r="E132" s="82"/>
      <c r="F132" s="82"/>
      <c r="G132" s="82"/>
      <c r="H132" s="82"/>
      <c r="I132" s="82"/>
      <c r="J132" s="82"/>
      <c r="K132" s="54"/>
      <c r="L132" s="83"/>
      <c r="M132" s="83"/>
      <c r="N132" s="83"/>
      <c r="O132" s="83"/>
      <c r="P132" s="83"/>
      <c r="Q132" s="54"/>
      <c r="R132" s="83"/>
      <c r="S132" s="83"/>
      <c r="T132" s="83"/>
      <c r="U132" s="83"/>
      <c r="V132" s="83"/>
      <c r="W132" s="83"/>
      <c r="X132" s="83"/>
    </row>
    <row r="133" spans="1:24">
      <c r="A133" s="83"/>
      <c r="B133" s="51"/>
      <c r="C133" s="54"/>
      <c r="D133" s="54"/>
      <c r="E133" s="54"/>
      <c r="F133" s="54"/>
      <c r="G133" s="54"/>
      <c r="H133" s="54"/>
      <c r="I133" s="54"/>
      <c r="J133" s="54"/>
      <c r="K133" s="54"/>
      <c r="L133" s="83"/>
      <c r="M133" s="83"/>
      <c r="N133" s="83"/>
      <c r="O133" s="83"/>
      <c r="P133" s="83"/>
      <c r="Q133" s="54"/>
      <c r="R133" s="83"/>
      <c r="S133" s="83"/>
      <c r="T133" s="83"/>
      <c r="U133" s="83"/>
      <c r="V133" s="83"/>
      <c r="W133" s="83"/>
      <c r="X133" s="83"/>
    </row>
    <row r="134" spans="1:24">
      <c r="A134" s="83"/>
      <c r="B134" s="83"/>
      <c r="C134" s="82"/>
      <c r="D134" s="82"/>
      <c r="E134" s="82"/>
      <c r="F134" s="82"/>
      <c r="G134" s="82"/>
      <c r="H134" s="82"/>
      <c r="I134" s="82"/>
      <c r="J134" s="82"/>
      <c r="K134" s="82"/>
      <c r="L134" s="83"/>
      <c r="M134" s="83"/>
      <c r="N134" s="83"/>
      <c r="O134" s="83"/>
      <c r="P134" s="83"/>
      <c r="Q134" s="82"/>
      <c r="R134" s="83"/>
      <c r="S134" s="83"/>
      <c r="T134" s="83"/>
      <c r="U134" s="83"/>
      <c r="V134" s="83"/>
      <c r="W134" s="83"/>
      <c r="X134" s="83"/>
    </row>
    <row r="135" spans="1:24">
      <c r="A135" s="83"/>
      <c r="B135" s="51"/>
      <c r="C135" s="54"/>
      <c r="D135" s="54"/>
      <c r="E135" s="54"/>
      <c r="F135" s="54"/>
      <c r="G135" s="54"/>
      <c r="H135" s="54"/>
      <c r="I135" s="54"/>
      <c r="J135" s="54"/>
      <c r="K135" s="54"/>
      <c r="L135" s="83"/>
      <c r="M135" s="83"/>
      <c r="N135" s="83"/>
      <c r="O135" s="83"/>
      <c r="P135" s="83"/>
      <c r="Q135" s="54"/>
      <c r="R135" s="83"/>
      <c r="S135" s="83"/>
      <c r="T135" s="83"/>
      <c r="U135" s="83"/>
      <c r="V135" s="83"/>
      <c r="W135" s="83"/>
      <c r="X135" s="83"/>
    </row>
    <row r="136" spans="1:24">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row>
    <row r="137" spans="1:24">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row>
    <row r="138" spans="1:24">
      <c r="A138" s="83"/>
      <c r="B138" s="83"/>
      <c r="C138" s="53"/>
      <c r="D138" s="55"/>
      <c r="E138" s="53"/>
      <c r="F138" s="55"/>
      <c r="G138" s="55"/>
      <c r="H138" s="55"/>
      <c r="I138" s="55"/>
      <c r="J138" s="55"/>
      <c r="K138" s="55"/>
      <c r="L138" s="83"/>
      <c r="M138" s="83"/>
      <c r="N138" s="83"/>
      <c r="O138" s="83"/>
      <c r="P138" s="83"/>
      <c r="Q138" s="55"/>
      <c r="R138" s="83"/>
      <c r="S138" s="83"/>
      <c r="T138" s="83"/>
      <c r="U138" s="83"/>
      <c r="V138" s="83"/>
      <c r="W138" s="83"/>
      <c r="X138" s="83"/>
    </row>
    <row r="139" spans="1:24">
      <c r="A139" s="107"/>
      <c r="B139" s="83"/>
      <c r="C139" s="82"/>
      <c r="D139" s="82"/>
      <c r="E139" s="82"/>
      <c r="F139" s="82"/>
      <c r="G139" s="82"/>
      <c r="H139" s="82"/>
      <c r="I139" s="82"/>
      <c r="J139" s="82"/>
      <c r="K139" s="82"/>
      <c r="L139" s="83"/>
      <c r="M139" s="83"/>
      <c r="N139" s="83"/>
      <c r="O139" s="83"/>
      <c r="P139" s="83"/>
      <c r="Q139" s="82"/>
      <c r="R139" s="83"/>
      <c r="S139" s="83"/>
      <c r="T139" s="83"/>
      <c r="U139" s="83"/>
      <c r="V139" s="83"/>
      <c r="W139" s="83"/>
      <c r="X139" s="83"/>
    </row>
    <row r="140" spans="1:24">
      <c r="A140" s="107"/>
      <c r="B140" s="108"/>
      <c r="C140" s="82"/>
      <c r="D140" s="82"/>
      <c r="E140" s="82"/>
      <c r="F140" s="82"/>
      <c r="G140" s="82"/>
      <c r="H140" s="82"/>
      <c r="I140" s="82"/>
      <c r="J140" s="82"/>
      <c r="K140" s="82"/>
      <c r="L140" s="83"/>
      <c r="M140" s="83"/>
      <c r="N140" s="83"/>
      <c r="O140" s="83"/>
      <c r="P140" s="83"/>
      <c r="Q140" s="82"/>
      <c r="R140" s="83"/>
      <c r="S140" s="83"/>
      <c r="T140" s="83"/>
      <c r="U140" s="83"/>
      <c r="V140" s="83"/>
      <c r="W140" s="83"/>
      <c r="X140" s="83"/>
    </row>
    <row r="141" spans="1:24">
      <c r="A141" s="107"/>
      <c r="B141" s="108"/>
      <c r="C141" s="82"/>
      <c r="D141" s="82"/>
      <c r="E141" s="82"/>
      <c r="F141" s="82"/>
      <c r="G141" s="82"/>
      <c r="H141" s="82"/>
      <c r="I141" s="82"/>
      <c r="J141" s="82"/>
      <c r="K141" s="82"/>
      <c r="L141" s="83"/>
      <c r="M141" s="83"/>
      <c r="N141" s="83"/>
      <c r="O141" s="83"/>
      <c r="P141" s="83"/>
      <c r="Q141" s="82"/>
      <c r="R141" s="83"/>
      <c r="S141" s="83"/>
      <c r="T141" s="83"/>
      <c r="U141" s="83"/>
      <c r="V141" s="83"/>
      <c r="W141" s="83"/>
      <c r="X141" s="83"/>
    </row>
    <row r="142" spans="1:24">
      <c r="A142" s="107"/>
      <c r="B142" s="108"/>
      <c r="C142" s="82"/>
      <c r="D142" s="82"/>
      <c r="E142" s="82"/>
      <c r="F142" s="82"/>
      <c r="G142" s="82"/>
      <c r="H142" s="82"/>
      <c r="I142" s="82"/>
      <c r="J142" s="82"/>
      <c r="K142" s="82"/>
      <c r="L142" s="83"/>
      <c r="M142" s="83"/>
      <c r="N142" s="83"/>
      <c r="O142" s="83"/>
      <c r="P142" s="83"/>
      <c r="Q142" s="82"/>
      <c r="R142" s="83"/>
      <c r="S142" s="83"/>
      <c r="T142" s="83"/>
      <c r="U142" s="83"/>
      <c r="V142" s="83"/>
      <c r="W142" s="83"/>
      <c r="X142" s="83"/>
    </row>
    <row r="143" spans="1:24">
      <c r="A143" s="107"/>
      <c r="B143" s="108"/>
      <c r="C143" s="82"/>
      <c r="D143" s="82"/>
      <c r="E143" s="82"/>
      <c r="F143" s="82"/>
      <c r="G143" s="82"/>
      <c r="H143" s="82"/>
      <c r="I143" s="82"/>
      <c r="J143" s="82"/>
      <c r="K143" s="82"/>
      <c r="L143" s="83"/>
      <c r="M143" s="83"/>
      <c r="N143" s="83"/>
      <c r="O143" s="83"/>
      <c r="P143" s="83"/>
      <c r="Q143" s="82"/>
      <c r="R143" s="83"/>
      <c r="S143" s="83"/>
      <c r="T143" s="83"/>
      <c r="U143" s="83"/>
      <c r="V143" s="83"/>
      <c r="W143" s="83"/>
      <c r="X143" s="83"/>
    </row>
    <row r="144" spans="1:24">
      <c r="A144" s="107"/>
      <c r="B144" s="108"/>
      <c r="C144" s="82"/>
      <c r="D144" s="82"/>
      <c r="E144" s="82"/>
      <c r="F144" s="82"/>
      <c r="G144" s="82"/>
      <c r="H144" s="82"/>
      <c r="I144" s="82"/>
      <c r="J144" s="82"/>
      <c r="K144" s="82"/>
      <c r="L144" s="83"/>
      <c r="M144" s="83"/>
      <c r="N144" s="83"/>
      <c r="O144" s="83"/>
      <c r="P144" s="83"/>
      <c r="Q144" s="82"/>
      <c r="R144" s="83"/>
      <c r="S144" s="83"/>
      <c r="T144" s="83"/>
      <c r="U144" s="83"/>
      <c r="V144" s="83"/>
      <c r="W144" s="83"/>
      <c r="X144" s="83"/>
    </row>
    <row r="145" spans="1:24">
      <c r="A145" s="107"/>
      <c r="B145" s="83"/>
      <c r="C145" s="54"/>
      <c r="D145" s="54"/>
      <c r="E145" s="54"/>
      <c r="F145" s="54"/>
      <c r="G145" s="54"/>
      <c r="H145" s="54"/>
      <c r="I145" s="54"/>
      <c r="J145" s="54"/>
      <c r="K145" s="54"/>
      <c r="L145" s="83"/>
      <c r="M145" s="83"/>
      <c r="N145" s="83"/>
      <c r="O145" s="83"/>
      <c r="P145" s="83"/>
      <c r="Q145" s="54"/>
      <c r="R145" s="83"/>
      <c r="S145" s="83"/>
      <c r="T145" s="83"/>
      <c r="U145" s="83"/>
      <c r="V145" s="83"/>
      <c r="W145" s="83"/>
      <c r="X145" s="83"/>
    </row>
    <row r="146" spans="1:24">
      <c r="A146" s="107"/>
      <c r="B146" s="83"/>
      <c r="C146" s="82"/>
      <c r="D146" s="82"/>
      <c r="E146" s="82"/>
      <c r="F146" s="82"/>
      <c r="G146" s="82"/>
      <c r="H146" s="82"/>
      <c r="I146" s="82"/>
      <c r="J146" s="82"/>
      <c r="K146" s="82"/>
      <c r="L146" s="83"/>
      <c r="M146" s="83"/>
      <c r="N146" s="83"/>
      <c r="O146" s="83"/>
      <c r="P146" s="83"/>
      <c r="Q146" s="82"/>
      <c r="R146" s="83"/>
      <c r="S146" s="83"/>
      <c r="T146" s="83"/>
      <c r="U146" s="83"/>
      <c r="V146" s="83"/>
      <c r="W146" s="83"/>
      <c r="X146" s="83"/>
    </row>
    <row r="147" spans="1:24">
      <c r="A147" s="107"/>
      <c r="B147" s="109"/>
      <c r="C147" s="54"/>
      <c r="D147" s="54"/>
      <c r="E147" s="54"/>
      <c r="F147" s="54"/>
      <c r="G147" s="54"/>
      <c r="H147" s="54"/>
      <c r="I147" s="54"/>
      <c r="J147" s="54"/>
      <c r="K147" s="54"/>
      <c r="L147" s="83"/>
      <c r="M147" s="83"/>
      <c r="N147" s="83"/>
      <c r="O147" s="83"/>
      <c r="P147" s="83"/>
      <c r="Q147" s="54"/>
      <c r="R147" s="83"/>
      <c r="S147" s="83"/>
      <c r="T147" s="83"/>
      <c r="U147" s="83"/>
      <c r="V147" s="83"/>
      <c r="W147" s="83"/>
      <c r="X147" s="83"/>
    </row>
    <row r="148" spans="1:24">
      <c r="A148" s="107"/>
      <c r="B148" s="109"/>
      <c r="C148" s="83"/>
      <c r="D148" s="83"/>
      <c r="E148" s="83"/>
      <c r="F148" s="83"/>
      <c r="G148" s="83"/>
      <c r="H148" s="83"/>
      <c r="I148" s="83"/>
      <c r="J148" s="83"/>
      <c r="K148" s="83"/>
      <c r="L148" s="83"/>
      <c r="M148" s="83"/>
      <c r="N148" s="83"/>
      <c r="O148" s="83"/>
      <c r="P148" s="83"/>
      <c r="Q148" s="83"/>
      <c r="R148" s="83"/>
      <c r="S148" s="83"/>
      <c r="T148" s="83"/>
      <c r="U148" s="83"/>
      <c r="V148" s="83"/>
      <c r="W148" s="83"/>
      <c r="X148" s="83"/>
    </row>
    <row r="149" spans="1:24">
      <c r="A149" s="107"/>
      <c r="B149" s="109"/>
      <c r="C149" s="83"/>
      <c r="D149" s="83"/>
      <c r="E149" s="83"/>
      <c r="F149" s="83"/>
      <c r="G149" s="83"/>
      <c r="H149" s="83"/>
      <c r="I149" s="83"/>
      <c r="J149" s="83"/>
      <c r="K149" s="83"/>
      <c r="L149" s="83"/>
      <c r="M149" s="83"/>
      <c r="N149" s="83"/>
      <c r="O149" s="83"/>
      <c r="P149" s="83"/>
      <c r="Q149" s="83"/>
      <c r="R149" s="83"/>
      <c r="S149" s="83"/>
      <c r="T149" s="83"/>
      <c r="U149" s="83"/>
      <c r="V149" s="83"/>
      <c r="W149" s="83"/>
      <c r="X149" s="83"/>
    </row>
    <row r="150" spans="1:24">
      <c r="T150" s="83"/>
      <c r="U150" s="83"/>
      <c r="V150" s="83"/>
      <c r="W150" s="83"/>
      <c r="X150" s="83"/>
    </row>
    <row r="151" spans="1:24">
      <c r="T151" s="83"/>
      <c r="U151" s="83"/>
      <c r="V151" s="83"/>
      <c r="W151" s="83"/>
      <c r="X151" s="83"/>
    </row>
    <row r="152" spans="1:24">
      <c r="T152" s="83"/>
      <c r="U152" s="83"/>
      <c r="V152" s="83"/>
      <c r="W152" s="83"/>
      <c r="X152" s="83"/>
    </row>
    <row r="153" spans="1:24">
      <c r="T153" s="83"/>
      <c r="U153" s="83"/>
      <c r="V153" s="83"/>
      <c r="W153" s="83"/>
      <c r="X153" s="83"/>
    </row>
    <row r="154" spans="1:24">
      <c r="T154" s="83"/>
      <c r="U154" s="83"/>
      <c r="V154" s="83"/>
      <c r="W154" s="83"/>
      <c r="X154" s="83"/>
    </row>
    <row r="155" spans="1:24">
      <c r="T155" s="83"/>
      <c r="U155" s="83"/>
      <c r="V155" s="83"/>
      <c r="W155" s="83"/>
      <c r="X155" s="83"/>
    </row>
    <row r="156" spans="1:24">
      <c r="T156" s="83"/>
      <c r="U156" s="83"/>
      <c r="V156" s="83"/>
      <c r="W156" s="83"/>
      <c r="X156" s="83"/>
    </row>
    <row r="157" spans="1:24">
      <c r="T157" s="83"/>
      <c r="U157" s="83"/>
      <c r="V157" s="83"/>
      <c r="W157" s="83"/>
      <c r="X157" s="83"/>
    </row>
    <row r="158" spans="1:24">
      <c r="T158" s="83"/>
      <c r="U158" s="83"/>
      <c r="V158" s="83"/>
      <c r="W158" s="83"/>
      <c r="X158" s="83"/>
    </row>
    <row r="159" spans="1:24">
      <c r="T159" s="83"/>
      <c r="U159" s="83"/>
      <c r="V159" s="83"/>
      <c r="W159" s="83"/>
      <c r="X159" s="83"/>
    </row>
    <row r="160" spans="1:24">
      <c r="T160" s="83"/>
      <c r="U160" s="83"/>
      <c r="V160" s="83"/>
      <c r="W160" s="83"/>
      <c r="X160" s="83"/>
    </row>
    <row r="161" spans="20:24">
      <c r="T161" s="83"/>
      <c r="U161" s="83"/>
      <c r="V161" s="83"/>
      <c r="W161" s="83"/>
      <c r="X161" s="83"/>
    </row>
    <row r="162" spans="20:24">
      <c r="T162" s="83"/>
      <c r="U162" s="83"/>
      <c r="V162" s="83"/>
      <c r="W162" s="83"/>
      <c r="X162" s="83"/>
    </row>
    <row r="163" spans="20:24">
      <c r="T163" s="83"/>
      <c r="U163" s="83"/>
      <c r="V163" s="83"/>
      <c r="W163" s="83"/>
      <c r="X163" s="83"/>
    </row>
    <row r="164" spans="20:24">
      <c r="T164" s="83"/>
      <c r="U164" s="83"/>
      <c r="V164" s="83"/>
      <c r="W164" s="83"/>
      <c r="X164" s="83"/>
    </row>
    <row r="165" spans="20:24">
      <c r="T165" s="83"/>
      <c r="U165" s="83"/>
      <c r="V165" s="83"/>
      <c r="W165" s="83"/>
      <c r="X165" s="83"/>
    </row>
    <row r="166" spans="20:24">
      <c r="T166" s="83"/>
      <c r="U166" s="83"/>
      <c r="V166" s="83"/>
      <c r="W166" s="83"/>
      <c r="X166" s="83"/>
    </row>
    <row r="167" spans="20:24">
      <c r="T167" s="83"/>
      <c r="U167" s="83"/>
      <c r="V167" s="83"/>
      <c r="W167" s="83"/>
      <c r="X167" s="83"/>
    </row>
    <row r="168" spans="20:24">
      <c r="T168" s="83"/>
      <c r="U168" s="83"/>
      <c r="V168" s="83"/>
      <c r="W168" s="83"/>
      <c r="X168" s="83"/>
    </row>
    <row r="169" spans="20:24">
      <c r="T169" s="83"/>
      <c r="U169" s="83"/>
      <c r="V169" s="83"/>
      <c r="W169" s="83"/>
      <c r="X169" s="83"/>
    </row>
    <row r="170" spans="20:24">
      <c r="T170" s="83"/>
      <c r="U170" s="83"/>
      <c r="V170" s="83"/>
      <c r="W170" s="83"/>
      <c r="X170" s="83"/>
    </row>
    <row r="171" spans="20:24">
      <c r="T171" s="83"/>
      <c r="U171" s="83"/>
      <c r="V171" s="83"/>
      <c r="W171" s="83"/>
      <c r="X171" s="83"/>
    </row>
    <row r="172" spans="20:24">
      <c r="T172" s="83"/>
      <c r="U172" s="83"/>
      <c r="V172" s="83"/>
      <c r="W172" s="83"/>
      <c r="X172" s="83"/>
    </row>
    <row r="173" spans="20:24">
      <c r="T173" s="83"/>
      <c r="U173" s="83"/>
      <c r="V173" s="83"/>
      <c r="W173" s="83"/>
      <c r="X173" s="83"/>
    </row>
    <row r="174" spans="20:24">
      <c r="T174" s="83"/>
      <c r="U174" s="83"/>
      <c r="V174" s="83"/>
      <c r="W174" s="83"/>
      <c r="X174" s="83"/>
    </row>
    <row r="175" spans="20:24">
      <c r="T175" s="83"/>
      <c r="U175" s="83"/>
      <c r="V175" s="83"/>
      <c r="W175" s="83"/>
      <c r="X175" s="83"/>
    </row>
    <row r="176" spans="20:24">
      <c r="T176" s="83"/>
      <c r="U176" s="83"/>
      <c r="V176" s="83"/>
      <c r="W176" s="83"/>
      <c r="X176" s="83"/>
    </row>
    <row r="177" spans="20:24">
      <c r="T177" s="83"/>
      <c r="U177" s="83"/>
      <c r="V177" s="83"/>
      <c r="W177" s="83"/>
      <c r="X177" s="83"/>
    </row>
    <row r="178" spans="20:24">
      <c r="T178" s="83"/>
      <c r="U178" s="83"/>
      <c r="V178" s="83"/>
      <c r="W178" s="83"/>
      <c r="X178" s="83"/>
    </row>
    <row r="179" spans="20:24">
      <c r="T179" s="83"/>
      <c r="U179" s="83"/>
      <c r="V179" s="83"/>
      <c r="W179" s="83"/>
      <c r="X179" s="83"/>
    </row>
    <row r="180" spans="20:24">
      <c r="T180" s="83"/>
      <c r="U180" s="83"/>
      <c r="V180" s="83"/>
      <c r="W180" s="83"/>
      <c r="X180" s="83"/>
    </row>
    <row r="181" spans="20:24">
      <c r="T181" s="83"/>
      <c r="U181" s="83"/>
      <c r="V181" s="83"/>
      <c r="W181" s="83"/>
      <c r="X181" s="83"/>
    </row>
    <row r="182" spans="20:24">
      <c r="T182" s="83"/>
      <c r="U182" s="83"/>
      <c r="V182" s="83"/>
      <c r="W182" s="83"/>
      <c r="X182" s="83"/>
    </row>
    <row r="183" spans="20:24">
      <c r="T183" s="83"/>
      <c r="U183" s="83"/>
      <c r="V183" s="83"/>
      <c r="W183" s="83"/>
      <c r="X183" s="83"/>
    </row>
    <row r="184" spans="20:24">
      <c r="T184" s="83"/>
      <c r="U184" s="83"/>
      <c r="V184" s="83"/>
      <c r="W184" s="83"/>
      <c r="X184" s="83"/>
    </row>
  </sheetData>
  <mergeCells count="12">
    <mergeCell ref="T2:AC2"/>
    <mergeCell ref="T85:AC85"/>
    <mergeCell ref="T58:AC58"/>
    <mergeCell ref="T48:AC48"/>
    <mergeCell ref="AF2:AO2"/>
    <mergeCell ref="Z86:AD86"/>
    <mergeCell ref="T86:X86"/>
    <mergeCell ref="U3:W3"/>
    <mergeCell ref="X3:Z3"/>
    <mergeCell ref="AA3:AC3"/>
    <mergeCell ref="T82:W83"/>
    <mergeCell ref="X82:X83"/>
  </mergeCells>
  <conditionalFormatting sqref="I3:N23 I34:O39 I41:N41 I44:N44 I46:N59 I42:O43 I26:N30 I32:N32 I24:O24">
    <cfRule type="cellIs" dxfId="17" priority="5" operator="greaterThan">
      <formula>0</formula>
    </cfRule>
  </conditionalFormatting>
  <conditionalFormatting sqref="C64:C85">
    <cfRule type="cellIs" dxfId="16" priority="4" operator="equal">
      <formula>1</formula>
    </cfRule>
  </conditionalFormatting>
  <conditionalFormatting sqref="C104:C115">
    <cfRule type="cellIs" dxfId="15" priority="2" operator="equal">
      <formula>1</formula>
    </cfRule>
  </conditionalFormatting>
  <conditionalFormatting sqref="D48:F57">
    <cfRule type="cellIs" dxfId="14" priority="1" operator="greaterThan">
      <formula>0</formula>
    </cfRule>
  </conditionalFormatting>
  <pageMargins left="0" right="0" top="0" bottom="0" header="0" footer="0"/>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O183"/>
  <sheetViews>
    <sheetView tabSelected="1" topLeftCell="A58" zoomScale="70" zoomScaleNormal="70" workbookViewId="0">
      <selection activeCell="O113" sqref="O113"/>
    </sheetView>
  </sheetViews>
  <sheetFormatPr baseColWidth="10" defaultColWidth="11" defaultRowHeight="15"/>
  <cols>
    <col min="1" max="1" width="5.625" style="89" customWidth="1"/>
    <col min="2" max="2" width="28.375" style="89" customWidth="1"/>
    <col min="3" max="3" width="44.125" style="89" customWidth="1"/>
    <col min="4" max="7" width="14.625" style="89" customWidth="1"/>
    <col min="8" max="8" width="8.625" style="89" customWidth="1"/>
    <col min="9" max="9" width="13.125" style="89" bestFit="1" customWidth="1"/>
    <col min="10" max="16" width="10.875" style="89" customWidth="1"/>
    <col min="17" max="17" width="5.875" style="89" customWidth="1"/>
    <col min="18" max="19" width="8.125" style="89" customWidth="1"/>
    <col min="20" max="20" width="42.625" style="89" customWidth="1"/>
    <col min="21" max="21" width="12.5" style="89" customWidth="1"/>
    <col min="22" max="22" width="13.625" style="89" customWidth="1"/>
    <col min="23" max="23" width="13.125" style="89" customWidth="1"/>
    <col min="24" max="25" width="10.875" style="89" customWidth="1"/>
    <col min="26" max="26" width="19.875" style="89" customWidth="1"/>
    <col min="27" max="27" width="15.125" style="89" customWidth="1"/>
    <col min="28" max="32" width="10.875" style="89" customWidth="1"/>
    <col min="33" max="33" width="12.125" style="89" customWidth="1"/>
    <col min="34" max="34" width="9.875" style="89" customWidth="1"/>
    <col min="35" max="38" width="8.125" style="89" customWidth="1"/>
    <col min="39" max="40" width="12.125" style="89" customWidth="1"/>
    <col min="41" max="46" width="9.875" style="89" customWidth="1"/>
    <col min="47" max="53" width="10.875" style="89" customWidth="1"/>
    <col min="54" max="54" width="12.125" style="89" customWidth="1"/>
    <col min="55" max="61" width="8.875" style="89" customWidth="1"/>
    <col min="62" max="69" width="11.875" style="89" customWidth="1"/>
    <col min="70" max="77" width="8.875" style="89" customWidth="1"/>
    <col min="78" max="78" width="5.875" style="89" customWidth="1"/>
    <col min="79" max="85" width="8.125" style="89" customWidth="1"/>
    <col min="86" max="93" width="8.875" style="89" customWidth="1"/>
    <col min="94" max="101" width="9.875" style="89" customWidth="1"/>
    <col min="102" max="109" width="11.875" style="89" customWidth="1"/>
    <col min="110" max="125" width="9.875" style="89" customWidth="1"/>
    <col min="126" max="133" width="10.875" style="89" customWidth="1"/>
    <col min="134" max="141" width="9.875" style="89" customWidth="1"/>
    <col min="142" max="148" width="8.875" style="89" customWidth="1"/>
    <col min="149" max="149" width="9.125" style="89" customWidth="1"/>
    <col min="150" max="157" width="9.875" style="89" customWidth="1"/>
    <col min="158" max="165" width="10.875" style="89" customWidth="1"/>
    <col min="166" max="166" width="6.875" style="89" customWidth="1"/>
    <col min="167" max="172" width="8.125" style="89" customWidth="1"/>
    <col min="173" max="173" width="9.125" style="89" customWidth="1"/>
    <col min="174" max="181" width="11.875" style="89" customWidth="1"/>
    <col min="182" max="189" width="10.875" style="89" customWidth="1"/>
    <col min="190" max="197" width="9.875" style="89" customWidth="1"/>
    <col min="198" max="221" width="10.875" style="89" customWidth="1"/>
    <col min="222" max="222" width="12.125" style="89" customWidth="1"/>
    <col min="223" max="229" width="10.875" style="89" customWidth="1"/>
    <col min="230" max="247" width="9.875" style="89" customWidth="1"/>
    <col min="248" max="265" width="11.875" style="89" customWidth="1"/>
    <col min="266" max="274" width="10.875" style="89" customWidth="1"/>
    <col min="275" max="283" width="11.875" style="89" customWidth="1"/>
    <col min="284" max="301" width="10.875" style="89" customWidth="1"/>
    <col min="302" max="328" width="11.875" style="89" customWidth="1"/>
    <col min="329" max="329" width="12.125" style="89" customWidth="1"/>
    <col min="330" max="336" width="11.875" style="89" customWidth="1"/>
    <col min="337" max="416" width="10.875" style="89" customWidth="1"/>
    <col min="417" max="455" width="11.875" style="89" customWidth="1"/>
    <col min="456" max="456" width="11.875" style="89" bestFit="1" customWidth="1"/>
    <col min="457" max="457" width="12.125" style="89" bestFit="1" customWidth="1"/>
    <col min="458" max="16384" width="11" style="89"/>
  </cols>
  <sheetData>
    <row r="1" spans="2:40" ht="18.75">
      <c r="B1" s="90" t="s">
        <v>573</v>
      </c>
      <c r="T1" s="713" t="s">
        <v>627</v>
      </c>
      <c r="U1" s="713"/>
      <c r="V1" s="713"/>
      <c r="W1" s="713"/>
      <c r="X1" s="713"/>
      <c r="Y1" s="713"/>
      <c r="Z1" s="713"/>
      <c r="AA1" s="713"/>
      <c r="AB1" s="713"/>
      <c r="AC1" s="713"/>
      <c r="AD1" s="92"/>
      <c r="AE1" s="92"/>
      <c r="AF1" s="660"/>
      <c r="AG1" s="660"/>
      <c r="AH1" s="660"/>
      <c r="AI1" s="660"/>
      <c r="AJ1" s="660"/>
      <c r="AK1" s="660"/>
      <c r="AL1" s="660"/>
      <c r="AM1" s="660"/>
      <c r="AN1" s="660"/>
    </row>
    <row r="2" spans="2:40" ht="30">
      <c r="B2" s="224" t="s">
        <v>391</v>
      </c>
      <c r="C2" s="224" t="s">
        <v>389</v>
      </c>
      <c r="D2" s="220" t="s">
        <v>383</v>
      </c>
      <c r="E2" s="220" t="s">
        <v>384</v>
      </c>
      <c r="F2" s="221" t="s">
        <v>956</v>
      </c>
      <c r="G2" s="221" t="s">
        <v>560</v>
      </c>
      <c r="H2" s="149"/>
      <c r="I2" s="149" t="s">
        <v>386</v>
      </c>
      <c r="J2" s="149" t="s">
        <v>385</v>
      </c>
      <c r="K2" s="149" t="s">
        <v>219</v>
      </c>
      <c r="L2" s="149" t="s">
        <v>11</v>
      </c>
      <c r="M2" s="149" t="s">
        <v>218</v>
      </c>
      <c r="N2" s="149" t="s">
        <v>171</v>
      </c>
      <c r="O2" s="149" t="s">
        <v>187</v>
      </c>
      <c r="P2" s="224" t="s">
        <v>7</v>
      </c>
      <c r="T2" s="138"/>
      <c r="U2" s="707" t="s">
        <v>420</v>
      </c>
      <c r="V2" s="708"/>
      <c r="W2" s="708"/>
      <c r="X2" s="709" t="s">
        <v>536</v>
      </c>
      <c r="Y2" s="710"/>
      <c r="Z2" s="710"/>
      <c r="AA2" s="708" t="s">
        <v>7</v>
      </c>
      <c r="AB2" s="708"/>
      <c r="AC2" s="708"/>
      <c r="AD2" s="92"/>
      <c r="AE2" s="92"/>
      <c r="AF2" s="92"/>
      <c r="AG2" s="92"/>
      <c r="AH2" s="92"/>
      <c r="AI2" s="92"/>
      <c r="AJ2" s="92"/>
      <c r="AK2" s="92"/>
      <c r="AL2" s="92"/>
      <c r="AM2" s="92"/>
      <c r="AN2" s="92"/>
    </row>
    <row r="3" spans="2:40" ht="15.75">
      <c r="B3" s="57"/>
      <c r="C3" s="722" t="s">
        <v>540</v>
      </c>
      <c r="D3" s="94">
        <f>SUMIFS('AggrStep1-energy'!D$55:D$80,'AggrStep1-energy'!$B$55:$B$80,'Step1-V1 (2)'!$C3)</f>
        <v>121.58713299999999</v>
      </c>
      <c r="E3" s="94">
        <f>SUMIFS('AggrStep1-energy'!E$55:E$80,'AggrStep1-energy'!$B$55:$B$80,'Step1-V1 (2)'!$C3)</f>
        <v>0</v>
      </c>
      <c r="F3" s="94">
        <f>SUMIFS('AggrStep1-energy'!F$55:F$80,'AggrStep1-energy'!$B$55:$B$80,'Step1-V1 (2)'!$C3)+L3</f>
        <v>37.027999999999999</v>
      </c>
      <c r="G3" s="94">
        <f>SUM(D3:F3)</f>
        <v>158.61513299999999</v>
      </c>
      <c r="I3" s="94">
        <f>SUMIFS('AggrStep1-energy'!I$55:I$80,'AggrStep1-energy'!$B$55:$B$80,'Step1-V1 (2)'!$C3)</f>
        <v>0</v>
      </c>
      <c r="J3" s="94">
        <f>SUMIFS('AggrStep1-energy'!J$55:J$80,'AggrStep1-energy'!$B$55:$B$80,'Step1-V1 (2)'!$C3)</f>
        <v>0</v>
      </c>
      <c r="K3" s="94">
        <f>SUMIFS('AggrStep1-energy'!K$55:K$80,'AggrStep1-energy'!$B$55:$B$80,'Step1-V1 (2)'!$C3)</f>
        <v>0</v>
      </c>
      <c r="L3" s="94">
        <f>SUMIFS('AggrStep1-energy'!L$55:L$80,'AggrStep1-energy'!$B$55:$B$80,'Step1-V1 (2)'!$C3)</f>
        <v>0</v>
      </c>
      <c r="M3" s="94">
        <f>SUMIFS('AggrStep1-energy'!M$55:M$80,'AggrStep1-energy'!$B$55:$B$80,'Step1-V1 (2)'!$C3)</f>
        <v>0</v>
      </c>
      <c r="N3" s="94">
        <f>SUMIFS('AggrStep1-energy'!N$55:N$80,'AggrStep1-energy'!$B$55:$B$80,'Step1-V1 (2)'!$C3)</f>
        <v>0</v>
      </c>
      <c r="O3" s="94">
        <f>SUMIFS('AggrStep1-energy'!O$55:O$80,'AggrStep1-energy'!$B$55:$B$80,'Step1-V1 (2)'!$C3)</f>
        <v>0</v>
      </c>
      <c r="T3" s="67"/>
      <c r="U3" s="53" t="s">
        <v>419</v>
      </c>
      <c r="V3" s="53" t="s">
        <v>384</v>
      </c>
      <c r="W3" s="53" t="s">
        <v>172</v>
      </c>
      <c r="X3" s="53" t="s">
        <v>419</v>
      </c>
      <c r="Y3" s="53" t="s">
        <v>384</v>
      </c>
      <c r="Z3" s="53" t="s">
        <v>172</v>
      </c>
      <c r="AA3" s="53" t="s">
        <v>419</v>
      </c>
      <c r="AB3" s="53" t="s">
        <v>384</v>
      </c>
      <c r="AC3" s="53" t="s">
        <v>172</v>
      </c>
      <c r="AD3" s="98" t="s">
        <v>7</v>
      </c>
      <c r="AF3" s="53"/>
      <c r="AG3" s="53"/>
      <c r="AH3" s="53"/>
      <c r="AJ3" s="92"/>
      <c r="AK3" s="92"/>
      <c r="AL3" s="92"/>
      <c r="AM3" s="92"/>
      <c r="AN3" s="92"/>
    </row>
    <row r="4" spans="2:40" ht="15.75">
      <c r="C4" s="101" t="s">
        <v>199</v>
      </c>
      <c r="D4" s="94">
        <f>SUMIFS('AggrStep1-energy'!D$55:D$80,'AggrStep1-energy'!$B$55:$B$80,'Step1-V1 (2)'!$C4)</f>
        <v>12.032577</v>
      </c>
      <c r="E4" s="94">
        <f>SUMIFS('AggrStep1-energy'!E$55:E$80,'AggrStep1-energy'!$B$55:$B$80,'Step1-V1 (2)'!$C4)</f>
        <v>16.489000000000001</v>
      </c>
      <c r="F4" s="94">
        <f>SUMIFS('AggrStep1-energy'!F$55:F$80,'AggrStep1-energy'!$B$55:$B$80,'Step1-V1 (2)'!$C4)+L4</f>
        <v>11.132000000000001</v>
      </c>
      <c r="G4" s="94">
        <f t="shared" ref="G4:G9" si="0">SUM(D4:F4)</f>
        <v>39.653576999999999</v>
      </c>
      <c r="I4" s="94">
        <f>SUMIFS('AggrStep1-energy'!I$55:I$80,'AggrStep1-energy'!$B$55:$B$80,'Step1-V1 (2)'!$C4)</f>
        <v>59.526828000000002</v>
      </c>
      <c r="J4" s="94">
        <f>SUMIFS('AggrStep1-energy'!J$55:J$80,'AggrStep1-energy'!$B$55:$B$80,'Step1-V1 (2)'!$C4)</f>
        <v>0</v>
      </c>
      <c r="K4" s="94">
        <f>SUMIFS('AggrStep1-energy'!K$55:K$80,'AggrStep1-energy'!$B$55:$B$80,'Step1-V1 (2)'!$C4)</f>
        <v>0</v>
      </c>
      <c r="L4" s="94">
        <f>SUMIFS('AggrStep1-energy'!L$55:L$80,'AggrStep1-energy'!$B$55:$B$80,'Step1-V1 (2)'!$C4)</f>
        <v>0</v>
      </c>
      <c r="M4" s="94">
        <f>SUMIFS('AggrStep1-energy'!M$55:M$80,'AggrStep1-energy'!$B$55:$B$80,'Step1-V1 (2)'!$C4)</f>
        <v>0</v>
      </c>
      <c r="N4" s="94">
        <f>SUMIFS('AggrStep1-energy'!N$55:N$80,'AggrStep1-energy'!$B$55:$B$80,'Step1-V1 (2)'!$C4)</f>
        <v>0</v>
      </c>
      <c r="O4" s="94">
        <f>SUMIFS('AggrStep1-energy'!O$55:O$80,'AggrStep1-energy'!$B$55:$B$80,'Step1-V1 (2)'!$C4)</f>
        <v>0</v>
      </c>
      <c r="T4" s="66" t="s">
        <v>197</v>
      </c>
      <c r="U4" s="139">
        <f t="array" ref="U4:W25">TRANSPOSE([2]Step8!$AM$25:$BH$27)</f>
        <v>16281.629000000003</v>
      </c>
      <c r="V4" s="139">
        <v>5.9706494829678478</v>
      </c>
      <c r="W4" s="139">
        <v>2860.46</v>
      </c>
      <c r="X4" s="139">
        <f t="array" ref="X4:Z25">TRANSPOSE([2]Step8!$Q$70:$AL$72)</f>
        <v>59.310999999999986</v>
      </c>
      <c r="Y4" s="139">
        <v>3.7266061988958232</v>
      </c>
      <c r="Z4" s="139">
        <v>6.6579999999999977</v>
      </c>
      <c r="AA4" s="139">
        <f t="shared" ref="AA4:AC26" si="1">U4+X4</f>
        <v>16340.940000000002</v>
      </c>
      <c r="AB4" s="143">
        <f t="shared" si="1"/>
        <v>9.6972556818636715</v>
      </c>
      <c r="AC4" s="139">
        <f t="shared" si="1"/>
        <v>2867.1179999999999</v>
      </c>
      <c r="AD4" s="144">
        <f>SUM(AA4:AC4)</f>
        <v>19217.755255681866</v>
      </c>
      <c r="AF4" s="145"/>
      <c r="AG4" s="145"/>
      <c r="AH4" s="145"/>
      <c r="AJ4" s="92"/>
      <c r="AK4" s="92"/>
      <c r="AL4" s="92"/>
      <c r="AM4" s="92"/>
      <c r="AN4" s="92"/>
    </row>
    <row r="5" spans="2:40" ht="15.75">
      <c r="C5" s="101" t="s">
        <v>200</v>
      </c>
      <c r="D5" s="94">
        <f>SUMIFS('AggrStep1-energy'!D$55:D$80,'AggrStep1-energy'!$B$55:$B$80,'Step1-V1 (2)'!$C5)</f>
        <v>6.8570200000000003</v>
      </c>
      <c r="E5" s="94">
        <f>SUMIFS('AggrStep1-energy'!E$55:E$80,'AggrStep1-energy'!$B$55:$B$80,'Step1-V1 (2)'!$C5)</f>
        <v>32.664000000000001</v>
      </c>
      <c r="F5" s="94">
        <f>SUMIFS('AggrStep1-energy'!F$55:F$80,'AggrStep1-energy'!$B$55:$B$80,'Step1-V1 (2)'!$C5)+L5</f>
        <v>10.295999999999999</v>
      </c>
      <c r="G5" s="94">
        <f t="shared" si="0"/>
        <v>49.817019999999999</v>
      </c>
      <c r="I5" s="94">
        <f>SUMIFS('AggrStep1-energy'!I$55:I$80,'AggrStep1-energy'!$B$55:$B$80,'Step1-V1 (2)'!$C5)</f>
        <v>0</v>
      </c>
      <c r="J5" s="94">
        <f>SUMIFS('AggrStep1-energy'!J$55:J$80,'AggrStep1-energy'!$B$55:$B$80,'Step1-V1 (2)'!$C5)</f>
        <v>0</v>
      </c>
      <c r="K5" s="94">
        <f>SUMIFS('AggrStep1-energy'!K$55:K$80,'AggrStep1-energy'!$B$55:$B$80,'Step1-V1 (2)'!$C5)</f>
        <v>0</v>
      </c>
      <c r="L5" s="94">
        <f>SUMIFS('AggrStep1-energy'!L$55:L$80,'AggrStep1-energy'!$B$55:$B$80,'Step1-V1 (2)'!$C5)</f>
        <v>0</v>
      </c>
      <c r="M5" s="94">
        <f>SUMIFS('AggrStep1-energy'!M$55:M$80,'AggrStep1-energy'!$B$55:$B$80,'Step1-V1 (2)'!$C5)</f>
        <v>0</v>
      </c>
      <c r="N5" s="94">
        <f>SUMIFS('AggrStep1-energy'!N$55:N$80,'AggrStep1-energy'!$B$55:$B$80,'Step1-V1 (2)'!$C5)</f>
        <v>0</v>
      </c>
      <c r="O5" s="94">
        <f>SUMIFS('AggrStep1-energy'!O$55:O$80,'AggrStep1-energy'!$B$55:$B$80,'Step1-V1 (2)'!$C5)</f>
        <v>0</v>
      </c>
      <c r="T5" s="66" t="s">
        <v>198</v>
      </c>
      <c r="U5" s="139">
        <v>516.78899999999999</v>
      </c>
      <c r="V5" s="139">
        <v>0</v>
      </c>
      <c r="W5" s="139">
        <v>141.48400000000001</v>
      </c>
      <c r="X5" s="139">
        <v>0.60299999999999998</v>
      </c>
      <c r="Y5" s="139">
        <v>0</v>
      </c>
      <c r="Z5" s="139">
        <v>0.32900000000000001</v>
      </c>
      <c r="AA5" s="139">
        <f t="shared" si="1"/>
        <v>517.39199999999994</v>
      </c>
      <c r="AB5" s="139">
        <f t="shared" si="1"/>
        <v>0</v>
      </c>
      <c r="AC5" s="139">
        <f t="shared" si="1"/>
        <v>141.81300000000002</v>
      </c>
      <c r="AD5" s="144">
        <f t="shared" ref="AD5:AD26" si="2">SUM(AA5:AC5)</f>
        <v>659.20499999999993</v>
      </c>
      <c r="AF5" s="145"/>
      <c r="AG5" s="145"/>
      <c r="AH5" s="145"/>
      <c r="AJ5" s="92"/>
      <c r="AK5" s="92"/>
      <c r="AL5" s="92"/>
      <c r="AM5" s="92"/>
      <c r="AN5" s="92"/>
    </row>
    <row r="6" spans="2:40" ht="15.75">
      <c r="C6" s="101" t="s">
        <v>201</v>
      </c>
      <c r="D6" s="94">
        <f>SUMIFS('AggrStep1-energy'!D$55:D$80,'AggrStep1-energy'!$B$55:$B$80,'Step1-V1 (2)'!$C6)</f>
        <v>10.844181000000001</v>
      </c>
      <c r="E6" s="94">
        <f>SUMIFS('AggrStep1-energy'!E$55:E$80,'AggrStep1-energy'!$B$55:$B$80,'Step1-V1 (2)'!$C6)</f>
        <v>177.06700000000001</v>
      </c>
      <c r="F6" s="94">
        <f>SUMIFS('AggrStep1-energy'!F$55:F$80,'AggrStep1-energy'!$B$55:$B$80,'Step1-V1 (2)'!$C6)+L6</f>
        <v>22.242000000000001</v>
      </c>
      <c r="G6" s="94">
        <f t="shared" si="0"/>
        <v>210.15318099999999</v>
      </c>
      <c r="I6" s="94">
        <f>SUMIFS('AggrStep1-energy'!I$55:I$80,'AggrStep1-energy'!$B$55:$B$80,'Step1-V1 (2)'!$C6)</f>
        <v>0</v>
      </c>
      <c r="J6" s="94">
        <f>SUMIFS('AggrStep1-energy'!J$55:J$80,'AggrStep1-energy'!$B$55:$B$80,'Step1-V1 (2)'!$C6)</f>
        <v>0</v>
      </c>
      <c r="K6" s="94">
        <f>SUMIFS('AggrStep1-energy'!K$55:K$80,'AggrStep1-energy'!$B$55:$B$80,'Step1-V1 (2)'!$C6)</f>
        <v>0</v>
      </c>
      <c r="L6" s="94">
        <f>SUMIFS('AggrStep1-energy'!L$55:L$80,'AggrStep1-energy'!$B$55:$B$80,'Step1-V1 (2)'!$C6)</f>
        <v>0</v>
      </c>
      <c r="M6" s="94">
        <f>SUMIFS('AggrStep1-energy'!M$55:M$80,'AggrStep1-energy'!$B$55:$B$80,'Step1-V1 (2)'!$C6)</f>
        <v>0</v>
      </c>
      <c r="N6" s="94">
        <f>SUMIFS('AggrStep1-energy'!N$55:N$80,'AggrStep1-energy'!$B$55:$B$80,'Step1-V1 (2)'!$C6)</f>
        <v>0</v>
      </c>
      <c r="O6" s="94">
        <f>SUMIFS('AggrStep1-energy'!O$55:O$80,'AggrStep1-energy'!$B$55:$B$80,'Step1-V1 (2)'!$C6)</f>
        <v>0</v>
      </c>
      <c r="T6" s="66" t="s">
        <v>199</v>
      </c>
      <c r="U6" s="139">
        <v>12731.066999999999</v>
      </c>
      <c r="V6" s="139">
        <v>8031.4235318540923</v>
      </c>
      <c r="W6" s="139">
        <v>26809.036</v>
      </c>
      <c r="X6" s="139">
        <v>749.39499999999998</v>
      </c>
      <c r="Y6" s="139">
        <v>8943.7967617095019</v>
      </c>
      <c r="Z6" s="139">
        <v>54.044000000000004</v>
      </c>
      <c r="AA6" s="139">
        <f t="shared" si="1"/>
        <v>13480.462</v>
      </c>
      <c r="AB6" s="139">
        <f t="shared" si="1"/>
        <v>16975.220293563594</v>
      </c>
      <c r="AC6" s="139">
        <f t="shared" si="1"/>
        <v>26863.08</v>
      </c>
      <c r="AD6" s="144">
        <f t="shared" si="2"/>
        <v>57318.762293563595</v>
      </c>
      <c r="AF6" s="145"/>
      <c r="AG6" s="145"/>
      <c r="AH6" s="145"/>
      <c r="AJ6" s="92"/>
      <c r="AK6" s="92"/>
      <c r="AL6" s="92"/>
      <c r="AM6" s="92"/>
      <c r="AN6" s="92"/>
    </row>
    <row r="7" spans="2:40" ht="15.75">
      <c r="C7" s="101" t="s">
        <v>202</v>
      </c>
      <c r="D7" s="94">
        <f>SUMIFS('AggrStep1-energy'!D$55:D$80,'AggrStep1-energy'!$B$55:$B$80,'Step1-V1 (2)'!$C7)</f>
        <v>108.61128500000001</v>
      </c>
      <c r="E7" s="94">
        <f>SUMIFS('AggrStep1-energy'!E$55:E$80,'AggrStep1-energy'!$B$55:$B$80,'Step1-V1 (2)'!$C7)</f>
        <v>4.4249999999999998</v>
      </c>
      <c r="F7" s="94">
        <f>SUMIFS('AggrStep1-energy'!F$55:F$80,'AggrStep1-energy'!$B$55:$B$80,'Step1-V1 (2)'!$C7)+L7</f>
        <v>36.133000000000003</v>
      </c>
      <c r="G7" s="94">
        <f t="shared" si="0"/>
        <v>149.169285</v>
      </c>
      <c r="I7" s="94">
        <f>SUMIFS('AggrStep1-energy'!I$55:I$80,'AggrStep1-energy'!$B$55:$B$80,'Step1-V1 (2)'!$C7)</f>
        <v>0</v>
      </c>
      <c r="J7" s="94">
        <f>SUMIFS('AggrStep1-energy'!J$55:J$80,'AggrStep1-energy'!$B$55:$B$80,'Step1-V1 (2)'!$C7)</f>
        <v>0</v>
      </c>
      <c r="K7" s="94">
        <f>SUMIFS('AggrStep1-energy'!K$55:K$80,'AggrStep1-energy'!$B$55:$B$80,'Step1-V1 (2)'!$C7)</f>
        <v>0</v>
      </c>
      <c r="L7" s="94">
        <f>SUMIFS('AggrStep1-energy'!L$55:L$80,'AggrStep1-energy'!$B$55:$B$80,'Step1-V1 (2)'!$C7)</f>
        <v>0</v>
      </c>
      <c r="M7" s="94">
        <f>SUMIFS('AggrStep1-energy'!M$55:M$80,'AggrStep1-energy'!$B$55:$B$80,'Step1-V1 (2)'!$C7)</f>
        <v>0</v>
      </c>
      <c r="N7" s="94">
        <f>SUMIFS('AggrStep1-energy'!N$55:N$80,'AggrStep1-energy'!$B$55:$B$80,'Step1-V1 (2)'!$C7)</f>
        <v>0</v>
      </c>
      <c r="O7" s="94">
        <f>SUMIFS('AggrStep1-energy'!O$55:O$80,'AggrStep1-energy'!$B$55:$B$80,'Step1-V1 (2)'!$C7)</f>
        <v>0</v>
      </c>
      <c r="T7" s="66" t="s">
        <v>200</v>
      </c>
      <c r="U7" s="139">
        <v>2306.7730000000001</v>
      </c>
      <c r="V7" s="139">
        <v>2589.0442925679417</v>
      </c>
      <c r="W7" s="139">
        <v>5691.4509999999991</v>
      </c>
      <c r="X7" s="139">
        <v>223.72200000000001</v>
      </c>
      <c r="Y7" s="139">
        <v>1613.8495814901419</v>
      </c>
      <c r="Z7" s="139">
        <v>88.415000000000006</v>
      </c>
      <c r="AA7" s="139">
        <f t="shared" si="1"/>
        <v>2530.4950000000003</v>
      </c>
      <c r="AB7" s="139">
        <f t="shared" si="1"/>
        <v>4202.8938740580834</v>
      </c>
      <c r="AC7" s="139">
        <f t="shared" si="1"/>
        <v>5779.8659999999991</v>
      </c>
      <c r="AD7" s="144">
        <f t="shared" si="2"/>
        <v>12513.254874058082</v>
      </c>
      <c r="AF7" s="145"/>
      <c r="AG7" s="145"/>
      <c r="AH7" s="145"/>
      <c r="AJ7" s="92"/>
      <c r="AK7" s="92"/>
      <c r="AL7" s="92"/>
      <c r="AM7" s="92"/>
      <c r="AN7" s="92"/>
    </row>
    <row r="8" spans="2:40" ht="15.75">
      <c r="C8" s="101" t="s">
        <v>203</v>
      </c>
      <c r="D8" s="94">
        <f>SUMIFS('AggrStep1-energy'!D$55:D$80,'AggrStep1-energy'!$B$55:$B$80,'Step1-V1 (2)'!$C8)</f>
        <v>71.210695000000001</v>
      </c>
      <c r="E8" s="94">
        <f>SUMIFS('AggrStep1-energy'!E$55:E$80,'AggrStep1-energy'!$B$55:$B$80,'Step1-V1 (2)'!$C8)</f>
        <v>115.285</v>
      </c>
      <c r="F8" s="94">
        <f>SUMIFS('AggrStep1-energy'!F$55:F$80,'AggrStep1-energy'!$B$55:$B$80,'Step1-V1 (2)'!$C8)+L8</f>
        <v>21.582000000000001</v>
      </c>
      <c r="G8" s="94">
        <f t="shared" si="0"/>
        <v>208.07769500000001</v>
      </c>
      <c r="I8" s="94">
        <f>SUMIFS('AggrStep1-energy'!I$55:I$80,'AggrStep1-energy'!$B$55:$B$80,'Step1-V1 (2)'!$C8)</f>
        <v>0</v>
      </c>
      <c r="J8" s="94">
        <f>SUMIFS('AggrStep1-energy'!J$55:J$80,'AggrStep1-energy'!$B$55:$B$80,'Step1-V1 (2)'!$C8)</f>
        <v>0</v>
      </c>
      <c r="K8" s="94">
        <f>SUMIFS('AggrStep1-energy'!K$55:K$80,'AggrStep1-energy'!$B$55:$B$80,'Step1-V1 (2)'!$C8)</f>
        <v>0</v>
      </c>
      <c r="L8" s="94">
        <f>SUMIFS('AggrStep1-energy'!L$55:L$80,'AggrStep1-energy'!$B$55:$B$80,'Step1-V1 (2)'!$C8)</f>
        <v>0</v>
      </c>
      <c r="M8" s="94">
        <f>SUMIFS('AggrStep1-energy'!M$55:M$80,'AggrStep1-energy'!$B$55:$B$80,'Step1-V1 (2)'!$C8)</f>
        <v>0</v>
      </c>
      <c r="N8" s="94">
        <f>SUMIFS('AggrStep1-energy'!N$55:N$80,'AggrStep1-energy'!$B$55:$B$80,'Step1-V1 (2)'!$C8)</f>
        <v>0</v>
      </c>
      <c r="O8" s="94">
        <f>SUMIFS('AggrStep1-energy'!O$55:O$80,'AggrStep1-energy'!$B$55:$B$80,'Step1-V1 (2)'!$C8)</f>
        <v>0</v>
      </c>
      <c r="T8" s="66" t="s">
        <v>201</v>
      </c>
      <c r="U8" s="139">
        <v>39988.79</v>
      </c>
      <c r="V8" s="139">
        <v>15021.208104034034</v>
      </c>
      <c r="W8" s="139">
        <v>7047.6846964529095</v>
      </c>
      <c r="X8" s="139">
        <v>952.64800000000002</v>
      </c>
      <c r="Y8" s="139">
        <v>28199.995532843135</v>
      </c>
      <c r="Z8" s="139">
        <v>16.126166414771056</v>
      </c>
      <c r="AA8" s="139">
        <f t="shared" si="1"/>
        <v>40941.438000000002</v>
      </c>
      <c r="AB8" s="139">
        <f t="shared" si="1"/>
        <v>43221.203636877166</v>
      </c>
      <c r="AC8" s="139">
        <f t="shared" si="1"/>
        <v>7063.810862867681</v>
      </c>
      <c r="AD8" s="144">
        <f t="shared" si="2"/>
        <v>91226.452499744861</v>
      </c>
      <c r="AF8" s="145"/>
      <c r="AG8" s="145"/>
      <c r="AH8" s="145"/>
      <c r="AJ8" s="92"/>
      <c r="AK8" s="92"/>
      <c r="AL8" s="92"/>
      <c r="AM8" s="92"/>
      <c r="AN8" s="92"/>
    </row>
    <row r="9" spans="2:40" ht="15.75">
      <c r="C9" s="101" t="s">
        <v>206</v>
      </c>
      <c r="D9" s="94">
        <f>SUMIFS('AggrStep1-energy'!D$55:D$80,'AggrStep1-energy'!$B$55:$B$80,'Step1-V1 (2)'!$C9)</f>
        <v>10.947546000000001</v>
      </c>
      <c r="E9" s="94">
        <f>SUMIFS('AggrStep1-energy'!E$55:E$80,'AggrStep1-energy'!$B$55:$B$80,'Step1-V1 (2)'!$C9)</f>
        <v>0</v>
      </c>
      <c r="F9" s="94">
        <f>SUMIFS('AggrStep1-energy'!F$55:F$80,'AggrStep1-energy'!$B$55:$B$80,'Step1-V1 (2)'!$C9)+L9</f>
        <v>1.7729999999999999</v>
      </c>
      <c r="G9" s="94">
        <f t="shared" si="0"/>
        <v>12.720546000000001</v>
      </c>
      <c r="I9" s="94">
        <f>SUMIFS('AggrStep1-energy'!I$55:I$80,'AggrStep1-energy'!$B$55:$B$80,'Step1-V1 (2)'!$C9)</f>
        <v>0</v>
      </c>
      <c r="J9" s="94">
        <f>SUMIFS('AggrStep1-energy'!J$55:J$80,'AggrStep1-energy'!$B$55:$B$80,'Step1-V1 (2)'!$C9)</f>
        <v>0</v>
      </c>
      <c r="K9" s="94">
        <f>SUMIFS('AggrStep1-energy'!K$55:K$80,'AggrStep1-energy'!$B$55:$B$80,'Step1-V1 (2)'!$C9)</f>
        <v>0</v>
      </c>
      <c r="L9" s="94">
        <f>SUMIFS('AggrStep1-energy'!L$55:L$80,'AggrStep1-energy'!$B$55:$B$80,'Step1-V1 (2)'!$C9)</f>
        <v>0</v>
      </c>
      <c r="M9" s="94">
        <f>SUMIFS('AggrStep1-energy'!M$55:M$80,'AggrStep1-energy'!$B$55:$B$80,'Step1-V1 (2)'!$C9)</f>
        <v>0</v>
      </c>
      <c r="N9" s="94">
        <f>SUMIFS('AggrStep1-energy'!N$55:N$80,'AggrStep1-energy'!$B$55:$B$80,'Step1-V1 (2)'!$C9)</f>
        <v>0</v>
      </c>
      <c r="O9" s="94">
        <f>SUMIFS('AggrStep1-energy'!O$55:O$80,'AggrStep1-energy'!$B$55:$B$80,'Step1-V1 (2)'!$C9)</f>
        <v>0</v>
      </c>
      <c r="T9" s="66" t="s">
        <v>202</v>
      </c>
      <c r="U9" s="139">
        <v>1486.569</v>
      </c>
      <c r="V9" s="139">
        <v>36.139726226529376</v>
      </c>
      <c r="W9" s="139">
        <v>11459.716</v>
      </c>
      <c r="X9" s="139">
        <v>2189.8240000000001</v>
      </c>
      <c r="Y9" s="139">
        <v>51.841343832020996</v>
      </c>
      <c r="Z9" s="139">
        <v>25.635000000000002</v>
      </c>
      <c r="AA9" s="139">
        <f t="shared" si="1"/>
        <v>3676.393</v>
      </c>
      <c r="AB9" s="139">
        <f t="shared" si="1"/>
        <v>87.981070058550372</v>
      </c>
      <c r="AC9" s="139">
        <f t="shared" si="1"/>
        <v>11485.351000000001</v>
      </c>
      <c r="AD9" s="144">
        <f t="shared" si="2"/>
        <v>15249.72507005855</v>
      </c>
      <c r="AF9" s="145"/>
      <c r="AG9" s="145"/>
      <c r="AH9" s="145"/>
      <c r="AJ9" s="92"/>
      <c r="AK9" s="92"/>
      <c r="AL9" s="92"/>
      <c r="AM9" s="92"/>
      <c r="AN9" s="92"/>
    </row>
    <row r="10" spans="2:40" ht="15.75">
      <c r="B10" s="721" t="s">
        <v>387</v>
      </c>
      <c r="C10" s="101" t="s">
        <v>204</v>
      </c>
      <c r="D10" s="729">
        <f>SUMIFS('AggrStep1-energy'!D$55:D$80,'AggrStep1-energy'!$B$55:$B$80,$B$10)</f>
        <v>190.54729899999995</v>
      </c>
      <c r="E10" s="729">
        <f>SUMIFS('AggrStep1-energy'!E$55:E$80,'AggrStep1-energy'!$B$55:$B$80,$B$10)</f>
        <v>247.25300000000001</v>
      </c>
      <c r="F10" s="729">
        <f>SUMIFS('AggrStep1-energy'!F$55:F$80,'AggrStep1-energy'!$B$55:$B$80,$B$10)+L10</f>
        <v>427.82600000000002</v>
      </c>
      <c r="G10" s="729">
        <f>SUM(D10:F11)</f>
        <v>865.62629900000002</v>
      </c>
      <c r="H10" s="719"/>
      <c r="I10" s="729">
        <f>SUMIFS('AggrStep1-energy'!I$55:I$80,'AggrStep1-energy'!$B$55:$B$80,$B$10)</f>
        <v>4.2556149999999988</v>
      </c>
      <c r="J10" s="729">
        <f>SUMIFS('AggrStep1-energy'!J$55:J$80,'AggrStep1-energy'!$B$55:$B$80,$B$10)</f>
        <v>0</v>
      </c>
      <c r="K10" s="729">
        <f>SUMIFS('AggrStep1-energy'!K$55:K$80,'AggrStep1-energy'!$B$55:$B$80,$B$10)</f>
        <v>0</v>
      </c>
      <c r="L10" s="729">
        <f>SUMIFS('AggrStep1-energy'!L$55:L$80,'AggrStep1-energy'!$B$55:$B$80,$B$10)</f>
        <v>0.38100000000000001</v>
      </c>
      <c r="M10" s="729">
        <f>SUMIFS('AggrStep1-energy'!M$55:M$80,'AggrStep1-energy'!$B$55:$B$80,$B$10)</f>
        <v>0</v>
      </c>
      <c r="N10" s="729">
        <f>SUMIFS('AggrStep1-energy'!N$55:N$80,'AggrStep1-energy'!$B$55:$B$80,$B$10)</f>
        <v>0</v>
      </c>
      <c r="O10" s="729">
        <f>SUMIFS('AggrStep1-energy'!O$55:O$80,'AggrStep1-energy'!$B$55:$B$80,$B$10)</f>
        <v>0</v>
      </c>
      <c r="P10" s="719"/>
      <c r="T10" s="66" t="s">
        <v>203</v>
      </c>
      <c r="U10" s="139">
        <v>2309.3200000000002</v>
      </c>
      <c r="V10" s="139">
        <v>2733.3088366185839</v>
      </c>
      <c r="W10" s="139">
        <v>6369.0559999999996</v>
      </c>
      <c r="X10" s="139">
        <v>4763.8670000000002</v>
      </c>
      <c r="Y10" s="139">
        <v>254.02585417232382</v>
      </c>
      <c r="Z10" s="139">
        <v>54.582999999999998</v>
      </c>
      <c r="AA10" s="139">
        <f t="shared" si="1"/>
        <v>7073.1869999999999</v>
      </c>
      <c r="AB10" s="139">
        <f t="shared" si="1"/>
        <v>2987.3346907909076</v>
      </c>
      <c r="AC10" s="139">
        <f t="shared" si="1"/>
        <v>6423.6389999999992</v>
      </c>
      <c r="AD10" s="144">
        <f t="shared" si="2"/>
        <v>16484.160690790908</v>
      </c>
      <c r="AF10" s="145"/>
      <c r="AG10" s="145"/>
      <c r="AH10" s="145"/>
      <c r="AJ10" s="92"/>
      <c r="AK10" s="92"/>
      <c r="AL10" s="92"/>
      <c r="AM10" s="92"/>
      <c r="AN10" s="92"/>
    </row>
    <row r="11" spans="2:40" ht="15.75">
      <c r="B11" s="725"/>
      <c r="C11" s="101" t="s">
        <v>207</v>
      </c>
      <c r="D11" s="729"/>
      <c r="E11" s="729"/>
      <c r="F11" s="729"/>
      <c r="G11" s="729"/>
      <c r="H11" s="719"/>
      <c r="I11" s="729"/>
      <c r="J11" s="729"/>
      <c r="K11" s="729"/>
      <c r="L11" s="729"/>
      <c r="M11" s="729"/>
      <c r="N11" s="729"/>
      <c r="O11" s="729"/>
      <c r="P11" s="719"/>
      <c r="T11" s="66" t="s">
        <v>204</v>
      </c>
      <c r="U11" s="139">
        <v>6117.14</v>
      </c>
      <c r="V11" s="139">
        <v>959.19068066248633</v>
      </c>
      <c r="W11" s="139">
        <v>29556.031999999992</v>
      </c>
      <c r="X11" s="139">
        <v>1485.4820000000002</v>
      </c>
      <c r="Y11" s="139">
        <v>1216.5018493147104</v>
      </c>
      <c r="Z11" s="139">
        <v>183.346</v>
      </c>
      <c r="AA11" s="139">
        <f t="shared" si="1"/>
        <v>7602.6220000000003</v>
      </c>
      <c r="AB11" s="139">
        <f t="shared" si="1"/>
        <v>2175.6925299771965</v>
      </c>
      <c r="AC11" s="139">
        <f t="shared" si="1"/>
        <v>29739.377999999993</v>
      </c>
      <c r="AD11" s="144">
        <f t="shared" si="2"/>
        <v>39517.69252997719</v>
      </c>
      <c r="AF11" s="145"/>
      <c r="AG11" s="145"/>
      <c r="AH11" s="145"/>
      <c r="AJ11" s="92"/>
      <c r="AK11" s="92"/>
      <c r="AL11" s="92"/>
      <c r="AM11" s="92"/>
      <c r="AN11" s="92"/>
    </row>
    <row r="12" spans="2:40" ht="15.75">
      <c r="C12" s="101" t="s">
        <v>208</v>
      </c>
      <c r="D12" s="94">
        <f>SUMIFS('AggrStep1-energy'!D$55:D$80,'AggrStep1-energy'!$B$55:$B$80,'Step1-V1 (2)'!$C12)</f>
        <v>127.186144</v>
      </c>
      <c r="E12" s="724">
        <f>SUMIFS('AggrStep1-energy'!E$55:E$80,'AggrStep1-energy'!$B$55:$B$80,'Step1-V1 (2)'!$C12)</f>
        <v>0</v>
      </c>
      <c r="F12" s="724">
        <f>SUMIFS('AggrStep1-energy'!F$55:F$80,'AggrStep1-energy'!$B$55:$B$80,'Step1-V1 (2)'!$C12)+L12</f>
        <v>0</v>
      </c>
      <c r="G12" s="94">
        <f t="shared" ref="G12:G18" si="3">SUM(D12:F12)</f>
        <v>127.186144</v>
      </c>
      <c r="I12" s="94">
        <f>SUMIFS('AggrStep1-energy'!I$55:I$80,'AggrStep1-energy'!$B$55:$B$80,'Step1-V1 (2)'!$C12)</f>
        <v>0</v>
      </c>
      <c r="J12" s="94">
        <f>SUMIFS('AggrStep1-energy'!J$55:J$80,'AggrStep1-energy'!$B$55:$B$80,'Step1-V1 (2)'!$C12)</f>
        <v>0</v>
      </c>
      <c r="K12" s="94">
        <f>SUMIFS('AggrStep1-energy'!K$55:K$80,'AggrStep1-energy'!$B$55:$B$80,'Step1-V1 (2)'!$C12)</f>
        <v>0</v>
      </c>
      <c r="L12" s="94">
        <f>SUMIFS('AggrStep1-energy'!L$55:L$80,'AggrStep1-energy'!$B$55:$B$80,'Step1-V1 (2)'!$C12)</f>
        <v>0</v>
      </c>
      <c r="M12" s="94">
        <f>SUMIFS('AggrStep1-energy'!M$55:M$80,'AggrStep1-energy'!$B$55:$B$80,'Step1-V1 (2)'!$C12)</f>
        <v>0</v>
      </c>
      <c r="N12" s="94">
        <f>SUMIFS('AggrStep1-energy'!N$55:N$80,'AggrStep1-energy'!$B$55:$B$80,'Step1-V1 (2)'!$C12)</f>
        <v>0</v>
      </c>
      <c r="O12" s="94">
        <f>SUMIFS('AggrStep1-energy'!O$55:O$80,'AggrStep1-energy'!$B$55:$B$80,'Step1-V1 (2)'!$C12)</f>
        <v>0</v>
      </c>
      <c r="T12" s="66" t="s">
        <v>205</v>
      </c>
      <c r="U12" s="139">
        <v>14261.575999999999</v>
      </c>
      <c r="V12" s="139">
        <v>12955.328258665224</v>
      </c>
      <c r="W12" s="139">
        <v>1702.8230000000001</v>
      </c>
      <c r="X12" s="139">
        <v>32.048999999999999</v>
      </c>
      <c r="Y12" s="139">
        <v>23311.967803228406</v>
      </c>
      <c r="Z12" s="139">
        <v>3.9630000000000001</v>
      </c>
      <c r="AA12" s="139">
        <f t="shared" si="1"/>
        <v>14293.625</v>
      </c>
      <c r="AB12" s="139">
        <f t="shared" si="1"/>
        <v>36267.296061893634</v>
      </c>
      <c r="AC12" s="139">
        <f t="shared" si="1"/>
        <v>1706.7860000000001</v>
      </c>
      <c r="AD12" s="144">
        <f t="shared" si="2"/>
        <v>52267.707061893634</v>
      </c>
      <c r="AF12" s="145"/>
      <c r="AG12" s="145"/>
      <c r="AH12" s="145"/>
      <c r="AJ12" s="92"/>
      <c r="AK12" s="92"/>
      <c r="AL12" s="92"/>
      <c r="AM12" s="92"/>
      <c r="AN12" s="92"/>
    </row>
    <row r="13" spans="2:40" ht="15.75">
      <c r="C13" s="190" t="s">
        <v>541</v>
      </c>
      <c r="D13" s="94">
        <f>SUMIFS('AggrStep1-energy'!D$55:D$80,'AggrStep1-energy'!$B$55:$B$80,'Step1-V1 (2)'!$C13)</f>
        <v>26.448539</v>
      </c>
      <c r="E13" s="94">
        <f>SUMIFS('AggrStep1-energy'!E$55:E$80,'AggrStep1-energy'!$B$55:$B$80,'Step1-V1 (2)'!$C13)</f>
        <v>0</v>
      </c>
      <c r="F13" s="94">
        <f>SUMIFS('AggrStep1-energy'!F$55:F$80,'AggrStep1-energy'!$B$55:$B$80,'Step1-V1 (2)'!$C13)+L13</f>
        <v>4.2269999999999994</v>
      </c>
      <c r="G13" s="94">
        <f t="shared" si="3"/>
        <v>30.675539000000001</v>
      </c>
      <c r="I13" s="94">
        <f>SUMIFS('AggrStep1-energy'!I$55:I$80,'AggrStep1-energy'!$B$55:$B$80,'Step1-V1 (2)'!$C13)</f>
        <v>0</v>
      </c>
      <c r="J13" s="94">
        <f>SUMIFS('AggrStep1-energy'!J$55:J$80,'AggrStep1-energy'!$B$55:$B$80,'Step1-V1 (2)'!$C13)</f>
        <v>0</v>
      </c>
      <c r="K13" s="94">
        <f>SUMIFS('AggrStep1-energy'!K$55:K$80,'AggrStep1-energy'!$B$55:$B$80,'Step1-V1 (2)'!$C13)</f>
        <v>0</v>
      </c>
      <c r="L13" s="94">
        <f>SUMIFS('AggrStep1-energy'!L$55:L$80,'AggrStep1-energy'!$B$55:$B$80,'Step1-V1 (2)'!$C13)</f>
        <v>0</v>
      </c>
      <c r="M13" s="94">
        <f>SUMIFS('AggrStep1-energy'!M$55:M$80,'AggrStep1-energy'!$B$55:$B$80,'Step1-V1 (2)'!$C13)</f>
        <v>0</v>
      </c>
      <c r="N13" s="94">
        <f>SUMIFS('AggrStep1-energy'!N$55:N$80,'AggrStep1-energy'!$B$55:$B$80,'Step1-V1 (2)'!$C13)</f>
        <v>0</v>
      </c>
      <c r="O13" s="94">
        <f>SUMIFS('AggrStep1-energy'!O$55:O$80,'AggrStep1-energy'!$B$55:$B$80,'Step1-V1 (2)'!$C13)</f>
        <v>0</v>
      </c>
      <c r="T13" s="66" t="s">
        <v>206</v>
      </c>
      <c r="U13" s="139">
        <v>30907.031999999996</v>
      </c>
      <c r="V13" s="139">
        <v>1073.2348304259431</v>
      </c>
      <c r="W13" s="139">
        <v>1634.4839999999999</v>
      </c>
      <c r="X13" s="139">
        <v>862.26799999999992</v>
      </c>
      <c r="Y13" s="139">
        <v>604.0613743911822</v>
      </c>
      <c r="Z13" s="139">
        <v>3.6799999999999993</v>
      </c>
      <c r="AA13" s="139">
        <f t="shared" si="1"/>
        <v>31769.299999999996</v>
      </c>
      <c r="AB13" s="139">
        <f t="shared" si="1"/>
        <v>1677.2962048171253</v>
      </c>
      <c r="AC13" s="139">
        <f t="shared" si="1"/>
        <v>1638.164</v>
      </c>
      <c r="AD13" s="144">
        <f t="shared" si="2"/>
        <v>35084.760204817117</v>
      </c>
      <c r="AF13" s="145"/>
      <c r="AG13" s="145"/>
      <c r="AH13" s="145"/>
      <c r="AJ13" s="92"/>
      <c r="AK13" s="92"/>
      <c r="AL13" s="92"/>
      <c r="AM13" s="92"/>
      <c r="AN13" s="92"/>
    </row>
    <row r="14" spans="2:40" ht="15.75">
      <c r="C14" s="101" t="s">
        <v>210</v>
      </c>
      <c r="D14" s="94">
        <f>SUMIFS('AggrStep1-energy'!D$55:D$80,'AggrStep1-energy'!$B$55:$B$80,'Step1-V1 (2)'!$C14)</f>
        <v>28.755616999999997</v>
      </c>
      <c r="E14" s="94">
        <f>SUMIFS('AggrStep1-energy'!E$55:E$80,'AggrStep1-energy'!$B$55:$B$80,'Step1-V1 (2)'!$C14)</f>
        <v>0</v>
      </c>
      <c r="F14" s="94">
        <f>SUMIFS('AggrStep1-energy'!F$55:F$80,'AggrStep1-energy'!$B$55:$B$80,'Step1-V1 (2)'!$C14)+L14</f>
        <v>0</v>
      </c>
      <c r="G14" s="94">
        <f t="shared" si="3"/>
        <v>28.755616999999997</v>
      </c>
      <c r="I14" s="94">
        <f>SUMIFS('AggrStep1-energy'!I$55:I$80,'AggrStep1-energy'!$B$55:$B$80,'Step1-V1 (2)'!$C14)</f>
        <v>0</v>
      </c>
      <c r="J14" s="94">
        <f>SUMIFS('AggrStep1-energy'!J$55:J$80,'AggrStep1-energy'!$B$55:$B$80,'Step1-V1 (2)'!$C14)</f>
        <v>0</v>
      </c>
      <c r="K14" s="94">
        <f>SUMIFS('AggrStep1-energy'!K$55:K$80,'AggrStep1-energy'!$B$55:$B$80,'Step1-V1 (2)'!$C14)</f>
        <v>0</v>
      </c>
      <c r="L14" s="94">
        <f>SUMIFS('AggrStep1-energy'!L$55:L$80,'AggrStep1-energy'!$B$55:$B$80,'Step1-V1 (2)'!$C14)</f>
        <v>0</v>
      </c>
      <c r="M14" s="94">
        <f>SUMIFS('AggrStep1-energy'!M$55:M$80,'AggrStep1-energy'!$B$55:$B$80,'Step1-V1 (2)'!$C14)</f>
        <v>0</v>
      </c>
      <c r="N14" s="94">
        <f>SUMIFS('AggrStep1-energy'!N$55:N$80,'AggrStep1-energy'!$B$55:$B$80,'Step1-V1 (2)'!$C14)</f>
        <v>0</v>
      </c>
      <c r="O14" s="94">
        <f>SUMIFS('AggrStep1-energy'!O$55:O$80,'AggrStep1-energy'!$B$55:$B$80,'Step1-V1 (2)'!$C14)</f>
        <v>0</v>
      </c>
      <c r="T14" s="66" t="s">
        <v>207</v>
      </c>
      <c r="U14" s="139">
        <v>49110.353999999985</v>
      </c>
      <c r="V14" s="139">
        <v>7796.7201667973841</v>
      </c>
      <c r="W14" s="139">
        <v>77773.725999999981</v>
      </c>
      <c r="X14" s="139">
        <v>1856.8489999999999</v>
      </c>
      <c r="Y14" s="139">
        <v>8766.9586793796607</v>
      </c>
      <c r="Z14" s="139">
        <v>337.76800000000009</v>
      </c>
      <c r="AA14" s="139">
        <f t="shared" si="1"/>
        <v>50967.202999999987</v>
      </c>
      <c r="AB14" s="139">
        <f t="shared" si="1"/>
        <v>16563.678846177045</v>
      </c>
      <c r="AC14" s="139">
        <f t="shared" si="1"/>
        <v>78111.493999999977</v>
      </c>
      <c r="AD14" s="144">
        <f t="shared" si="2"/>
        <v>145642.37584617699</v>
      </c>
      <c r="AF14" s="145"/>
      <c r="AG14" s="145"/>
      <c r="AH14" s="145"/>
      <c r="AJ14" s="92"/>
      <c r="AK14" s="92"/>
      <c r="AL14" s="92"/>
      <c r="AM14" s="92"/>
      <c r="AN14" s="92"/>
    </row>
    <row r="15" spans="2:40" ht="15.75">
      <c r="C15" s="722" t="s">
        <v>544</v>
      </c>
      <c r="D15" s="94">
        <f>SUMIFS('AggrStep1-energy'!D$55:D$80,'AggrStep1-energy'!$B$55:$B$80,'Step1-V1 (2)'!$C15)</f>
        <v>2073.7818500000003</v>
      </c>
      <c r="E15" s="94">
        <f>SUMIFS('AggrStep1-energy'!E$55:E$80,'AggrStep1-energy'!$B$55:$B$80,'Step1-V1 (2)'!$C15)</f>
        <v>0.86699999999999999</v>
      </c>
      <c r="F15" s="94">
        <f>SUMIFS('AggrStep1-energy'!F$55:F$80,'AggrStep1-energy'!$B$55:$B$80,'Step1-V1 (2)'!$C15)+L15</f>
        <v>0</v>
      </c>
      <c r="G15" s="94">
        <f t="shared" si="3"/>
        <v>2074.6488500000005</v>
      </c>
      <c r="I15" s="94">
        <f>SUMIFS('AggrStep1-energy'!I$55:I$80,'AggrStep1-energy'!$B$55:$B$80,'Step1-V1 (2)'!$C15)</f>
        <v>0</v>
      </c>
      <c r="J15" s="94">
        <f>SUMIFS('AggrStep1-energy'!J$55:J$80,'AggrStep1-energy'!$B$55:$B$80,'Step1-V1 (2)'!$C15)</f>
        <v>0</v>
      </c>
      <c r="K15" s="94">
        <f>SUMIFS('AggrStep1-energy'!K$55:K$80,'AggrStep1-energy'!$B$55:$B$80,'Step1-V1 (2)'!$C15)</f>
        <v>0</v>
      </c>
      <c r="L15" s="94">
        <f>SUMIFS('AggrStep1-energy'!L$55:L$80,'AggrStep1-energy'!$B$55:$B$80,'Step1-V1 (2)'!$C15)</f>
        <v>0</v>
      </c>
      <c r="M15" s="94">
        <f>SUMIFS('AggrStep1-energy'!M$55:M$80,'AggrStep1-energy'!$B$55:$B$80,'Step1-V1 (2)'!$C15)</f>
        <v>0</v>
      </c>
      <c r="N15" s="94">
        <f>SUMIFS('AggrStep1-energy'!N$55:N$80,'AggrStep1-energy'!$B$55:$B$80,'Step1-V1 (2)'!$C15)</f>
        <v>0</v>
      </c>
      <c r="O15" s="94">
        <f>SUMIFS('AggrStep1-energy'!O$55:O$80,'AggrStep1-energy'!$B$55:$B$80,'Step1-V1 (2)'!$C15)</f>
        <v>0</v>
      </c>
      <c r="T15" s="66" t="s">
        <v>208</v>
      </c>
      <c r="U15" s="139">
        <v>34208.651000000005</v>
      </c>
      <c r="V15" s="139">
        <v>8.2100000000000009</v>
      </c>
      <c r="W15" s="139">
        <v>728.29300000000001</v>
      </c>
      <c r="X15" s="139">
        <v>439.94299999999998</v>
      </c>
      <c r="Y15" s="139">
        <v>11.154</v>
      </c>
      <c r="Z15" s="139">
        <v>1.6950000000000001</v>
      </c>
      <c r="AA15" s="139">
        <f t="shared" si="1"/>
        <v>34648.594000000005</v>
      </c>
      <c r="AB15" s="139">
        <f t="shared" si="1"/>
        <v>19.364000000000001</v>
      </c>
      <c r="AC15" s="139">
        <f t="shared" si="1"/>
        <v>729.98800000000006</v>
      </c>
      <c r="AD15" s="144">
        <f t="shared" si="2"/>
        <v>35397.946000000004</v>
      </c>
      <c r="AF15" s="145"/>
      <c r="AG15" s="145"/>
      <c r="AH15" s="145"/>
      <c r="AJ15" s="92"/>
      <c r="AK15" s="92"/>
      <c r="AL15" s="92"/>
      <c r="AM15" s="92"/>
      <c r="AN15" s="92"/>
    </row>
    <row r="16" spans="2:40" ht="15.75">
      <c r="C16" s="101" t="s">
        <v>214</v>
      </c>
      <c r="D16" s="94">
        <f>SUMIFS('AggrStep1-energy'!D$55:D$80,'AggrStep1-energy'!$B$55:$B$80,'Step1-V1 (2)'!$C16)</f>
        <v>69.427137000000002</v>
      </c>
      <c r="E16" s="94">
        <f>SUMIFS('AggrStep1-energy'!E$55:E$80,'AggrStep1-energy'!$B$55:$B$80,'Step1-V1 (2)'!$C16)</f>
        <v>11.097</v>
      </c>
      <c r="F16" s="94">
        <f>SUMIFS('AggrStep1-energy'!F$55:F$80,'AggrStep1-energy'!$B$55:$B$80,'Step1-V1 (2)'!$C16)+L16</f>
        <v>52.900000000000006</v>
      </c>
      <c r="G16" s="94">
        <f t="shared" si="3"/>
        <v>133.424137</v>
      </c>
      <c r="I16" s="94">
        <f>SUMIFS('AggrStep1-energy'!I$55:I$80,'AggrStep1-energy'!$B$55:$B$80,'Step1-V1 (2)'!$C16)</f>
        <v>0</v>
      </c>
      <c r="J16" s="94">
        <f>SUMIFS('AggrStep1-energy'!J$55:J$80,'AggrStep1-energy'!$B$55:$B$80,'Step1-V1 (2)'!$C16)</f>
        <v>0</v>
      </c>
      <c r="K16" s="94">
        <f>SUMIFS('AggrStep1-energy'!K$55:K$80,'AggrStep1-energy'!$B$55:$B$80,'Step1-V1 (2)'!$C16)</f>
        <v>0</v>
      </c>
      <c r="L16" s="94">
        <f>SUMIFS('AggrStep1-energy'!L$55:L$80,'AggrStep1-energy'!$B$55:$B$80,'Step1-V1 (2)'!$C16)</f>
        <v>2.819</v>
      </c>
      <c r="M16" s="94">
        <f>SUMIFS('AggrStep1-energy'!M$55:M$80,'AggrStep1-energy'!$B$55:$B$80,'Step1-V1 (2)'!$C16)</f>
        <v>0</v>
      </c>
      <c r="N16" s="94">
        <f>SUMIFS('AggrStep1-energy'!N$55:N$80,'AggrStep1-energy'!$B$55:$B$80,'Step1-V1 (2)'!$C16)</f>
        <v>0</v>
      </c>
      <c r="O16" s="94">
        <f>SUMIFS('AggrStep1-energy'!O$55:O$80,'AggrStep1-energy'!$B$55:$B$80,'Step1-V1 (2)'!$C16)</f>
        <v>0</v>
      </c>
      <c r="T16" s="66" t="s">
        <v>209</v>
      </c>
      <c r="U16" s="139">
        <v>7607.076</v>
      </c>
      <c r="V16" s="139">
        <v>0</v>
      </c>
      <c r="W16" s="139">
        <v>39.372</v>
      </c>
      <c r="X16" s="139">
        <v>97.722000000000008</v>
      </c>
      <c r="Y16" s="139">
        <v>0</v>
      </c>
      <c r="Z16" s="139">
        <v>9.1000000000000011E-2</v>
      </c>
      <c r="AA16" s="139">
        <f t="shared" si="1"/>
        <v>7704.7979999999998</v>
      </c>
      <c r="AB16" s="139">
        <f t="shared" si="1"/>
        <v>0</v>
      </c>
      <c r="AC16" s="139">
        <f t="shared" si="1"/>
        <v>39.463000000000001</v>
      </c>
      <c r="AD16" s="144">
        <f t="shared" si="2"/>
        <v>7744.2609999999995</v>
      </c>
      <c r="AF16" s="145"/>
      <c r="AG16" s="145"/>
      <c r="AH16" s="145"/>
      <c r="AJ16" s="92"/>
      <c r="AK16" s="92"/>
      <c r="AL16" s="92"/>
      <c r="AM16" s="92"/>
      <c r="AN16" s="92"/>
    </row>
    <row r="17" spans="1:457" ht="15.75">
      <c r="C17" s="190" t="s">
        <v>542</v>
      </c>
      <c r="D17" s="94">
        <f>SUMIFS('AggrStep1-energy'!D$55:D$80,'AggrStep1-energy'!$B$55:$B$80,'Step1-V1 (2)'!$C17)</f>
        <v>0</v>
      </c>
      <c r="E17" s="94">
        <f>SUMIFS('AggrStep1-energy'!E$55:E$80,'AggrStep1-energy'!$B$55:$B$80,'Step1-V1 (2)'!$C17)</f>
        <v>0</v>
      </c>
      <c r="F17" s="94">
        <f>SUMIFS('AggrStep1-energy'!F$55:F$80,'AggrStep1-energy'!$B$55:$B$80,'Step1-V1 (2)'!$C17)+L17</f>
        <v>33.427</v>
      </c>
      <c r="G17" s="94">
        <f t="shared" si="3"/>
        <v>33.427</v>
      </c>
      <c r="I17" s="94">
        <f>SUMIFS('AggrStep1-energy'!I$55:I$80,'AggrStep1-energy'!$B$55:$B$80,'Step1-V1 (2)'!$C17)</f>
        <v>0</v>
      </c>
      <c r="J17" s="94">
        <f>SUMIFS('AggrStep1-energy'!J$55:J$80,'AggrStep1-energy'!$B$55:$B$80,'Step1-V1 (2)'!$C17)</f>
        <v>0</v>
      </c>
      <c r="K17" s="94">
        <f>SUMIFS('AggrStep1-energy'!K$55:K$80,'AggrStep1-energy'!$B$55:$B$80,'Step1-V1 (2)'!$C17)</f>
        <v>0</v>
      </c>
      <c r="L17" s="94">
        <f>SUMIFS('AggrStep1-energy'!L$55:L$80,'AggrStep1-energy'!$B$55:$B$80,'Step1-V1 (2)'!$C17)</f>
        <v>0</v>
      </c>
      <c r="M17" s="94">
        <f>SUMIFS('AggrStep1-energy'!M$55:M$80,'AggrStep1-energy'!$B$55:$B$80,'Step1-V1 (2)'!$C17)</f>
        <v>0</v>
      </c>
      <c r="N17" s="94">
        <f>SUMIFS('AggrStep1-energy'!N$55:N$80,'AggrStep1-energy'!$B$55:$B$80,'Step1-V1 (2)'!$C17)</f>
        <v>0</v>
      </c>
      <c r="O17" s="94">
        <f>SUMIFS('AggrStep1-energy'!O$55:O$80,'AggrStep1-energy'!$B$55:$B$80,'Step1-V1 (2)'!$C17)</f>
        <v>0</v>
      </c>
      <c r="T17" s="66" t="s">
        <v>210</v>
      </c>
      <c r="U17" s="139">
        <v>1141.748</v>
      </c>
      <c r="V17" s="139">
        <v>3.1160000000000001</v>
      </c>
      <c r="W17" s="139">
        <v>104.24799999999999</v>
      </c>
      <c r="X17" s="139">
        <v>6.3380000000000001</v>
      </c>
      <c r="Y17" s="139">
        <v>4.234</v>
      </c>
      <c r="Z17" s="139">
        <v>0.24099999999999999</v>
      </c>
      <c r="AA17" s="139">
        <f t="shared" si="1"/>
        <v>1148.086</v>
      </c>
      <c r="AB17" s="139">
        <f t="shared" si="1"/>
        <v>7.35</v>
      </c>
      <c r="AC17" s="139">
        <f t="shared" si="1"/>
        <v>104.48899999999999</v>
      </c>
      <c r="AD17" s="144">
        <f t="shared" si="2"/>
        <v>1259.925</v>
      </c>
      <c r="AF17" s="145"/>
      <c r="AG17" s="145"/>
      <c r="AH17" s="145"/>
      <c r="AJ17" s="92"/>
      <c r="AK17" s="92"/>
      <c r="AL17" s="92"/>
      <c r="AM17" s="92"/>
      <c r="AN17" s="92"/>
    </row>
    <row r="18" spans="1:457" ht="15.75">
      <c r="C18" s="718" t="s">
        <v>955</v>
      </c>
      <c r="D18" s="94">
        <f>SUMIFS('AggrStep1-energy'!D$55:D$80,'AggrStep1-energy'!$B$55:$B$80,'Step1-V1 (2)'!$C18)</f>
        <v>258.308876</v>
      </c>
      <c r="E18" s="94">
        <f>SUMIFS('AggrStep1-energy'!E$55:E$80,'AggrStep1-energy'!$B$55:$B$80,'Step1-V1 (2)'!$C18)</f>
        <v>33.802999999999997</v>
      </c>
      <c r="F18" s="94">
        <f>SUMIFS('AggrStep1-energy'!F$55:F$80,'AggrStep1-energy'!$B$55:$B$80,'Step1-V1 (2)'!$C18)+L18</f>
        <v>195.17500000000001</v>
      </c>
      <c r="G18" s="94">
        <f t="shared" si="3"/>
        <v>487.28687600000001</v>
      </c>
      <c r="H18" s="731"/>
      <c r="I18" s="94">
        <f>SUMIFS('AggrStep1-energy'!I$55:I$80,'AggrStep1-energy'!$B$55:$B$80,'Step1-V1 (2)'!$C18)</f>
        <v>255.42239699999999</v>
      </c>
      <c r="J18" s="94">
        <f>SUMIFS('AggrStep1-energy'!J$55:J$80,'AggrStep1-energy'!$B$55:$B$80,'Step1-V1 (2)'!$C18)</f>
        <v>0</v>
      </c>
      <c r="K18" s="94">
        <f>SUMIFS('AggrStep1-energy'!K$55:K$80,'AggrStep1-energy'!$B$55:$B$80,'Step1-V1 (2)'!$C18)</f>
        <v>0</v>
      </c>
      <c r="L18" s="94">
        <f>SUMIFS('AggrStep1-energy'!L$55:L$80,'AggrStep1-energy'!$B$55:$B$80,'Step1-V1 (2)'!$C18)</f>
        <v>4.0359999999999996</v>
      </c>
      <c r="M18" s="94">
        <f>SUMIFS('AggrStep1-energy'!M$55:M$80,'AggrStep1-energy'!$B$55:$B$80,'Step1-V1 (2)'!$C18)</f>
        <v>0</v>
      </c>
      <c r="N18" s="94">
        <f>SUMIFS('AggrStep1-energy'!N$55:N$80,'AggrStep1-energy'!$B$55:$B$80,'Step1-V1 (2)'!$C18)</f>
        <v>0</v>
      </c>
      <c r="O18" s="94">
        <f>SUMIFS('AggrStep1-energy'!O$55:O$80,'AggrStep1-energy'!$B$55:$B$80,'Step1-V1 (2)'!$C18)</f>
        <v>0</v>
      </c>
      <c r="P18" s="731"/>
      <c r="T18" s="66" t="s">
        <v>211</v>
      </c>
      <c r="U18" s="139">
        <v>62477.72</v>
      </c>
      <c r="V18" s="139">
        <v>49.407039999999995</v>
      </c>
      <c r="W18" s="139">
        <v>1340.5</v>
      </c>
      <c r="X18" s="139">
        <v>42613.156000000003</v>
      </c>
      <c r="Y18" s="139">
        <v>67.126829999999998</v>
      </c>
      <c r="Z18" s="139">
        <v>3.169</v>
      </c>
      <c r="AA18" s="139">
        <f t="shared" si="1"/>
        <v>105090.876</v>
      </c>
      <c r="AB18" s="139">
        <f t="shared" si="1"/>
        <v>116.53386999999999</v>
      </c>
      <c r="AC18" s="139">
        <f t="shared" si="1"/>
        <v>1343.6690000000001</v>
      </c>
      <c r="AD18" s="144">
        <f t="shared" si="2"/>
        <v>106551.07887</v>
      </c>
      <c r="AF18" s="145"/>
      <c r="AG18" s="145"/>
      <c r="AH18" s="145"/>
      <c r="AJ18" s="92"/>
      <c r="AK18" s="92"/>
      <c r="AL18" s="92"/>
      <c r="AM18" s="92"/>
      <c r="AN18" s="92"/>
    </row>
    <row r="19" spans="1:457" ht="15.75">
      <c r="C19" s="90" t="s">
        <v>368</v>
      </c>
      <c r="D19" s="95">
        <f>SUM(D3:D18)</f>
        <v>3116.5458990000002</v>
      </c>
      <c r="E19" s="103">
        <f t="shared" ref="E19" si="4">SUM(E3:E18)</f>
        <v>638.95000000000005</v>
      </c>
      <c r="F19" s="733">
        <f>SUM(F3:F18)</f>
        <v>853.74099999999999</v>
      </c>
      <c r="G19" s="733">
        <f>SUM(G3:G18)</f>
        <v>4609.2368990000004</v>
      </c>
      <c r="H19" s="731"/>
      <c r="I19" s="95">
        <f>SUM(I3:I18)</f>
        <v>319.20483999999999</v>
      </c>
      <c r="J19" s="95">
        <f t="shared" ref="J19:O19" si="5">SUM(J3:J18)</f>
        <v>0</v>
      </c>
      <c r="K19" s="95">
        <f t="shared" si="5"/>
        <v>0</v>
      </c>
      <c r="L19" s="95">
        <f t="shared" si="5"/>
        <v>7.2359999999999998</v>
      </c>
      <c r="M19" s="95">
        <f t="shared" si="5"/>
        <v>0</v>
      </c>
      <c r="N19" s="95">
        <f t="shared" si="5"/>
        <v>0</v>
      </c>
      <c r="O19" s="95">
        <f t="shared" si="5"/>
        <v>0</v>
      </c>
      <c r="P19" s="731"/>
      <c r="T19" s="66" t="s">
        <v>212</v>
      </c>
      <c r="U19" s="139">
        <v>120540.09299999999</v>
      </c>
      <c r="V19" s="139">
        <v>68.727239999999995</v>
      </c>
      <c r="W19" s="139">
        <v>1718.752</v>
      </c>
      <c r="X19" s="139">
        <v>3451.8700000000003</v>
      </c>
      <c r="Y19" s="139">
        <v>93.376180000000019</v>
      </c>
      <c r="Z19" s="139">
        <v>3.9979999999999998</v>
      </c>
      <c r="AA19" s="139">
        <f t="shared" si="1"/>
        <v>123991.96299999999</v>
      </c>
      <c r="AB19" s="139">
        <f t="shared" si="1"/>
        <v>162.10342000000003</v>
      </c>
      <c r="AC19" s="139">
        <f t="shared" si="1"/>
        <v>1722.75</v>
      </c>
      <c r="AD19" s="144">
        <f t="shared" si="2"/>
        <v>125876.81641999999</v>
      </c>
      <c r="AF19" s="145"/>
      <c r="AG19" s="145"/>
      <c r="AH19" s="145"/>
      <c r="AJ19" s="92"/>
      <c r="AK19" s="92"/>
      <c r="AL19" s="92"/>
      <c r="AM19" s="92"/>
      <c r="AN19" s="92"/>
    </row>
    <row r="20" spans="1:457" ht="15.75">
      <c r="E20" s="731"/>
      <c r="F20" s="734"/>
      <c r="G20" s="731"/>
      <c r="H20" s="731"/>
      <c r="I20" s="731"/>
      <c r="J20" s="731"/>
      <c r="K20" s="731"/>
      <c r="L20" s="731"/>
      <c r="M20" s="731"/>
      <c r="N20" s="731"/>
      <c r="O20" s="731"/>
      <c r="P20" s="731"/>
      <c r="T20" s="66" t="s">
        <v>213</v>
      </c>
      <c r="U20" s="139">
        <v>603.56499999999994</v>
      </c>
      <c r="V20" s="139">
        <v>2.7269700000000001</v>
      </c>
      <c r="W20" s="139">
        <v>168.89699999999999</v>
      </c>
      <c r="X20" s="139">
        <v>20.029999999999998</v>
      </c>
      <c r="Y20" s="139">
        <v>1.57419</v>
      </c>
      <c r="Z20" s="139">
        <v>0.34499999999999997</v>
      </c>
      <c r="AA20" s="139">
        <f t="shared" si="1"/>
        <v>623.59499999999991</v>
      </c>
      <c r="AB20" s="139">
        <f t="shared" si="1"/>
        <v>4.3011600000000003</v>
      </c>
      <c r="AC20" s="139">
        <f t="shared" si="1"/>
        <v>169.24199999999999</v>
      </c>
      <c r="AD20" s="144">
        <f t="shared" si="2"/>
        <v>797.13815999999986</v>
      </c>
      <c r="AF20" s="145"/>
      <c r="AG20" s="145"/>
      <c r="AH20" s="145"/>
      <c r="AJ20" s="92"/>
      <c r="AK20" s="92"/>
      <c r="AL20" s="92"/>
      <c r="AM20" s="92"/>
      <c r="AN20" s="92"/>
    </row>
    <row r="21" spans="1:457" ht="15.75">
      <c r="B21" s="726" t="s">
        <v>388</v>
      </c>
      <c r="C21" s="101" t="s">
        <v>216</v>
      </c>
      <c r="D21" s="730">
        <f>'AggrStep1-energy'!D102</f>
        <v>3.526732</v>
      </c>
      <c r="E21" s="730">
        <f>'AggrStep1-energy'!E102</f>
        <v>858.4313663876394</v>
      </c>
      <c r="F21" s="730">
        <f>'AggrStep1-energy'!F102</f>
        <v>0</v>
      </c>
      <c r="G21" s="730">
        <f>SUM(D21:F23)</f>
        <v>861.95809838763944</v>
      </c>
      <c r="H21" s="731"/>
      <c r="I21" s="730">
        <f>'AggrStep1-energy'!I102</f>
        <v>0</v>
      </c>
      <c r="J21" s="730">
        <f>'AggrStep1-energy'!J102</f>
        <v>0</v>
      </c>
      <c r="K21" s="730">
        <f>'AggrStep1-energy'!K102</f>
        <v>0</v>
      </c>
      <c r="L21" s="730">
        <f>'AggrStep1-energy'!L102</f>
        <v>0</v>
      </c>
      <c r="M21" s="730">
        <f>'AggrStep1-energy'!M102</f>
        <v>0</v>
      </c>
      <c r="N21" s="730">
        <f>'AggrStep1-energy'!N102</f>
        <v>0</v>
      </c>
      <c r="O21" s="730">
        <f>'AggrStep1-energy'!O102</f>
        <v>0</v>
      </c>
      <c r="P21" s="731"/>
      <c r="T21" s="66" t="s">
        <v>214</v>
      </c>
      <c r="U21" s="139">
        <v>71886.799000000014</v>
      </c>
      <c r="V21" s="139">
        <v>906.27792000000022</v>
      </c>
      <c r="W21" s="139">
        <v>85005.48900000006</v>
      </c>
      <c r="X21" s="139">
        <v>1294.8979999999992</v>
      </c>
      <c r="Y21" s="139">
        <v>1568.2868799999999</v>
      </c>
      <c r="Z21" s="139">
        <v>196.09000000000003</v>
      </c>
      <c r="AA21" s="139">
        <f t="shared" si="1"/>
        <v>73181.697000000015</v>
      </c>
      <c r="AB21" s="139">
        <f t="shared" si="1"/>
        <v>2474.5648000000001</v>
      </c>
      <c r="AC21" s="139">
        <f t="shared" si="1"/>
        <v>85201.579000000056</v>
      </c>
      <c r="AD21" s="144">
        <f t="shared" si="2"/>
        <v>160857.84080000006</v>
      </c>
      <c r="AF21" s="145"/>
      <c r="AG21" s="145"/>
      <c r="AH21" s="145"/>
      <c r="AJ21" s="92"/>
      <c r="AK21" s="92"/>
      <c r="AL21" s="92"/>
      <c r="AM21" s="92"/>
      <c r="AN21" s="92"/>
    </row>
    <row r="22" spans="1:457" ht="15.75">
      <c r="B22" s="720"/>
      <c r="C22" s="101" t="s">
        <v>217</v>
      </c>
      <c r="D22" s="730"/>
      <c r="E22" s="730"/>
      <c r="F22" s="730"/>
      <c r="G22" s="730"/>
      <c r="I22" s="730"/>
      <c r="J22" s="730"/>
      <c r="K22" s="730"/>
      <c r="L22" s="730"/>
      <c r="M22" s="730"/>
      <c r="N22" s="730"/>
      <c r="O22" s="730"/>
      <c r="T22" s="66" t="s">
        <v>215</v>
      </c>
      <c r="U22" s="139">
        <v>14162.569</v>
      </c>
      <c r="V22" s="139">
        <v>0</v>
      </c>
      <c r="W22" s="139">
        <v>14479.469000000001</v>
      </c>
      <c r="X22" s="139">
        <v>143.16899999999998</v>
      </c>
      <c r="Y22" s="139">
        <v>0</v>
      </c>
      <c r="Z22" s="139">
        <v>58.888999999999996</v>
      </c>
      <c r="AA22" s="139">
        <f t="shared" si="1"/>
        <v>14305.737999999999</v>
      </c>
      <c r="AB22" s="139">
        <f t="shared" si="1"/>
        <v>0</v>
      </c>
      <c r="AC22" s="139">
        <f t="shared" si="1"/>
        <v>14538.358</v>
      </c>
      <c r="AD22" s="144">
        <f t="shared" si="2"/>
        <v>28844.095999999998</v>
      </c>
      <c r="AF22" s="145"/>
      <c r="AG22" s="145"/>
      <c r="AH22" s="145"/>
      <c r="AJ22" s="92"/>
      <c r="AK22" s="92"/>
      <c r="AL22" s="92"/>
      <c r="AM22" s="92"/>
      <c r="AN22" s="92"/>
    </row>
    <row r="23" spans="1:457" ht="15.75">
      <c r="B23" s="720"/>
      <c r="C23" s="223" t="s">
        <v>205</v>
      </c>
      <c r="D23" s="730"/>
      <c r="E23" s="730"/>
      <c r="F23" s="730"/>
      <c r="G23" s="730"/>
      <c r="I23" s="730"/>
      <c r="J23" s="730"/>
      <c r="K23" s="730"/>
      <c r="L23" s="730"/>
      <c r="M23" s="730"/>
      <c r="N23" s="730"/>
      <c r="O23" s="730"/>
      <c r="T23" s="66" t="s">
        <v>216</v>
      </c>
      <c r="U23" s="139">
        <v>7444.2049999999999</v>
      </c>
      <c r="V23" s="139">
        <v>60570.934552815132</v>
      </c>
      <c r="W23" s="139">
        <v>755.84900000000005</v>
      </c>
      <c r="X23" s="139">
        <v>328415.43699999998</v>
      </c>
      <c r="Y23" s="139">
        <v>6751.2572386257489</v>
      </c>
      <c r="Z23" s="139">
        <v>1.76</v>
      </c>
      <c r="AA23" s="139">
        <f t="shared" si="1"/>
        <v>335859.64199999999</v>
      </c>
      <c r="AB23" s="139">
        <f t="shared" si="1"/>
        <v>67322.191791440884</v>
      </c>
      <c r="AC23" s="139">
        <f t="shared" si="1"/>
        <v>757.60900000000004</v>
      </c>
      <c r="AD23" s="144">
        <f t="shared" si="2"/>
        <v>403939.44279144087</v>
      </c>
      <c r="AF23" s="145"/>
      <c r="AG23" s="145"/>
      <c r="AH23" s="145"/>
      <c r="AJ23" s="92"/>
      <c r="AK23" s="92"/>
      <c r="AL23" s="92"/>
      <c r="AM23" s="92"/>
      <c r="AN23" s="92"/>
    </row>
    <row r="24" spans="1:457" ht="15.75">
      <c r="B24" s="726" t="s">
        <v>953</v>
      </c>
      <c r="C24" s="101" t="s">
        <v>418</v>
      </c>
      <c r="D24" s="727">
        <f>'AggrStep1-energy'!D103</f>
        <v>828.16700000000003</v>
      </c>
      <c r="E24" s="727">
        <f>'AggrStep1-energy'!E103</f>
        <v>1303.69</v>
      </c>
      <c r="F24" s="727">
        <f>'AggrStep1-energy'!F103</f>
        <v>0</v>
      </c>
      <c r="G24" s="94">
        <f t="shared" ref="G24" si="6">SUM(D24:F24)</f>
        <v>2131.857</v>
      </c>
      <c r="I24" s="727">
        <f>'AggrStep1-energy'!I103</f>
        <v>60.542000000000002</v>
      </c>
      <c r="J24" s="727">
        <f>'AggrStep1-energy'!J103</f>
        <v>0</v>
      </c>
      <c r="K24" s="727">
        <f>'AggrStep1-energy'!K103</f>
        <v>15.064</v>
      </c>
      <c r="L24" s="727">
        <f>'AggrStep1-energy'!L103</f>
        <v>0.36</v>
      </c>
      <c r="M24" s="727">
        <f>'AggrStep1-energy'!M103</f>
        <v>100.87700000000001</v>
      </c>
      <c r="N24" s="727">
        <f>'AggrStep1-energy'!N103</f>
        <v>131.316</v>
      </c>
      <c r="O24" s="727">
        <f>'AggrStep1-energy'!O103</f>
        <v>122.598</v>
      </c>
      <c r="T24" s="66" t="s">
        <v>217</v>
      </c>
      <c r="U24" s="139">
        <v>23.548999999999999</v>
      </c>
      <c r="V24" s="139">
        <v>6514.4988748825435</v>
      </c>
      <c r="W24" s="139">
        <v>1415.9473035470903</v>
      </c>
      <c r="X24" s="139">
        <v>0.36</v>
      </c>
      <c r="Y24" s="139">
        <v>38620.861541775164</v>
      </c>
      <c r="Z24" s="139">
        <v>3.2828335852289441</v>
      </c>
      <c r="AA24" s="139">
        <f t="shared" si="1"/>
        <v>23.908999999999999</v>
      </c>
      <c r="AB24" s="139">
        <f t="shared" si="1"/>
        <v>45135.360416657706</v>
      </c>
      <c r="AC24" s="139">
        <f t="shared" si="1"/>
        <v>1419.2301371323192</v>
      </c>
      <c r="AD24" s="144">
        <f t="shared" si="2"/>
        <v>46578.499553790025</v>
      </c>
      <c r="AF24" s="145"/>
      <c r="AG24" s="145"/>
      <c r="AH24" s="145"/>
      <c r="AJ24" s="92"/>
      <c r="AK24" s="92"/>
      <c r="AL24" s="92"/>
      <c r="AM24" s="92"/>
      <c r="AN24" s="92"/>
    </row>
    <row r="25" spans="1:457" ht="15.75">
      <c r="C25" s="90" t="s">
        <v>368</v>
      </c>
      <c r="D25" s="732">
        <f>SUM(D21:D24)</f>
        <v>831.69373200000007</v>
      </c>
      <c r="E25" s="732">
        <f t="shared" ref="E25" si="7">SUM(E21:E24)</f>
        <v>2162.1213663876397</v>
      </c>
      <c r="F25" s="732">
        <f>SUM(F21:F24)</f>
        <v>0</v>
      </c>
      <c r="G25" s="732">
        <f>SUM(G21:G24)</f>
        <v>2993.8150983876394</v>
      </c>
      <c r="I25" s="732">
        <f>SUM(I21:I24)</f>
        <v>60.542000000000002</v>
      </c>
      <c r="J25" s="732">
        <f t="shared" ref="J25:O25" si="8">SUM(J21:J24)</f>
        <v>0</v>
      </c>
      <c r="K25" s="732">
        <f t="shared" si="8"/>
        <v>15.064</v>
      </c>
      <c r="L25" s="732">
        <f t="shared" si="8"/>
        <v>0.36</v>
      </c>
      <c r="M25" s="732">
        <f t="shared" si="8"/>
        <v>100.87700000000001</v>
      </c>
      <c r="N25" s="732">
        <f t="shared" si="8"/>
        <v>131.316</v>
      </c>
      <c r="O25" s="732">
        <f t="shared" si="8"/>
        <v>122.598</v>
      </c>
      <c r="T25" s="66" t="s">
        <v>418</v>
      </c>
      <c r="U25" s="139">
        <v>81222.350000000006</v>
      </c>
      <c r="V25" s="139">
        <v>27556.933948516333</v>
      </c>
      <c r="W25" s="139">
        <v>1386.096</v>
      </c>
      <c r="X25" s="139">
        <v>421.95100000000002</v>
      </c>
      <c r="Y25" s="139">
        <v>2622.2195695659325</v>
      </c>
      <c r="Z25" s="139">
        <v>1.177</v>
      </c>
      <c r="AA25" s="139">
        <f t="shared" si="1"/>
        <v>81644.301000000007</v>
      </c>
      <c r="AB25" s="139">
        <f t="shared" si="1"/>
        <v>30179.153518082265</v>
      </c>
      <c r="AC25" s="139">
        <f t="shared" si="1"/>
        <v>1387.2729999999999</v>
      </c>
      <c r="AD25" s="144">
        <f t="shared" si="2"/>
        <v>113210.72751808228</v>
      </c>
      <c r="AF25" s="145"/>
      <c r="AG25" s="145"/>
      <c r="AH25" s="145"/>
      <c r="AJ25" s="92"/>
      <c r="AK25" s="92"/>
      <c r="AL25" s="92"/>
      <c r="AM25" s="92"/>
      <c r="AN25" s="92"/>
    </row>
    <row r="26" spans="1:457" ht="15.75">
      <c r="T26" s="56" t="s">
        <v>537</v>
      </c>
      <c r="U26" s="140">
        <f t="shared" ref="U26:Z26" si="9">SUM(U4:U25)</f>
        <v>577335.36400000006</v>
      </c>
      <c r="V26" s="140">
        <f t="shared" si="9"/>
        <v>146882.4016235492</v>
      </c>
      <c r="W26" s="140">
        <f t="shared" si="9"/>
        <v>278188.86500000005</v>
      </c>
      <c r="X26" s="140">
        <f t="shared" si="9"/>
        <v>390080.89199999999</v>
      </c>
      <c r="Y26" s="140">
        <f t="shared" si="9"/>
        <v>122706.81581652683</v>
      </c>
      <c r="Z26" s="140">
        <f t="shared" si="9"/>
        <v>1045.2850000000001</v>
      </c>
      <c r="AA26" s="140">
        <f t="shared" si="1"/>
        <v>967416.25600000005</v>
      </c>
      <c r="AB26" s="140">
        <f t="shared" si="1"/>
        <v>269589.21744007606</v>
      </c>
      <c r="AC26" s="140">
        <f t="shared" si="1"/>
        <v>279234.15000000002</v>
      </c>
      <c r="AD26" s="144">
        <f t="shared" si="2"/>
        <v>1516239.6234400761</v>
      </c>
      <c r="AF26" s="140"/>
      <c r="AG26" s="140"/>
      <c r="AH26" s="140"/>
      <c r="AJ26" s="92"/>
      <c r="AK26" s="92"/>
      <c r="AL26" s="92"/>
      <c r="AM26" s="92"/>
      <c r="AN26" s="92"/>
    </row>
    <row r="27" spans="1:457" ht="15.75">
      <c r="T27" s="187" t="s">
        <v>240</v>
      </c>
      <c r="U27" s="139">
        <f t="array" ref="U27:W27">TRANSPOSE([2]Step8!$BI$25:$BI$27)</f>
        <v>363423.54499999998</v>
      </c>
      <c r="V27" s="139">
        <v>9122.0974100000003</v>
      </c>
      <c r="W27" s="139">
        <v>37854.733</v>
      </c>
      <c r="X27" s="139">
        <f t="array" ref="X27:Z27">TRANSPOSE([2]Step8!$AM$70:$AM$72)</f>
        <v>18.373000000000001</v>
      </c>
      <c r="Y27" s="139">
        <v>161.10099</v>
      </c>
      <c r="Z27" s="139">
        <v>0</v>
      </c>
      <c r="AA27" s="139">
        <f>U27+X27</f>
        <v>363441.91800000001</v>
      </c>
      <c r="AB27" s="139">
        <f>V27+Y27</f>
        <v>9283.1984000000011</v>
      </c>
      <c r="AC27" s="139">
        <f>W27+Z27</f>
        <v>37854.733</v>
      </c>
      <c r="AD27" s="144">
        <f>SUM(AA27:AC27)</f>
        <v>410579.84940000001</v>
      </c>
      <c r="AF27" s="140"/>
      <c r="AG27" s="140"/>
      <c r="AH27" s="140"/>
      <c r="AI27" s="92"/>
      <c r="AJ27" s="92"/>
      <c r="AK27" s="92"/>
      <c r="AL27" s="92"/>
      <c r="AM27" s="92"/>
      <c r="AN27" s="92"/>
    </row>
    <row r="28" spans="1:457" ht="18.75">
      <c r="T28" s="270" t="s">
        <v>378</v>
      </c>
      <c r="U28" s="271">
        <f>U$27*Y51</f>
        <v>218054.12699999998</v>
      </c>
      <c r="V28" s="271">
        <f t="shared" ref="V28:W29" si="10">V$27*Z51</f>
        <v>0</v>
      </c>
      <c r="W28" s="271">
        <f t="shared" si="10"/>
        <v>44.759939941194922</v>
      </c>
      <c r="X28" s="271">
        <f>X$27*Y51</f>
        <v>11.0238</v>
      </c>
      <c r="Y28" s="271">
        <f t="shared" ref="Y28:Z29" si="11">Y$27*Z51</f>
        <v>0</v>
      </c>
      <c r="Z28" s="271">
        <f t="shared" si="11"/>
        <v>0</v>
      </c>
      <c r="AA28" s="271">
        <f>AA$27*Y51</f>
        <v>218065.1508</v>
      </c>
      <c r="AB28" s="271">
        <f t="shared" ref="AB28:AC29" si="12">AB$27*Z51</f>
        <v>0</v>
      </c>
      <c r="AC28" s="271">
        <f t="shared" si="12"/>
        <v>44.759939941194922</v>
      </c>
      <c r="AD28" s="272">
        <f t="shared" ref="AD28:AD29" si="13">SUM(AA28:AC28)</f>
        <v>218109.9107399412</v>
      </c>
      <c r="AF28" s="140"/>
      <c r="AG28" s="140"/>
      <c r="AH28" s="140"/>
      <c r="AI28" s="92"/>
      <c r="AJ28" s="92"/>
      <c r="AK28" s="92"/>
      <c r="AL28" s="92"/>
      <c r="AM28" s="92"/>
      <c r="AN28" s="92"/>
      <c r="AO28" s="660"/>
      <c r="AP28" s="92"/>
      <c r="AQ28" s="92"/>
      <c r="AR28" s="92"/>
      <c r="AS28" s="92"/>
      <c r="AT28" s="92"/>
      <c r="AU28" s="92"/>
      <c r="AV28" s="92"/>
      <c r="AW28" s="92"/>
      <c r="AX28" s="92"/>
      <c r="AY28" s="92"/>
      <c r="AZ28" s="92"/>
      <c r="BA28" s="92"/>
      <c r="BB28" s="92"/>
      <c r="BC28" s="92"/>
    </row>
    <row r="29" spans="1:457">
      <c r="B29" s="90" t="s">
        <v>573</v>
      </c>
      <c r="D29" s="89">
        <v>1</v>
      </c>
      <c r="E29" s="89">
        <f>D29+1</f>
        <v>2</v>
      </c>
      <c r="F29" s="89">
        <f t="shared" ref="F29:N29" si="14">E29+1</f>
        <v>3</v>
      </c>
      <c r="I29" s="89">
        <f>G29+1</f>
        <v>1</v>
      </c>
      <c r="J29" s="89">
        <f t="shared" si="14"/>
        <v>2</v>
      </c>
      <c r="K29" s="89">
        <f t="shared" si="14"/>
        <v>3</v>
      </c>
      <c r="L29" s="89">
        <f t="shared" si="14"/>
        <v>4</v>
      </c>
      <c r="M29" s="89">
        <f t="shared" si="14"/>
        <v>5</v>
      </c>
      <c r="N29" s="89">
        <f t="shared" si="14"/>
        <v>6</v>
      </c>
      <c r="T29" s="273" t="s">
        <v>241</v>
      </c>
      <c r="U29" s="274">
        <f>U$27*Y52</f>
        <v>145369.41800000001</v>
      </c>
      <c r="V29" s="274">
        <f>V$27*Z52</f>
        <v>9122.0974100000003</v>
      </c>
      <c r="W29" s="274">
        <f t="shared" si="10"/>
        <v>37809.973060058801</v>
      </c>
      <c r="X29" s="274">
        <f>X$27*Y52</f>
        <v>7.3492000000000006</v>
      </c>
      <c r="Y29" s="274">
        <f t="shared" si="11"/>
        <v>161.10099</v>
      </c>
      <c r="Z29" s="274">
        <f t="shared" si="11"/>
        <v>0</v>
      </c>
      <c r="AA29" s="274">
        <f>AA$27*Y52</f>
        <v>145376.7672</v>
      </c>
      <c r="AB29" s="274">
        <f t="shared" si="12"/>
        <v>9283.1984000000011</v>
      </c>
      <c r="AC29" s="274">
        <f t="shared" si="12"/>
        <v>37809.973060058801</v>
      </c>
      <c r="AD29" s="275">
        <f t="shared" si="13"/>
        <v>192469.9386600588</v>
      </c>
      <c r="AF29" s="140"/>
      <c r="AG29" s="140"/>
      <c r="AH29" s="140"/>
      <c r="AI29" s="92"/>
      <c r="AJ29" s="92"/>
      <c r="AK29" s="92"/>
      <c r="AL29" s="92"/>
      <c r="AM29" s="92"/>
      <c r="AN29" s="92"/>
      <c r="AO29" s="92"/>
      <c r="AP29" s="92"/>
      <c r="AQ29" s="92"/>
      <c r="AR29" s="92"/>
      <c r="AS29" s="92"/>
      <c r="AT29" s="92"/>
      <c r="AU29" s="92"/>
      <c r="AV29" s="92"/>
      <c r="AW29" s="92"/>
      <c r="AX29" s="92"/>
      <c r="AY29" s="92"/>
      <c r="AZ29" s="92"/>
      <c r="BA29" s="92"/>
      <c r="BB29" s="92"/>
      <c r="BC29" s="92"/>
    </row>
    <row r="30" spans="1:457" ht="30">
      <c r="B30" s="224" t="s">
        <v>391</v>
      </c>
      <c r="C30" s="224" t="s">
        <v>389</v>
      </c>
      <c r="D30" s="220" t="s">
        <v>383</v>
      </c>
      <c r="E30" s="220" t="s">
        <v>384</v>
      </c>
      <c r="F30" s="221" t="s">
        <v>172</v>
      </c>
      <c r="G30" s="221" t="s">
        <v>560</v>
      </c>
      <c r="H30" s="149"/>
      <c r="I30" s="149" t="s">
        <v>386</v>
      </c>
      <c r="J30" s="149" t="s">
        <v>385</v>
      </c>
      <c r="K30" s="149" t="s">
        <v>219</v>
      </c>
      <c r="L30" s="149" t="s">
        <v>11</v>
      </c>
      <c r="M30" s="149" t="s">
        <v>218</v>
      </c>
      <c r="N30" s="149" t="s">
        <v>171</v>
      </c>
      <c r="O30" s="149" t="s">
        <v>187</v>
      </c>
      <c r="P30" s="224" t="s">
        <v>7</v>
      </c>
      <c r="Q30" s="92"/>
      <c r="R30" s="92"/>
      <c r="S30" s="92"/>
      <c r="T30" s="187"/>
      <c r="U30" s="139"/>
      <c r="V30" s="139"/>
      <c r="W30" s="139"/>
      <c r="X30" s="139"/>
      <c r="Y30" s="139"/>
      <c r="Z30" s="139"/>
      <c r="AA30" s="139"/>
      <c r="AB30" s="139"/>
      <c r="AC30" s="139"/>
      <c r="AD30" s="144"/>
      <c r="AF30" s="140"/>
      <c r="AG30" s="140"/>
      <c r="AH30" s="140"/>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row>
    <row r="31" spans="1:457">
      <c r="A31" s="89">
        <v>1</v>
      </c>
      <c r="B31" s="89" t="s">
        <v>226</v>
      </c>
      <c r="C31" s="101" t="str">
        <f>T4</f>
        <v>Agriculture, livestockand fishing</v>
      </c>
      <c r="D31" s="279">
        <f>AA4/U$87</f>
        <v>117.85555327330248</v>
      </c>
      <c r="E31" s="279">
        <f t="shared" ref="D31:F32" si="15">AB4/V$87</f>
        <v>6.5447287070636406E-2</v>
      </c>
      <c r="F31" s="279">
        <f t="shared" si="15"/>
        <v>35.28284473921137</v>
      </c>
      <c r="G31" s="280">
        <f>SUM(D31:F31)</f>
        <v>153.20384529958449</v>
      </c>
      <c r="H31" s="94"/>
      <c r="I31" s="94"/>
      <c r="J31" s="94"/>
      <c r="K31" s="94"/>
      <c r="L31" s="94"/>
      <c r="M31" s="94"/>
      <c r="N31" s="94"/>
      <c r="P31" s="95">
        <f>SUM(G31,I31:O31)</f>
        <v>153.20384529958449</v>
      </c>
      <c r="Q31" s="92"/>
      <c r="R31" s="92"/>
      <c r="S31" s="92"/>
      <c r="T31" s="90" t="s">
        <v>372</v>
      </c>
      <c r="U31" s="115">
        <f t="shared" ref="U31:AD31" si="16">U26+U27</f>
        <v>940758.90899999999</v>
      </c>
      <c r="V31" s="115">
        <f t="shared" si="16"/>
        <v>156004.49903354919</v>
      </c>
      <c r="W31" s="115">
        <f t="shared" si="16"/>
        <v>316043.59800000006</v>
      </c>
      <c r="X31" s="115">
        <f t="shared" si="16"/>
        <v>390099.26500000001</v>
      </c>
      <c r="Y31" s="115">
        <f t="shared" si="16"/>
        <v>122867.91680652683</v>
      </c>
      <c r="Z31" s="115">
        <f t="shared" si="16"/>
        <v>1045.2850000000001</v>
      </c>
      <c r="AA31" s="115">
        <f t="shared" si="16"/>
        <v>1330858.1740000001</v>
      </c>
      <c r="AB31" s="115">
        <f t="shared" si="16"/>
        <v>278872.41584007605</v>
      </c>
      <c r="AC31" s="115">
        <f t="shared" si="16"/>
        <v>317088.88300000003</v>
      </c>
      <c r="AD31" s="115">
        <f t="shared" si="16"/>
        <v>1926819.4728400761</v>
      </c>
      <c r="AF31" s="140"/>
      <c r="AG31" s="140"/>
      <c r="AH31" s="140"/>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row>
    <row r="32" spans="1:457" ht="15.75">
      <c r="A32" s="89">
        <v>2</v>
      </c>
      <c r="B32" s="89" t="s">
        <v>226</v>
      </c>
      <c r="C32" s="101" t="str">
        <f t="shared" ref="C32:C53" si="17">T5</f>
        <v>Forestry</v>
      </c>
      <c r="D32" s="279">
        <f t="shared" si="15"/>
        <v>3.7315797266975155</v>
      </c>
      <c r="E32" s="279">
        <f t="shared" si="15"/>
        <v>0</v>
      </c>
      <c r="F32" s="279">
        <f t="shared" si="15"/>
        <v>1.7451552607886325</v>
      </c>
      <c r="G32" s="280">
        <f>SUM(D32:F32)</f>
        <v>5.4767349874861484</v>
      </c>
      <c r="H32" s="94"/>
      <c r="I32" s="94"/>
      <c r="J32" s="94"/>
      <c r="K32" s="94"/>
      <c r="L32" s="94"/>
      <c r="M32" s="94"/>
      <c r="N32" s="94"/>
      <c r="P32" s="95">
        <f t="shared" ref="P32:P57" si="18">SUM(G32,I32:O32)</f>
        <v>5.4767349874861484</v>
      </c>
      <c r="Q32" s="92"/>
      <c r="R32" s="92"/>
      <c r="S32" s="92"/>
      <c r="T32" s="56"/>
      <c r="U32" s="140"/>
      <c r="V32" s="140"/>
      <c r="W32" s="140"/>
      <c r="X32" s="140"/>
      <c r="Y32" s="140"/>
      <c r="Z32" s="140"/>
      <c r="AA32" s="140"/>
      <c r="AB32" s="140"/>
      <c r="AC32" s="140"/>
      <c r="AD32" s="144"/>
      <c r="AF32" s="140"/>
      <c r="AG32" s="140"/>
      <c r="AH32" s="140"/>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row>
    <row r="33" spans="1:457">
      <c r="A33" s="89">
        <v>3</v>
      </c>
      <c r="B33" s="89" t="s">
        <v>387</v>
      </c>
      <c r="C33" s="101" t="str">
        <f t="shared" si="17"/>
        <v>Manufacture of food, beverages and snuff</v>
      </c>
      <c r="D33" s="281">
        <f>AA6/U$88</f>
        <v>35.061462074223648</v>
      </c>
      <c r="E33" s="281">
        <f t="shared" ref="D33:F41" si="19">AB6/V$88</f>
        <v>114.56665185367522</v>
      </c>
      <c r="F33" s="281">
        <f t="shared" si="19"/>
        <v>85.297563558890204</v>
      </c>
      <c r="G33" s="280">
        <f t="shared" ref="G33:G53" si="20">SUM(D33:F33)</f>
        <v>234.92567748678908</v>
      </c>
      <c r="H33" s="94"/>
      <c r="I33" s="94">
        <f>'AggrStep1-energy'!I59</f>
        <v>59.526828000000002</v>
      </c>
      <c r="J33" s="94"/>
      <c r="K33" s="94"/>
      <c r="L33" s="94"/>
      <c r="M33" s="94"/>
      <c r="N33" s="94"/>
      <c r="O33" s="95"/>
      <c r="P33" s="95">
        <f t="shared" si="18"/>
        <v>294.45250548678911</v>
      </c>
      <c r="Q33" s="92"/>
      <c r="R33" s="92"/>
      <c r="S33" s="92"/>
      <c r="T33" s="57"/>
      <c r="U33" s="57"/>
      <c r="V33" s="57"/>
      <c r="W33" s="57"/>
      <c r="X33" s="57"/>
      <c r="Y33" s="57"/>
      <c r="Z33" s="57"/>
      <c r="AA33" s="57"/>
      <c r="AB33" s="57"/>
      <c r="AC33" s="57"/>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row>
    <row r="34" spans="1:457">
      <c r="A34" s="89">
        <v>4</v>
      </c>
      <c r="B34" s="89" t="s">
        <v>387</v>
      </c>
      <c r="C34" s="101" t="str">
        <f t="shared" si="17"/>
        <v>Manufacture of articles of paper and paperboard</v>
      </c>
      <c r="D34" s="281">
        <f t="shared" si="19"/>
        <v>6.5815885591690089</v>
      </c>
      <c r="E34" s="281">
        <f t="shared" si="19"/>
        <v>28.365551133950763</v>
      </c>
      <c r="F34" s="281">
        <f t="shared" si="19"/>
        <v>18.352641897238456</v>
      </c>
      <c r="G34" s="280">
        <f t="shared" si="20"/>
        <v>53.299781590358229</v>
      </c>
      <c r="H34" s="94"/>
      <c r="I34" s="94"/>
      <c r="J34" s="94"/>
      <c r="K34" s="94"/>
      <c r="L34" s="94"/>
      <c r="M34" s="94"/>
      <c r="N34" s="94"/>
      <c r="O34" s="95"/>
      <c r="P34" s="95">
        <f t="shared" si="18"/>
        <v>53.299781590358229</v>
      </c>
      <c r="Q34" s="92"/>
      <c r="R34" s="92"/>
      <c r="S34" s="92"/>
      <c r="T34" s="90" t="s">
        <v>422</v>
      </c>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row>
    <row r="35" spans="1:457">
      <c r="A35" s="89">
        <v>5</v>
      </c>
      <c r="B35" s="89" t="s">
        <v>387</v>
      </c>
      <c r="C35" s="101" t="str">
        <f t="shared" si="17"/>
        <v>Manufacture of chemical</v>
      </c>
      <c r="D35" s="281">
        <f t="shared" si="19"/>
        <v>106.4849762345815</v>
      </c>
      <c r="E35" s="281">
        <f t="shared" si="19"/>
        <v>291.70216964079231</v>
      </c>
      <c r="F35" s="281">
        <f t="shared" si="19"/>
        <v>22.429515008831267</v>
      </c>
      <c r="G35" s="280">
        <f t="shared" si="20"/>
        <v>420.61666088420509</v>
      </c>
      <c r="H35" s="94"/>
      <c r="I35" s="94"/>
      <c r="J35" s="94"/>
      <c r="K35" s="94"/>
      <c r="L35" s="94"/>
      <c r="M35" s="94"/>
      <c r="N35" s="94"/>
      <c r="O35" s="95"/>
      <c r="P35" s="95">
        <f t="shared" si="18"/>
        <v>420.61666088420509</v>
      </c>
      <c r="Q35" s="92"/>
      <c r="R35" s="92"/>
      <c r="S35" s="92"/>
      <c r="T35" s="146" t="s">
        <v>226</v>
      </c>
      <c r="U35" s="78">
        <f>U4+U5</f>
        <v>16798.418000000001</v>
      </c>
      <c r="V35" s="78">
        <f t="shared" ref="V35:AC35" si="21">V4+V5</f>
        <v>5.9706494829678478</v>
      </c>
      <c r="W35" s="78">
        <f t="shared" si="21"/>
        <v>3001.944</v>
      </c>
      <c r="X35" s="78">
        <f t="shared" si="21"/>
        <v>59.913999999999987</v>
      </c>
      <c r="Y35" s="78">
        <f t="shared" si="21"/>
        <v>3.7266061988958232</v>
      </c>
      <c r="Z35" s="78">
        <f t="shared" si="21"/>
        <v>6.9869999999999974</v>
      </c>
      <c r="AA35" s="78">
        <f t="shared" si="21"/>
        <v>16858.332000000002</v>
      </c>
      <c r="AB35" s="78">
        <f t="shared" si="21"/>
        <v>9.6972556818636715</v>
      </c>
      <c r="AC35" s="78">
        <f t="shared" si="21"/>
        <v>3008.931</v>
      </c>
      <c r="AD35" s="140">
        <f>SUM(AA35:AC35)</f>
        <v>19876.960255681865</v>
      </c>
      <c r="AE35" s="142"/>
      <c r="AF35" s="145"/>
      <c r="AG35" s="145"/>
      <c r="AH35" s="145"/>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row>
    <row r="36" spans="1:457">
      <c r="A36" s="89">
        <v>6</v>
      </c>
      <c r="B36" s="89" t="s">
        <v>387</v>
      </c>
      <c r="C36" s="101" t="str">
        <f t="shared" si="17"/>
        <v>Manufacture of cement and concrete</v>
      </c>
      <c r="D36" s="281">
        <f t="shared" si="19"/>
        <v>9.5619655868946705</v>
      </c>
      <c r="E36" s="281">
        <f t="shared" si="19"/>
        <v>0.59378885509566059</v>
      </c>
      <c r="F36" s="281">
        <f t="shared" si="19"/>
        <v>36.469103949311219</v>
      </c>
      <c r="G36" s="280">
        <f t="shared" si="20"/>
        <v>46.624858391301551</v>
      </c>
      <c r="H36" s="94"/>
      <c r="I36" s="94"/>
      <c r="J36" s="94"/>
      <c r="K36" s="94"/>
      <c r="L36" s="94"/>
      <c r="M36" s="94"/>
      <c r="N36" s="94"/>
      <c r="O36" s="95"/>
      <c r="P36" s="95">
        <f t="shared" si="18"/>
        <v>46.624858391301551</v>
      </c>
      <c r="Q36" s="92"/>
      <c r="R36" s="92"/>
      <c r="S36" s="92"/>
      <c r="T36" s="147" t="s">
        <v>387</v>
      </c>
      <c r="U36" s="148">
        <f t="shared" ref="U36:AC36" si="22">SUM(U6:U11,U13:U14)</f>
        <v>144957.04499999998</v>
      </c>
      <c r="V36" s="148">
        <f t="shared" si="22"/>
        <v>38240.270169186995</v>
      </c>
      <c r="W36" s="148">
        <f t="shared" si="22"/>
        <v>166341.18569645286</v>
      </c>
      <c r="X36" s="148">
        <f t="shared" si="22"/>
        <v>13084.055</v>
      </c>
      <c r="Y36" s="148">
        <f t="shared" si="22"/>
        <v>49651.030977132672</v>
      </c>
      <c r="Z36" s="148">
        <f t="shared" si="22"/>
        <v>763.59716641477121</v>
      </c>
      <c r="AA36" s="148">
        <f t="shared" si="22"/>
        <v>158041.09999999998</v>
      </c>
      <c r="AB36" s="148">
        <f t="shared" si="22"/>
        <v>87891.301146319689</v>
      </c>
      <c r="AC36" s="148">
        <f t="shared" si="22"/>
        <v>167104.78286286767</v>
      </c>
      <c r="AD36" s="140">
        <f t="shared" ref="AD36" si="23">SUM(AA36:AC36)</f>
        <v>413037.18400918733</v>
      </c>
      <c r="AE36" s="92"/>
      <c r="AF36" s="338"/>
      <c r="AG36" s="145"/>
      <c r="AH36" s="145"/>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row>
    <row r="37" spans="1:457">
      <c r="A37" s="89">
        <v>7</v>
      </c>
      <c r="B37" s="89" t="s">
        <v>387</v>
      </c>
      <c r="C37" s="101" t="str">
        <f t="shared" si="17"/>
        <v>Manufacture of steel</v>
      </c>
      <c r="D37" s="281">
        <f t="shared" si="19"/>
        <v>18.396719470326147</v>
      </c>
      <c r="E37" s="281">
        <f t="shared" si="19"/>
        <v>20.16167846846837</v>
      </c>
      <c r="F37" s="281">
        <f t="shared" si="19"/>
        <v>20.39679574649913</v>
      </c>
      <c r="G37" s="280">
        <f t="shared" si="20"/>
        <v>58.955193685293644</v>
      </c>
      <c r="H37" s="94"/>
      <c r="I37" s="94"/>
      <c r="J37" s="94"/>
      <c r="K37" s="94"/>
      <c r="L37" s="94"/>
      <c r="M37" s="94"/>
      <c r="N37" s="94"/>
      <c r="O37" s="95"/>
      <c r="P37" s="95">
        <f t="shared" si="18"/>
        <v>58.955193685293644</v>
      </c>
      <c r="Q37" s="92"/>
      <c r="R37" s="92"/>
      <c r="S37" s="92"/>
      <c r="T37" s="661" t="s">
        <v>952</v>
      </c>
      <c r="U37" s="148">
        <f>SUM(U15:U20,U27)</f>
        <v>590002.39800000004</v>
      </c>
      <c r="V37" s="148">
        <f t="shared" ref="V37:AC37" si="24">SUM(V15:V20,V27)</f>
        <v>9254.2846600000012</v>
      </c>
      <c r="W37" s="148">
        <f t="shared" si="24"/>
        <v>41954.794999999998</v>
      </c>
      <c r="X37" s="148">
        <f t="shared" si="24"/>
        <v>46647.432000000001</v>
      </c>
      <c r="Y37" s="148">
        <f t="shared" si="24"/>
        <v>338.56619000000001</v>
      </c>
      <c r="Z37" s="148">
        <f t="shared" si="24"/>
        <v>9.5389999999999997</v>
      </c>
      <c r="AA37" s="148">
        <f t="shared" si="24"/>
        <v>636649.83000000007</v>
      </c>
      <c r="AB37" s="148">
        <f t="shared" si="24"/>
        <v>9592.8508500000007</v>
      </c>
      <c r="AC37" s="148">
        <f t="shared" si="24"/>
        <v>41964.334000000003</v>
      </c>
      <c r="AD37" s="140">
        <f>SUM(AA37:AC37)</f>
        <v>688207.01485000015</v>
      </c>
      <c r="AE37" s="92"/>
      <c r="AF37" s="148"/>
      <c r="AG37" s="339"/>
      <c r="AH37" s="145"/>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row>
    <row r="38" spans="1:457" ht="15.75">
      <c r="A38" s="89">
        <v>8</v>
      </c>
      <c r="B38" s="89" t="s">
        <v>387</v>
      </c>
      <c r="C38" s="101" t="str">
        <f t="shared" si="17"/>
        <v>Manufature of machine and equipment</v>
      </c>
      <c r="D38" s="281">
        <f t="shared" si="19"/>
        <v>19.773732006934061</v>
      </c>
      <c r="E38" s="281">
        <f t="shared" si="19"/>
        <v>14.683862966835878</v>
      </c>
      <c r="F38" s="281">
        <f t="shared" si="19"/>
        <v>94.430589685056972</v>
      </c>
      <c r="G38" s="280">
        <f t="shared" si="20"/>
        <v>128.8881846588269</v>
      </c>
      <c r="H38" s="94"/>
      <c r="I38" s="94"/>
      <c r="J38" s="94"/>
      <c r="K38" s="94"/>
      <c r="L38" s="94"/>
      <c r="M38" s="94"/>
      <c r="N38" s="94"/>
      <c r="O38" s="95"/>
      <c r="P38" s="95">
        <f t="shared" si="18"/>
        <v>128.8881846588269</v>
      </c>
      <c r="Q38" s="92"/>
      <c r="R38" s="92"/>
      <c r="S38" s="92"/>
      <c r="T38" s="330" t="s">
        <v>214</v>
      </c>
      <c r="U38" s="148">
        <f>U21</f>
        <v>71886.799000000014</v>
      </c>
      <c r="V38" s="148">
        <f t="shared" ref="V38:AC38" si="25">V21</f>
        <v>906.27792000000022</v>
      </c>
      <c r="W38" s="148">
        <f t="shared" si="25"/>
        <v>85005.48900000006</v>
      </c>
      <c r="X38" s="148">
        <f t="shared" si="25"/>
        <v>1294.8979999999992</v>
      </c>
      <c r="Y38" s="148">
        <f t="shared" si="25"/>
        <v>1568.2868799999999</v>
      </c>
      <c r="Z38" s="148">
        <f t="shared" si="25"/>
        <v>196.09000000000003</v>
      </c>
      <c r="AA38" s="148">
        <f t="shared" si="25"/>
        <v>73181.697000000015</v>
      </c>
      <c r="AB38" s="332">
        <f t="shared" si="25"/>
        <v>2474.5648000000001</v>
      </c>
      <c r="AC38" s="148">
        <f t="shared" si="25"/>
        <v>85201.579000000056</v>
      </c>
      <c r="AD38" s="140">
        <f t="shared" ref="AD38:AD39" si="26">SUM(AA38:AC38)</f>
        <v>160857.84080000006</v>
      </c>
      <c r="AE38" s="92"/>
      <c r="AF38" s="148"/>
      <c r="AG38" s="339"/>
      <c r="AH38" s="145"/>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row>
    <row r="39" spans="1:457" ht="15.75">
      <c r="A39" s="89">
        <v>9</v>
      </c>
      <c r="B39" s="663" t="s">
        <v>388</v>
      </c>
      <c r="C39" s="223" t="str">
        <f t="shared" si="17"/>
        <v>Extraction of oil and gas</v>
      </c>
      <c r="D39" s="281">
        <f>AA12/U$93</f>
        <v>9.5290833333333325</v>
      </c>
      <c r="E39" s="281">
        <f t="shared" ref="E39:F39" si="27">AB12/V$93</f>
        <v>181.33648030946816</v>
      </c>
      <c r="F39" s="281">
        <f t="shared" si="27"/>
        <v>5.419508385353577</v>
      </c>
      <c r="G39" s="280">
        <f t="shared" si="20"/>
        <v>196.28507202815504</v>
      </c>
      <c r="H39" s="94"/>
      <c r="I39" s="94"/>
      <c r="J39" s="94"/>
      <c r="K39" s="94"/>
      <c r="L39" s="94"/>
      <c r="M39" s="94"/>
      <c r="N39" s="94"/>
      <c r="O39" s="95"/>
      <c r="P39" s="95">
        <f t="shared" si="18"/>
        <v>196.28507202815504</v>
      </c>
      <c r="Q39" s="92"/>
      <c r="R39" s="92"/>
      <c r="S39" s="92"/>
      <c r="T39" s="330" t="s">
        <v>215</v>
      </c>
      <c r="U39" s="148">
        <f t="shared" ref="U39:AC39" si="28">U22</f>
        <v>14162.569</v>
      </c>
      <c r="V39" s="148">
        <f t="shared" si="28"/>
        <v>0</v>
      </c>
      <c r="W39" s="148">
        <f t="shared" si="28"/>
        <v>14479.469000000001</v>
      </c>
      <c r="X39" s="148">
        <f t="shared" si="28"/>
        <v>143.16899999999998</v>
      </c>
      <c r="Y39" s="148">
        <f t="shared" si="28"/>
        <v>0</v>
      </c>
      <c r="Z39" s="148">
        <f t="shared" si="28"/>
        <v>58.888999999999996</v>
      </c>
      <c r="AA39" s="148">
        <f t="shared" si="28"/>
        <v>14305.737999999999</v>
      </c>
      <c r="AB39" s="332">
        <f t="shared" si="28"/>
        <v>0</v>
      </c>
      <c r="AC39" s="148">
        <f t="shared" si="28"/>
        <v>14538.358</v>
      </c>
      <c r="AD39" s="140">
        <f t="shared" si="26"/>
        <v>28844.095999999998</v>
      </c>
      <c r="AF39" s="148"/>
      <c r="AG39" s="339"/>
      <c r="AH39" s="145"/>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row>
    <row r="40" spans="1:457">
      <c r="A40" s="89">
        <v>10</v>
      </c>
      <c r="B40" s="89" t="s">
        <v>387</v>
      </c>
      <c r="C40" s="101" t="str">
        <f t="shared" si="17"/>
        <v>Construction of buildings</v>
      </c>
      <c r="D40" s="281">
        <f t="shared" si="19"/>
        <v>82.629075106968372</v>
      </c>
      <c r="E40" s="281">
        <f t="shared" si="19"/>
        <v>11.320160035015009</v>
      </c>
      <c r="F40" s="281">
        <f t="shared" si="19"/>
        <v>5.2016149268768066</v>
      </c>
      <c r="G40" s="280">
        <f t="shared" si="20"/>
        <v>99.15085006886018</v>
      </c>
      <c r="H40" s="94"/>
      <c r="I40" s="94"/>
      <c r="J40" s="94"/>
      <c r="K40" s="94"/>
      <c r="L40" s="94"/>
      <c r="M40" s="94"/>
      <c r="N40" s="94"/>
      <c r="O40" s="95"/>
      <c r="P40" s="95">
        <f t="shared" si="18"/>
        <v>99.15085006886018</v>
      </c>
      <c r="Q40" s="92"/>
      <c r="R40" s="92"/>
      <c r="S40" s="92"/>
      <c r="T40" s="147" t="s">
        <v>388</v>
      </c>
      <c r="U40" s="148">
        <f t="shared" ref="U40:AC40" si="29">SUM(U12,U23:U24)</f>
        <v>21729.329999999998</v>
      </c>
      <c r="V40" s="148">
        <f t="shared" si="29"/>
        <v>80040.761686362894</v>
      </c>
      <c r="W40" s="148">
        <f t="shared" si="29"/>
        <v>3874.6193035470906</v>
      </c>
      <c r="X40" s="148">
        <f t="shared" si="29"/>
        <v>328447.84599999996</v>
      </c>
      <c r="Y40" s="148">
        <f t="shared" si="29"/>
        <v>68684.086583629323</v>
      </c>
      <c r="Z40" s="148">
        <f t="shared" si="29"/>
        <v>9.0058335852289435</v>
      </c>
      <c r="AA40" s="148">
        <f t="shared" si="29"/>
        <v>350177.17599999998</v>
      </c>
      <c r="AB40" s="148">
        <f t="shared" si="29"/>
        <v>148724.84826999222</v>
      </c>
      <c r="AC40" s="148">
        <f t="shared" si="29"/>
        <v>3883.6251371323192</v>
      </c>
      <c r="AD40" s="140">
        <f>SUM(AA40:AC40)</f>
        <v>502785.6494071245</v>
      </c>
      <c r="AE40" s="92"/>
      <c r="AF40" s="148"/>
      <c r="AG40" s="339"/>
      <c r="AH40" s="145"/>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row>
    <row r="41" spans="1:457">
      <c r="A41" s="89">
        <v>11</v>
      </c>
      <c r="B41" s="89" t="s">
        <v>387</v>
      </c>
      <c r="C41" s="101" t="str">
        <f t="shared" si="17"/>
        <v>Others industries</v>
      </c>
      <c r="D41" s="281">
        <f t="shared" si="19"/>
        <v>132.56108396090261</v>
      </c>
      <c r="E41" s="281">
        <f t="shared" si="19"/>
        <v>111.78913704616669</v>
      </c>
      <c r="F41" s="281">
        <f t="shared" si="19"/>
        <v>248.02517522729593</v>
      </c>
      <c r="G41" s="280">
        <f t="shared" si="20"/>
        <v>492.37539623436521</v>
      </c>
      <c r="H41" s="94"/>
      <c r="I41" s="94">
        <f>'AggrStep1-energy'!I56</f>
        <v>4.2556149999999988</v>
      </c>
      <c r="J41" s="94"/>
      <c r="K41" s="94"/>
      <c r="L41" s="94">
        <f>'AggrStep1-energy'!L56</f>
        <v>0.38100000000000001</v>
      </c>
      <c r="M41" s="94"/>
      <c r="N41" s="94"/>
      <c r="O41" s="95"/>
      <c r="P41" s="95">
        <f t="shared" si="18"/>
        <v>497.01201123436516</v>
      </c>
      <c r="Q41" s="92"/>
      <c r="R41" s="92"/>
      <c r="S41" s="92"/>
      <c r="T41" s="147" t="s">
        <v>421</v>
      </c>
      <c r="U41" s="148">
        <f t="shared" ref="U41:AC41" si="30">U25</f>
        <v>81222.350000000006</v>
      </c>
      <c r="V41" s="148">
        <f t="shared" si="30"/>
        <v>27556.933948516333</v>
      </c>
      <c r="W41" s="148">
        <f t="shared" si="30"/>
        <v>1386.096</v>
      </c>
      <c r="X41" s="148">
        <f t="shared" si="30"/>
        <v>421.95100000000002</v>
      </c>
      <c r="Y41" s="148">
        <f t="shared" si="30"/>
        <v>2622.2195695659325</v>
      </c>
      <c r="Z41" s="148">
        <f t="shared" si="30"/>
        <v>1.177</v>
      </c>
      <c r="AA41" s="148">
        <f t="shared" si="30"/>
        <v>81644.301000000007</v>
      </c>
      <c r="AB41" s="148">
        <f t="shared" si="30"/>
        <v>30179.153518082265</v>
      </c>
      <c r="AC41" s="148">
        <f t="shared" si="30"/>
        <v>1387.2729999999999</v>
      </c>
      <c r="AD41" s="140">
        <f>SUM(AA41:AC41)</f>
        <v>113210.72751808228</v>
      </c>
      <c r="AE41" s="92"/>
      <c r="AF41" s="145"/>
      <c r="AG41" s="145"/>
      <c r="AH41" s="145"/>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row>
    <row r="42" spans="1:457">
      <c r="A42" s="89">
        <v>12</v>
      </c>
      <c r="B42" s="276" t="s">
        <v>572</v>
      </c>
      <c r="C42" s="101" t="str">
        <f t="shared" si="17"/>
        <v>Air transport</v>
      </c>
      <c r="D42" s="94">
        <f>AVERAGE(A42:C42)</f>
        <v>12</v>
      </c>
      <c r="E42" s="281">
        <f t="shared" ref="E42:F42" si="31">AB15/V$89</f>
        <v>6.9984396765639265E-2</v>
      </c>
      <c r="F42" s="281">
        <f t="shared" si="31"/>
        <v>3.3984772785384849</v>
      </c>
      <c r="G42" s="280">
        <f t="shared" si="20"/>
        <v>15.468461675304123</v>
      </c>
      <c r="H42" s="94"/>
      <c r="I42" s="94"/>
      <c r="J42" s="94"/>
      <c r="K42" s="94"/>
      <c r="L42" s="94"/>
      <c r="M42" s="94"/>
      <c r="N42" s="94"/>
      <c r="O42" s="95"/>
      <c r="P42" s="95">
        <f t="shared" si="18"/>
        <v>15.468461675304123</v>
      </c>
      <c r="Q42" s="92"/>
      <c r="R42" s="92"/>
      <c r="S42" s="92"/>
      <c r="T42" s="98" t="s">
        <v>7</v>
      </c>
      <c r="U42" s="144">
        <f>SUM(U35:U41)</f>
        <v>940758.90899999999</v>
      </c>
      <c r="V42" s="144">
        <f t="shared" ref="V42:AD42" si="32">SUM(V35:V41)</f>
        <v>156004.49903354919</v>
      </c>
      <c r="W42" s="144">
        <f t="shared" si="32"/>
        <v>316043.598</v>
      </c>
      <c r="X42" s="144">
        <f t="shared" si="32"/>
        <v>390099.26499999996</v>
      </c>
      <c r="Y42" s="144">
        <f t="shared" si="32"/>
        <v>122867.91680652683</v>
      </c>
      <c r="Z42" s="144">
        <f t="shared" si="32"/>
        <v>1045.2849999999999</v>
      </c>
      <c r="AA42" s="144">
        <f t="shared" si="32"/>
        <v>1330858.1740000001</v>
      </c>
      <c r="AB42" s="144">
        <f t="shared" si="32"/>
        <v>278872.41584007605</v>
      </c>
      <c r="AC42" s="144">
        <f t="shared" si="32"/>
        <v>317088.88300000003</v>
      </c>
      <c r="AD42" s="144">
        <f t="shared" si="32"/>
        <v>1926819.4728400761</v>
      </c>
      <c r="AE42" s="92"/>
      <c r="AF42" s="92"/>
      <c r="AG42" s="92"/>
      <c r="AH42" s="145"/>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row>
    <row r="43" spans="1:457">
      <c r="A43" s="89">
        <v>13</v>
      </c>
      <c r="B43" s="219" t="s">
        <v>239</v>
      </c>
      <c r="C43" s="101" t="str">
        <f t="shared" si="17"/>
        <v>Rail transport</v>
      </c>
      <c r="D43" s="281">
        <f t="shared" ref="D43:D47" si="33">AA16/U$89</f>
        <v>30.430493290421115</v>
      </c>
      <c r="E43" s="281">
        <f t="shared" ref="E43:E47" si="34">AB16/V$89</f>
        <v>0</v>
      </c>
      <c r="F43" s="281">
        <f t="shared" ref="F43:F47" si="35">AC16/W$89</f>
        <v>0.18372097738999027</v>
      </c>
      <c r="G43" s="280">
        <f t="shared" si="20"/>
        <v>30.614214267811104</v>
      </c>
      <c r="H43" s="94"/>
      <c r="I43" s="94"/>
      <c r="J43" s="94"/>
      <c r="K43" s="94"/>
      <c r="L43" s="94"/>
      <c r="M43" s="94"/>
      <c r="N43" s="94"/>
      <c r="O43" s="95"/>
      <c r="P43" s="95">
        <f t="shared" si="18"/>
        <v>30.614214267811104</v>
      </c>
      <c r="Q43" s="92"/>
      <c r="R43" s="92"/>
      <c r="S43" s="92"/>
      <c r="AE43" s="92"/>
      <c r="AF43" s="92"/>
      <c r="AG43" s="92"/>
      <c r="AH43" s="145"/>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row>
    <row r="44" spans="1:457">
      <c r="A44" s="89">
        <v>14</v>
      </c>
      <c r="B44" s="219" t="s">
        <v>239</v>
      </c>
      <c r="C44" s="101" t="str">
        <f t="shared" si="17"/>
        <v>Water transport</v>
      </c>
      <c r="D44" s="281">
        <f t="shared" si="33"/>
        <v>4.5344243054556941</v>
      </c>
      <c r="E44" s="281">
        <f t="shared" si="34"/>
        <v>2.6564001044590401E-2</v>
      </c>
      <c r="F44" s="281">
        <f t="shared" si="35"/>
        <v>0.48645113667239415</v>
      </c>
      <c r="G44" s="280">
        <f t="shared" si="20"/>
        <v>5.0474394431726788</v>
      </c>
      <c r="H44" s="94"/>
      <c r="I44" s="94"/>
      <c r="J44" s="94"/>
      <c r="K44" s="94"/>
      <c r="L44" s="94"/>
      <c r="M44" s="94"/>
      <c r="N44" s="94"/>
      <c r="O44" s="95"/>
      <c r="P44" s="95">
        <f t="shared" si="18"/>
        <v>5.0474394431726788</v>
      </c>
      <c r="Q44" s="92"/>
      <c r="R44" s="92"/>
      <c r="S44" s="92"/>
      <c r="T44" s="632" t="s">
        <v>940</v>
      </c>
      <c r="U44" s="597">
        <f t="shared" ref="U44:AC44" si="36">U28</f>
        <v>218054.12699999998</v>
      </c>
      <c r="V44" s="597">
        <f t="shared" si="36"/>
        <v>0</v>
      </c>
      <c r="W44" s="597">
        <f t="shared" si="36"/>
        <v>44.759939941194922</v>
      </c>
      <c r="X44" s="597">
        <f t="shared" si="36"/>
        <v>11.0238</v>
      </c>
      <c r="Y44" s="597">
        <f t="shared" si="36"/>
        <v>0</v>
      </c>
      <c r="Z44" s="597">
        <f t="shared" si="36"/>
        <v>0</v>
      </c>
      <c r="AA44" s="597">
        <f t="shared" si="36"/>
        <v>218065.1508</v>
      </c>
      <c r="AB44" s="597">
        <f t="shared" si="36"/>
        <v>0</v>
      </c>
      <c r="AC44" s="597">
        <f t="shared" si="36"/>
        <v>44.759939941194922</v>
      </c>
      <c r="AD44" s="140">
        <f>SUM(AA44:AC44)</f>
        <v>218109.9107399412</v>
      </c>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row>
    <row r="45" spans="1:457">
      <c r="A45" s="89">
        <v>15</v>
      </c>
      <c r="B45" s="219" t="s">
        <v>239</v>
      </c>
      <c r="C45" s="101" t="str">
        <f t="shared" si="17"/>
        <v>Freight transport by road</v>
      </c>
      <c r="D45" s="281">
        <f t="shared" si="33"/>
        <v>415.06178319048439</v>
      </c>
      <c r="E45" s="281">
        <f t="shared" si="34"/>
        <v>0.42117086318505603</v>
      </c>
      <c r="F45" s="281">
        <f t="shared" si="35"/>
        <v>6.2554844276570671</v>
      </c>
      <c r="G45" s="280">
        <f t="shared" si="20"/>
        <v>421.73843848132651</v>
      </c>
      <c r="H45" s="94"/>
      <c r="I45" s="94"/>
      <c r="J45" s="94"/>
      <c r="K45" s="94"/>
      <c r="L45" s="94"/>
      <c r="M45" s="94"/>
      <c r="N45" s="94"/>
      <c r="O45" s="95"/>
      <c r="P45" s="95">
        <f t="shared" si="18"/>
        <v>421.73843848132651</v>
      </c>
      <c r="Q45" s="92"/>
      <c r="R45" s="92"/>
      <c r="S45" s="92"/>
      <c r="T45" s="331" t="s">
        <v>241</v>
      </c>
      <c r="U45" s="148">
        <f t="shared" ref="U45:AC45" si="37">U29</f>
        <v>145369.41800000001</v>
      </c>
      <c r="V45" s="148">
        <f t="shared" si="37"/>
        <v>9122.0974100000003</v>
      </c>
      <c r="W45" s="148">
        <f t="shared" si="37"/>
        <v>37809.973060058801</v>
      </c>
      <c r="X45" s="148">
        <f t="shared" si="37"/>
        <v>7.3492000000000006</v>
      </c>
      <c r="Y45" s="148">
        <f t="shared" si="37"/>
        <v>161.10099</v>
      </c>
      <c r="Z45" s="148">
        <f t="shared" si="37"/>
        <v>0</v>
      </c>
      <c r="AA45" s="148">
        <f t="shared" si="37"/>
        <v>145376.7672</v>
      </c>
      <c r="AB45" s="332">
        <f t="shared" si="37"/>
        <v>9283.1984000000011</v>
      </c>
      <c r="AC45" s="148">
        <f t="shared" si="37"/>
        <v>37809.973060058801</v>
      </c>
      <c r="AD45" s="140">
        <f>SUM(AA45:AC45)</f>
        <v>192469.9386600588</v>
      </c>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row>
    <row r="46" spans="1:457">
      <c r="A46" s="89">
        <v>16</v>
      </c>
      <c r="B46" s="276" t="s">
        <v>239</v>
      </c>
      <c r="C46" s="101" t="str">
        <f t="shared" si="17"/>
        <v>Passager transport by road</v>
      </c>
      <c r="D46" s="281">
        <f t="shared" si="33"/>
        <v>489.71259183402901</v>
      </c>
      <c r="E46" s="281">
        <f t="shared" si="34"/>
        <v>0.58586604329410574</v>
      </c>
      <c r="F46" s="281">
        <f t="shared" si="35"/>
        <v>8.020305445571946</v>
      </c>
      <c r="G46" s="280">
        <f t="shared" si="20"/>
        <v>498.31876332289505</v>
      </c>
      <c r="H46" s="94"/>
      <c r="I46" s="94"/>
      <c r="J46" s="94"/>
      <c r="K46" s="94"/>
      <c r="L46" s="94"/>
      <c r="M46" s="94"/>
      <c r="N46" s="94"/>
      <c r="O46" s="95"/>
      <c r="P46" s="95">
        <f t="shared" si="18"/>
        <v>498.31876332289505</v>
      </c>
      <c r="Q46" s="92"/>
      <c r="R46" s="92"/>
      <c r="S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row>
    <row r="47" spans="1:457" ht="18.75">
      <c r="A47" s="89">
        <v>17</v>
      </c>
      <c r="B47" s="219" t="s">
        <v>239</v>
      </c>
      <c r="C47" s="101" t="str">
        <f t="shared" si="17"/>
        <v>Other transports</v>
      </c>
      <c r="D47" s="281">
        <f t="shared" si="33"/>
        <v>2.4629203080262654</v>
      </c>
      <c r="E47" s="281">
        <f t="shared" si="34"/>
        <v>1.5545036562306186E-2</v>
      </c>
      <c r="F47" s="281">
        <f t="shared" si="35"/>
        <v>0.78791033766912633</v>
      </c>
      <c r="G47" s="280">
        <f t="shared" si="20"/>
        <v>3.2663756822576975</v>
      </c>
      <c r="H47" s="94"/>
      <c r="I47" s="94"/>
      <c r="J47" s="94"/>
      <c r="K47" s="94"/>
      <c r="L47" s="94"/>
      <c r="M47" s="94"/>
      <c r="N47" s="94"/>
      <c r="O47" s="95"/>
      <c r="P47" s="95">
        <f t="shared" si="18"/>
        <v>3.2663756822576975</v>
      </c>
      <c r="Q47" s="92"/>
      <c r="R47" s="92"/>
      <c r="S47" s="92"/>
      <c r="T47" s="713" t="s">
        <v>569</v>
      </c>
      <c r="U47" s="713"/>
      <c r="V47" s="713"/>
      <c r="W47" s="713"/>
      <c r="X47" s="713"/>
      <c r="Y47" s="713"/>
      <c r="Z47" s="713"/>
      <c r="AA47" s="713"/>
      <c r="AB47" s="713"/>
      <c r="AC47" s="713"/>
      <c r="AD47" s="148"/>
      <c r="AE47" s="92"/>
      <c r="AF47" s="92"/>
      <c r="AG47" s="92"/>
      <c r="AH47" s="92"/>
      <c r="AI47" s="186"/>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row>
    <row r="48" spans="1:457">
      <c r="A48" s="89">
        <v>18</v>
      </c>
      <c r="B48" s="219" t="s">
        <v>270</v>
      </c>
      <c r="C48" s="101" t="str">
        <f t="shared" si="17"/>
        <v>Business services</v>
      </c>
      <c r="D48" s="279">
        <f t="shared" ref="D48:F49" si="38">AA21/U90</f>
        <v>69.427136802081847</v>
      </c>
      <c r="E48" s="279">
        <f t="shared" si="38"/>
        <v>11.097</v>
      </c>
      <c r="F48" s="279">
        <f t="shared" si="38"/>
        <v>50.080999638307667</v>
      </c>
      <c r="G48" s="280">
        <f t="shared" si="20"/>
        <v>130.60513644038951</v>
      </c>
      <c r="H48" s="94"/>
      <c r="I48" s="94"/>
      <c r="J48" s="94"/>
      <c r="K48" s="94"/>
      <c r="L48" s="94">
        <f>'AggrStep1-energy'!L71</f>
        <v>2.819</v>
      </c>
      <c r="M48" s="94"/>
      <c r="N48" s="94"/>
      <c r="O48" s="95"/>
      <c r="P48" s="95">
        <f t="shared" si="18"/>
        <v>133.4241364403895</v>
      </c>
      <c r="Q48" s="92"/>
      <c r="R48" s="92"/>
      <c r="S48" s="92"/>
      <c r="T48" s="90"/>
      <c r="U48" s="148"/>
      <c r="V48" s="148"/>
      <c r="W48" s="148"/>
      <c r="X48" s="148"/>
      <c r="Y48" s="148"/>
      <c r="Z48" s="148"/>
      <c r="AA48" s="148"/>
      <c r="AB48" s="148"/>
      <c r="AC48" s="148"/>
      <c r="AD48" s="148"/>
      <c r="AE48" s="92"/>
      <c r="AF48" s="92"/>
      <c r="AG48" s="92"/>
      <c r="AH48" s="92"/>
      <c r="AI48" s="186"/>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row>
    <row r="49" spans="1:457">
      <c r="A49" s="89">
        <v>19</v>
      </c>
      <c r="B49" s="89" t="s">
        <v>270</v>
      </c>
      <c r="C49" s="101" t="str">
        <f t="shared" si="17"/>
        <v>Public services</v>
      </c>
      <c r="D49" s="279">
        <f t="shared" si="38"/>
        <v>25.010031468531466</v>
      </c>
      <c r="E49" s="279">
        <f t="shared" si="38"/>
        <v>0</v>
      </c>
      <c r="F49" s="279">
        <f t="shared" si="38"/>
        <v>33.427</v>
      </c>
      <c r="G49" s="280">
        <f t="shared" si="20"/>
        <v>58.437031468531465</v>
      </c>
      <c r="H49" s="94"/>
      <c r="I49" s="94"/>
      <c r="J49" s="94"/>
      <c r="K49" s="94"/>
      <c r="L49" s="94"/>
      <c r="M49" s="94"/>
      <c r="N49" s="94"/>
      <c r="O49" s="95"/>
      <c r="P49" s="95">
        <f t="shared" si="18"/>
        <v>58.437031468531465</v>
      </c>
      <c r="Q49" s="92"/>
      <c r="R49" s="92"/>
      <c r="S49" s="92"/>
      <c r="T49" s="90"/>
      <c r="U49" s="148"/>
      <c r="V49" s="148"/>
      <c r="W49" s="148"/>
      <c r="X49" s="148"/>
      <c r="Y49" s="148"/>
      <c r="Z49" s="148"/>
      <c r="AA49" s="148"/>
      <c r="AB49" s="148"/>
      <c r="AC49" s="148"/>
      <c r="AD49" s="148"/>
      <c r="AE49" s="92"/>
      <c r="AF49" s="92"/>
      <c r="AG49" s="92"/>
      <c r="AH49" s="92"/>
      <c r="AI49" s="186"/>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row>
    <row r="50" spans="1:457">
      <c r="A50" s="89">
        <v>20</v>
      </c>
      <c r="B50" s="663" t="s">
        <v>388</v>
      </c>
      <c r="C50" s="101" t="str">
        <f t="shared" si="17"/>
        <v>Manufacture of petroleum and coal products</v>
      </c>
      <c r="D50" s="281">
        <f>AA23/U$93</f>
        <v>223.90642800000001</v>
      </c>
      <c r="E50" s="281">
        <f t="shared" ref="E50:F51" si="39">AB23/V$93</f>
        <v>336.61095895720445</v>
      </c>
      <c r="F50" s="281">
        <f t="shared" si="39"/>
        <v>2.405614018581907</v>
      </c>
      <c r="G50" s="280">
        <f t="shared" si="20"/>
        <v>562.92300097578641</v>
      </c>
      <c r="H50" s="94"/>
      <c r="I50" s="94"/>
      <c r="J50" s="94"/>
      <c r="K50" s="94"/>
      <c r="L50" s="94"/>
      <c r="M50" s="94"/>
      <c r="N50" s="94"/>
      <c r="O50" s="95"/>
      <c r="P50" s="95">
        <f t="shared" si="18"/>
        <v>562.92300097578641</v>
      </c>
      <c r="Q50" s="92"/>
      <c r="R50" s="92"/>
      <c r="S50" s="92"/>
      <c r="T50" s="147"/>
      <c r="U50" s="53" t="s">
        <v>419</v>
      </c>
      <c r="V50" s="53" t="s">
        <v>384</v>
      </c>
      <c r="W50" s="53" t="s">
        <v>172</v>
      </c>
      <c r="X50" s="98"/>
      <c r="Y50" s="53" t="s">
        <v>419</v>
      </c>
      <c r="Z50" s="53" t="s">
        <v>384</v>
      </c>
      <c r="AA50" s="53" t="s">
        <v>172</v>
      </c>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row>
    <row r="51" spans="1:457" ht="15.75">
      <c r="A51" s="89">
        <v>21</v>
      </c>
      <c r="B51" s="663" t="s">
        <v>388</v>
      </c>
      <c r="C51" s="101" t="str">
        <f t="shared" si="17"/>
        <v>Gas supply by pipeline to final consumer</v>
      </c>
      <c r="D51" s="281">
        <f>AA24/U$93</f>
        <v>1.5939333333333333E-2</v>
      </c>
      <c r="E51" s="281">
        <f t="shared" si="39"/>
        <v>225.67680208328852</v>
      </c>
      <c r="F51" s="281">
        <f t="shared" si="39"/>
        <v>4.5064405431818111</v>
      </c>
      <c r="G51" s="280">
        <f t="shared" si="20"/>
        <v>230.19918195980367</v>
      </c>
      <c r="H51" s="94"/>
      <c r="I51" s="94"/>
      <c r="J51" s="94"/>
      <c r="K51" s="94"/>
      <c r="L51" s="94"/>
      <c r="M51" s="94"/>
      <c r="N51" s="94"/>
      <c r="O51" s="95"/>
      <c r="P51" s="95">
        <f t="shared" si="18"/>
        <v>230.19918195980367</v>
      </c>
      <c r="Q51" s="92"/>
      <c r="R51" s="92"/>
      <c r="S51" s="92"/>
      <c r="T51" t="s">
        <v>378</v>
      </c>
      <c r="U51" s="269">
        <v>531.90704357166999</v>
      </c>
      <c r="V51" s="269">
        <v>0</v>
      </c>
      <c r="W51" s="269">
        <v>0.23391442734934734</v>
      </c>
      <c r="X51" s="269"/>
      <c r="Y51" s="594">
        <v>0.6</v>
      </c>
      <c r="Z51" s="269">
        <f t="shared" ref="Z51:AA51" si="40">V51/V$53</f>
        <v>0</v>
      </c>
      <c r="AA51" s="269">
        <f t="shared" si="40"/>
        <v>1.1824133045977348E-3</v>
      </c>
      <c r="AB51"/>
      <c r="AC51" s="268">
        <f>U51/U53</f>
        <v>0.5936177890318427</v>
      </c>
      <c r="AD51" s="268"/>
      <c r="AE51" s="268"/>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row>
    <row r="52" spans="1:457" ht="15.75">
      <c r="A52" s="89">
        <v>22</v>
      </c>
      <c r="B52" s="219" t="s">
        <v>392</v>
      </c>
      <c r="C52" s="101" t="str">
        <f t="shared" si="17"/>
        <v>Electricity generation, trasmission and distribution</v>
      </c>
      <c r="D52" s="281">
        <f>AA25/U$94</f>
        <v>828.16699999999992</v>
      </c>
      <c r="E52" s="281">
        <f>AB25/V$94</f>
        <v>1303.69</v>
      </c>
      <c r="F52" s="281">
        <f>AC25/W$94</f>
        <v>36.530535656139875</v>
      </c>
      <c r="G52" s="280">
        <f t="shared" si="20"/>
        <v>2168.3875356561398</v>
      </c>
      <c r="H52" s="94"/>
      <c r="I52" s="94">
        <f>'AggrStep1-energy'!I90</f>
        <v>60.542000000000002</v>
      </c>
      <c r="J52" s="94"/>
      <c r="K52" s="94">
        <f>'AggrStep1-energy'!K90</f>
        <v>15.064</v>
      </c>
      <c r="L52" s="94">
        <f>'AggrStep1-energy'!L90</f>
        <v>0.36</v>
      </c>
      <c r="M52" s="94">
        <f>'AggrStep1-energy'!M90</f>
        <v>100.87700000000001</v>
      </c>
      <c r="N52" s="94">
        <f>'AggrStep1-energy'!N90</f>
        <v>131.316</v>
      </c>
      <c r="O52" s="94">
        <f>'AggrStep1-energy'!O90</f>
        <v>122.598</v>
      </c>
      <c r="P52" s="95">
        <f>G52+I52</f>
        <v>2228.9295356561397</v>
      </c>
      <c r="Q52" s="92"/>
      <c r="R52" s="92"/>
      <c r="S52" s="92"/>
      <c r="T52" t="s">
        <v>281</v>
      </c>
      <c r="U52" s="269">
        <v>364.13592110966226</v>
      </c>
      <c r="V52" s="269">
        <v>34.156922416949669</v>
      </c>
      <c r="W52" s="269">
        <v>197.59405861709018</v>
      </c>
      <c r="X52" s="269"/>
      <c r="Y52" s="594">
        <f>1-Y51</f>
        <v>0.4</v>
      </c>
      <c r="Z52" s="269">
        <f t="shared" ref="Z52:AA52" si="41">1-Z51</f>
        <v>1</v>
      </c>
      <c r="AA52" s="269">
        <f t="shared" si="41"/>
        <v>0.99881758669540222</v>
      </c>
      <c r="AB52"/>
      <c r="AC52" s="269"/>
      <c r="AD52" s="269"/>
      <c r="AE52" s="269"/>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row>
    <row r="53" spans="1:457">
      <c r="A53" s="90"/>
      <c r="B53" s="90" t="s">
        <v>537</v>
      </c>
      <c r="C53" s="102" t="str">
        <f t="shared" si="17"/>
        <v>Total sector</v>
      </c>
      <c r="D53" s="280">
        <f>SUM(D31:D52)</f>
        <v>2642.8955678656966</v>
      </c>
      <c r="E53" s="280">
        <f t="shared" ref="E53:F53" si="42">SUM(E31:E52)</f>
        <v>2652.7788189778835</v>
      </c>
      <c r="F53" s="280">
        <f t="shared" si="42"/>
        <v>719.13344784506376</v>
      </c>
      <c r="G53" s="280">
        <f t="shared" si="20"/>
        <v>6014.8078346886441</v>
      </c>
      <c r="H53" s="94"/>
      <c r="I53" s="280">
        <f>SUM(I31:I52)</f>
        <v>124.324443</v>
      </c>
      <c r="J53" s="280">
        <f t="shared" ref="J53:P53" si="43">SUM(J31:J52)</f>
        <v>0</v>
      </c>
      <c r="K53" s="280">
        <f t="shared" si="43"/>
        <v>15.064</v>
      </c>
      <c r="L53" s="280">
        <f t="shared" si="43"/>
        <v>3.56</v>
      </c>
      <c r="M53" s="280">
        <f t="shared" si="43"/>
        <v>100.87700000000001</v>
      </c>
      <c r="N53" s="280">
        <f t="shared" si="43"/>
        <v>131.316</v>
      </c>
      <c r="O53" s="280">
        <f t="shared" si="43"/>
        <v>122.598</v>
      </c>
      <c r="P53" s="397">
        <f t="shared" si="43"/>
        <v>6142.3322776886434</v>
      </c>
      <c r="Q53" s="92"/>
      <c r="R53" s="92"/>
      <c r="S53" s="92"/>
      <c r="T53" s="320" t="s">
        <v>240</v>
      </c>
      <c r="U53" s="321">
        <f>U51+U52</f>
        <v>896.04296468133225</v>
      </c>
      <c r="V53" s="321">
        <f t="shared" ref="V53:W53" si="44">V51+V52</f>
        <v>34.156922416949669</v>
      </c>
      <c r="W53" s="321">
        <f t="shared" si="44"/>
        <v>197.82797304443952</v>
      </c>
      <c r="X53" s="321"/>
      <c r="Y53" s="321">
        <f>Y51+Y52</f>
        <v>1</v>
      </c>
      <c r="Z53" s="321">
        <f t="shared" ref="Z53:AA53" si="45">Z51+Z52</f>
        <v>1</v>
      </c>
      <c r="AA53" s="321">
        <f t="shared" si="45"/>
        <v>1</v>
      </c>
      <c r="AB53" s="320"/>
      <c r="AC53" s="321"/>
      <c r="AD53" s="321"/>
      <c r="AE53" s="321"/>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row>
    <row r="54" spans="1:457">
      <c r="B54" s="219"/>
      <c r="C54" s="101"/>
      <c r="D54" s="94"/>
      <c r="E54" s="94"/>
      <c r="F54" s="94"/>
      <c r="G54" s="222"/>
      <c r="H54" s="94"/>
      <c r="I54" s="94"/>
      <c r="J54" s="94"/>
      <c r="K54" s="94"/>
      <c r="L54" s="94"/>
      <c r="M54" s="94"/>
      <c r="N54" s="94"/>
      <c r="O54" s="95"/>
      <c r="P54" s="95"/>
      <c r="Q54" s="92"/>
      <c r="R54" s="92"/>
      <c r="S54" s="92"/>
      <c r="T54" s="147"/>
      <c r="U54" s="148"/>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row>
    <row r="55" spans="1:457">
      <c r="A55" s="90"/>
      <c r="B55" s="90"/>
      <c r="C55" s="102" t="s">
        <v>240</v>
      </c>
      <c r="D55" s="94">
        <f>AA27/U$89</f>
        <v>1435.4324210909595</v>
      </c>
      <c r="E55" s="94">
        <f t="shared" ref="E55:F55" si="46">AB27/V$89</f>
        <v>33.550869659148297</v>
      </c>
      <c r="F55" s="94">
        <f t="shared" si="46"/>
        <v>176.23365039650099</v>
      </c>
      <c r="G55" s="280">
        <f>SUM(D55:F55)</f>
        <v>1645.2169411466086</v>
      </c>
      <c r="H55" s="94"/>
      <c r="I55" s="94"/>
      <c r="J55" s="94"/>
      <c r="K55" s="94"/>
      <c r="L55" s="94"/>
      <c r="M55" s="94"/>
      <c r="N55" s="94"/>
      <c r="O55" s="95"/>
      <c r="P55" s="95"/>
      <c r="Q55" s="92"/>
      <c r="R55" s="92"/>
      <c r="S55" s="92"/>
      <c r="T55" s="147"/>
      <c r="U55" s="148"/>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row>
    <row r="56" spans="1:457">
      <c r="C56" s="282" t="s">
        <v>378</v>
      </c>
      <c r="D56" s="94">
        <f>AA28/U95</f>
        <v>1453.7676719999999</v>
      </c>
      <c r="E56" s="94">
        <f>AB28/V95</f>
        <v>0</v>
      </c>
      <c r="F56" s="94">
        <f>AC28/W95</f>
        <v>0.20838101294664862</v>
      </c>
      <c r="G56" s="280">
        <f>SUM(D56:F56)</f>
        <v>1453.9760530129465</v>
      </c>
      <c r="H56" s="94"/>
      <c r="I56" s="94"/>
      <c r="J56" s="94"/>
      <c r="K56" s="94"/>
      <c r="L56" s="94"/>
      <c r="M56" s="94"/>
      <c r="N56" s="94"/>
      <c r="O56" s="95"/>
      <c r="P56" s="95">
        <f t="shared" si="18"/>
        <v>1453.9760530129465</v>
      </c>
      <c r="Q56" s="92"/>
      <c r="R56" s="92"/>
      <c r="S56" s="92"/>
      <c r="T56" s="147"/>
      <c r="U56" s="148"/>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row>
    <row r="57" spans="1:457" ht="18.75">
      <c r="C57" s="282" t="s">
        <v>281</v>
      </c>
      <c r="D57" s="94">
        <f>AA29/U92</f>
        <v>258.308876</v>
      </c>
      <c r="E57" s="94">
        <f>AB29/V92</f>
        <v>33.802999999999997</v>
      </c>
      <c r="F57" s="94">
        <f>AC29/W92</f>
        <v>191.13900000000001</v>
      </c>
      <c r="G57" s="280">
        <f>SUM(D57:F57)</f>
        <v>483.25087600000001</v>
      </c>
      <c r="H57" s="94"/>
      <c r="I57" s="94">
        <f>'AggrStep1-energy'!I72</f>
        <v>255.42239699999999</v>
      </c>
      <c r="J57" s="94"/>
      <c r="K57" s="94"/>
      <c r="L57" s="94">
        <f>'AggrStep1-energy'!L72</f>
        <v>4.0359999999999996</v>
      </c>
      <c r="M57" s="94"/>
      <c r="N57" s="94"/>
      <c r="O57" s="95"/>
      <c r="P57" s="95">
        <f t="shared" si="18"/>
        <v>742.70927299999994</v>
      </c>
      <c r="Q57" s="92"/>
      <c r="R57" s="92"/>
      <c r="S57" s="92"/>
      <c r="T57" s="713" t="s">
        <v>538</v>
      </c>
      <c r="U57" s="713"/>
      <c r="V57" s="713"/>
      <c r="W57" s="713"/>
      <c r="X57" s="713"/>
      <c r="Y57" s="713"/>
      <c r="Z57" s="713"/>
      <c r="AA57" s="713"/>
      <c r="AB57" s="713"/>
      <c r="AC57" s="713"/>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row>
    <row r="58" spans="1:457">
      <c r="C58" s="101"/>
      <c r="D58" s="94"/>
      <c r="E58" s="94"/>
      <c r="F58" s="94"/>
      <c r="G58" s="94"/>
      <c r="H58" s="94"/>
      <c r="I58" s="94"/>
      <c r="J58" s="94"/>
      <c r="K58" s="94"/>
      <c r="L58" s="94"/>
      <c r="M58" s="94"/>
      <c r="N58" s="94"/>
      <c r="O58" s="95"/>
      <c r="P58" s="95"/>
      <c r="Q58" s="92"/>
      <c r="R58" s="92"/>
      <c r="S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row>
    <row r="59" spans="1:457" ht="26.25">
      <c r="C59" s="102" t="s">
        <v>546</v>
      </c>
      <c r="D59" s="94">
        <f>D53+D56+D57</f>
        <v>4354.9721158656967</v>
      </c>
      <c r="E59" s="94">
        <f t="shared" ref="E59:G59" si="47">E53+E56+E57</f>
        <v>2686.5818189778834</v>
      </c>
      <c r="F59" s="396">
        <f t="shared" si="47"/>
        <v>910.48082885801045</v>
      </c>
      <c r="G59" s="395">
        <f t="shared" si="47"/>
        <v>7952.0347637015911</v>
      </c>
      <c r="H59" s="94"/>
      <c r="I59" s="95">
        <f>I53+I56+I57</f>
        <v>379.74684000000002</v>
      </c>
      <c r="J59" s="95">
        <f t="shared" ref="J59:O59" si="48">J53+J56+J57</f>
        <v>0</v>
      </c>
      <c r="K59" s="95">
        <f t="shared" si="48"/>
        <v>15.064</v>
      </c>
      <c r="L59" s="95">
        <f t="shared" si="48"/>
        <v>7.5960000000000001</v>
      </c>
      <c r="M59" s="95">
        <f t="shared" si="48"/>
        <v>100.87700000000001</v>
      </c>
      <c r="N59" s="95">
        <f t="shared" si="48"/>
        <v>131.316</v>
      </c>
      <c r="O59" s="95">
        <f t="shared" si="48"/>
        <v>122.598</v>
      </c>
      <c r="P59" s="95">
        <f>P53+P56+P57</f>
        <v>8339.0176037015899</v>
      </c>
      <c r="Q59" s="95"/>
      <c r="R59" s="92"/>
      <c r="S59" s="92"/>
      <c r="T59" s="183" t="s">
        <v>526</v>
      </c>
      <c r="U59" s="183" t="s">
        <v>527</v>
      </c>
      <c r="V59" s="183" t="s">
        <v>528</v>
      </c>
      <c r="W59" s="183" t="s">
        <v>532</v>
      </c>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row>
    <row r="60" spans="1:457">
      <c r="C60" s="101"/>
      <c r="D60" s="94"/>
      <c r="E60" s="94"/>
      <c r="F60" s="94"/>
      <c r="G60" s="94"/>
      <c r="H60" s="94"/>
      <c r="I60" s="94"/>
      <c r="J60" s="94"/>
      <c r="K60" s="94"/>
      <c r="L60" s="94"/>
      <c r="M60" s="94"/>
      <c r="N60" s="94"/>
      <c r="O60" s="95"/>
      <c r="P60" s="101"/>
      <c r="Q60" s="92"/>
      <c r="R60" s="92"/>
      <c r="S60" s="92"/>
      <c r="T60" s="184" t="s">
        <v>529</v>
      </c>
      <c r="U60" s="184">
        <v>2017</v>
      </c>
      <c r="V60" s="184" t="s">
        <v>530</v>
      </c>
      <c r="W60" s="185">
        <v>73.227099999999993</v>
      </c>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row>
    <row r="61" spans="1:457" ht="30">
      <c r="B61" s="283"/>
      <c r="C61" s="284" t="s">
        <v>0</v>
      </c>
      <c r="D61" s="220" t="s">
        <v>383</v>
      </c>
      <c r="E61" s="220" t="s">
        <v>384</v>
      </c>
      <c r="F61" s="221" t="s">
        <v>172</v>
      </c>
      <c r="G61" s="221" t="s">
        <v>560</v>
      </c>
      <c r="H61" s="149"/>
      <c r="I61" s="149" t="s">
        <v>386</v>
      </c>
      <c r="J61" s="149" t="s">
        <v>385</v>
      </c>
      <c r="K61" s="149" t="s">
        <v>219</v>
      </c>
      <c r="L61" s="149" t="s">
        <v>11</v>
      </c>
      <c r="M61" s="149" t="s">
        <v>218</v>
      </c>
      <c r="N61" s="149" t="s">
        <v>171</v>
      </c>
      <c r="O61" s="149" t="s">
        <v>187</v>
      </c>
      <c r="P61" s="224" t="s">
        <v>7</v>
      </c>
      <c r="Q61" s="92"/>
      <c r="R61" s="92"/>
      <c r="S61" s="92"/>
      <c r="T61" s="184" t="s">
        <v>534</v>
      </c>
      <c r="U61" s="184">
        <v>2017</v>
      </c>
      <c r="V61" s="184" t="s">
        <v>531</v>
      </c>
      <c r="W61" s="185">
        <v>481.25633586548514</v>
      </c>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row>
    <row r="62" spans="1:457">
      <c r="C62" s="267" t="s">
        <v>226</v>
      </c>
      <c r="D62" s="94">
        <f>D31+D32</f>
        <v>121.58713299999999</v>
      </c>
      <c r="E62" s="94">
        <f t="shared" ref="E62:F62" si="49">E31+E32</f>
        <v>6.5447287070636406E-2</v>
      </c>
      <c r="F62" s="94">
        <f t="shared" si="49"/>
        <v>37.028000000000006</v>
      </c>
      <c r="G62" s="280">
        <f t="shared" ref="G62:G71" si="50">SUM(D62:F62)</f>
        <v>158.68058028707065</v>
      </c>
      <c r="H62" s="94"/>
      <c r="I62" s="94">
        <f>'AggrStep1-energy'!I94</f>
        <v>0</v>
      </c>
      <c r="J62" s="94">
        <f>'AggrStep1-energy'!J94</f>
        <v>0</v>
      </c>
      <c r="K62" s="94">
        <f>'AggrStep1-energy'!K94</f>
        <v>0</v>
      </c>
      <c r="L62" s="94">
        <f>'AggrStep1-energy'!L94</f>
        <v>0</v>
      </c>
      <c r="M62" s="94">
        <f>'AggrStep1-energy'!M94</f>
        <v>0</v>
      </c>
      <c r="N62" s="94">
        <f>'AggrStep1-energy'!N94</f>
        <v>0</v>
      </c>
      <c r="O62" s="94">
        <f>'AggrStep1-energy'!O94</f>
        <v>0</v>
      </c>
      <c r="P62" s="102">
        <f>SUM(G62,I62:O62)</f>
        <v>158.68058028707065</v>
      </c>
      <c r="Q62" s="92"/>
      <c r="R62" s="92"/>
      <c r="S62" s="92"/>
      <c r="T62" s="184" t="s">
        <v>533</v>
      </c>
      <c r="U62" s="184">
        <v>2017</v>
      </c>
      <c r="V62" s="184" t="s">
        <v>531</v>
      </c>
      <c r="W62" s="185">
        <v>535.15942793952775</v>
      </c>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row>
    <row r="63" spans="1:457">
      <c r="C63" s="267" t="s">
        <v>387</v>
      </c>
      <c r="D63" s="94">
        <f>SUM(D33:D38,D40:D41)</f>
        <v>411.05060300000002</v>
      </c>
      <c r="E63" s="94">
        <f t="shared" ref="E63:F63" si="51">SUM(E33:E38,E40:E41)</f>
        <v>593.18299999999999</v>
      </c>
      <c r="F63" s="94">
        <f t="shared" si="51"/>
        <v>530.60299999999995</v>
      </c>
      <c r="G63" s="280">
        <f t="shared" si="50"/>
        <v>1534.836603</v>
      </c>
      <c r="H63" s="94"/>
      <c r="I63" s="94">
        <f>'AggrStep1-energy'!I95</f>
        <v>63.782443000000001</v>
      </c>
      <c r="J63" s="94">
        <f>'AggrStep1-energy'!J95</f>
        <v>0</v>
      </c>
      <c r="K63" s="94">
        <f>'AggrStep1-energy'!K95</f>
        <v>0</v>
      </c>
      <c r="L63" s="94">
        <f>'AggrStep1-energy'!L95</f>
        <v>0.38100000000000001</v>
      </c>
      <c r="M63" s="94">
        <f>'AggrStep1-energy'!M95</f>
        <v>0</v>
      </c>
      <c r="N63" s="94">
        <f>'AggrStep1-energy'!N95</f>
        <v>0</v>
      </c>
      <c r="O63" s="94">
        <f>'AggrStep1-energy'!O95</f>
        <v>0</v>
      </c>
      <c r="P63" s="102">
        <f t="shared" ref="P63:P67" si="52">SUM(G63,I63:O63)</f>
        <v>1599.0000460000001</v>
      </c>
      <c r="Q63" s="92"/>
      <c r="R63" s="92"/>
      <c r="S63" s="92"/>
      <c r="T63" s="184" t="s">
        <v>3</v>
      </c>
      <c r="U63" s="184">
        <v>2017</v>
      </c>
      <c r="V63" s="184" t="s">
        <v>531</v>
      </c>
      <c r="W63" s="185">
        <v>463.84352633049798</v>
      </c>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row>
    <row r="64" spans="1:457">
      <c r="C64" s="226" t="s">
        <v>570</v>
      </c>
      <c r="D64" s="94">
        <f>SUM(D42:D47,D56)</f>
        <v>2407.9698849284164</v>
      </c>
      <c r="E64" s="94">
        <f t="shared" ref="E64" si="53">SUM(E42:E47,E56)</f>
        <v>1.1191303408516975</v>
      </c>
      <c r="F64" s="94">
        <f>SUM(F42:F47,F56)</f>
        <v>19.340730616445658</v>
      </c>
      <c r="G64" s="280">
        <f t="shared" si="50"/>
        <v>2428.4297458857141</v>
      </c>
      <c r="H64" s="94"/>
      <c r="I64" s="94">
        <f>'AggrStep1-energy'!I96</f>
        <v>0</v>
      </c>
      <c r="J64" s="94">
        <f>'AggrStep1-energy'!J96</f>
        <v>0</v>
      </c>
      <c r="K64" s="94">
        <f>'AggrStep1-energy'!K96</f>
        <v>0</v>
      </c>
      <c r="L64" s="94">
        <f>'AggrStep1-energy'!L96</f>
        <v>0</v>
      </c>
      <c r="M64" s="94">
        <f>'AggrStep1-energy'!M96</f>
        <v>0</v>
      </c>
      <c r="N64" s="94">
        <f>'AggrStep1-energy'!N96</f>
        <v>0</v>
      </c>
      <c r="O64" s="94">
        <f>'AggrStep1-energy'!O96</f>
        <v>0</v>
      </c>
      <c r="P64" s="102">
        <f t="shared" si="52"/>
        <v>2428.4297458857141</v>
      </c>
      <c r="Q64" s="92"/>
      <c r="R64" s="92"/>
      <c r="S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row>
    <row r="65" spans="2:457" ht="15.75">
      <c r="C65" s="66" t="s">
        <v>214</v>
      </c>
      <c r="D65" s="94">
        <f>D48</f>
        <v>69.427136802081847</v>
      </c>
      <c r="E65" s="94">
        <f t="shared" ref="E65:F66" si="54">E48</f>
        <v>11.097</v>
      </c>
      <c r="F65" s="94">
        <f t="shared" si="54"/>
        <v>50.080999638307667</v>
      </c>
      <c r="G65" s="280">
        <f>SUM(D65:F65)</f>
        <v>130.60513644038951</v>
      </c>
      <c r="H65" s="94"/>
      <c r="I65" s="94">
        <f>'AggrStep1-energy'!I97</f>
        <v>0</v>
      </c>
      <c r="J65" s="94">
        <f>'AggrStep1-energy'!J97</f>
        <v>0</v>
      </c>
      <c r="K65" s="94">
        <f>'AggrStep1-energy'!K97</f>
        <v>0</v>
      </c>
      <c r="L65" s="94">
        <f>'AggrStep1-energy'!L97</f>
        <v>2.819</v>
      </c>
      <c r="M65" s="94">
        <f>'AggrStep1-energy'!M97</f>
        <v>0</v>
      </c>
      <c r="N65" s="94">
        <f>'AggrStep1-energy'!N97</f>
        <v>0</v>
      </c>
      <c r="O65" s="94">
        <f>'AggrStep1-energy'!O97</f>
        <v>0</v>
      </c>
      <c r="P65" s="102">
        <f t="shared" si="52"/>
        <v>133.4241364403895</v>
      </c>
      <c r="Q65" s="92"/>
      <c r="R65" s="92"/>
      <c r="S65" s="92"/>
      <c r="T65" s="182" t="s">
        <v>535</v>
      </c>
      <c r="U65" s="182"/>
      <c r="V65" s="182"/>
      <c r="W65" s="182"/>
      <c r="X65" s="182"/>
      <c r="Y65" s="182"/>
      <c r="Z65" s="18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row>
    <row r="66" spans="2:457" ht="15.75">
      <c r="C66" s="66" t="s">
        <v>215</v>
      </c>
      <c r="D66" s="94">
        <f>D49</f>
        <v>25.010031468531466</v>
      </c>
      <c r="E66" s="94">
        <f t="shared" si="54"/>
        <v>0</v>
      </c>
      <c r="F66" s="94">
        <f t="shared" si="54"/>
        <v>33.427</v>
      </c>
      <c r="G66" s="280">
        <f t="shared" ref="G66:G67" si="55">SUM(D66:F66)</f>
        <v>58.437031468531465</v>
      </c>
      <c r="H66" s="94"/>
      <c r="I66" s="94">
        <f>'AggrStep1-energy'!I98</f>
        <v>0</v>
      </c>
      <c r="J66" s="94">
        <f>'AggrStep1-energy'!J98</f>
        <v>0</v>
      </c>
      <c r="K66" s="94">
        <f>'AggrStep1-energy'!K98</f>
        <v>0</v>
      </c>
      <c r="L66" s="94">
        <f>'AggrStep1-energy'!L98</f>
        <v>0</v>
      </c>
      <c r="M66" s="94">
        <f>'AggrStep1-energy'!M98</f>
        <v>0</v>
      </c>
      <c r="N66" s="94">
        <f>'AggrStep1-energy'!N98</f>
        <v>0</v>
      </c>
      <c r="O66" s="94">
        <f>'AggrStep1-energy'!O98</f>
        <v>0</v>
      </c>
      <c r="P66" s="102">
        <f t="shared" si="52"/>
        <v>58.437031468531465</v>
      </c>
      <c r="Q66" s="92"/>
      <c r="R66" s="92"/>
      <c r="S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row>
    <row r="67" spans="2:457" ht="24.75">
      <c r="C67" s="276" t="s">
        <v>241</v>
      </c>
      <c r="D67" s="94">
        <f>D57</f>
        <v>258.308876</v>
      </c>
      <c r="E67" s="94">
        <f t="shared" ref="E67:F67" si="56">E57</f>
        <v>33.802999999999997</v>
      </c>
      <c r="F67" s="94">
        <f t="shared" si="56"/>
        <v>191.13900000000001</v>
      </c>
      <c r="G67" s="280">
        <f t="shared" si="55"/>
        <v>483.25087600000001</v>
      </c>
      <c r="H67" s="94"/>
      <c r="I67" s="94">
        <f>'AggrStep1-energy'!I99</f>
        <v>255.42239699999999</v>
      </c>
      <c r="J67" s="94">
        <f>'AggrStep1-energy'!J99</f>
        <v>0</v>
      </c>
      <c r="K67" s="94">
        <f>'AggrStep1-energy'!K99</f>
        <v>0</v>
      </c>
      <c r="L67" s="94">
        <f>'AggrStep1-energy'!L99</f>
        <v>4.0359999999999996</v>
      </c>
      <c r="M67" s="94">
        <f>'AggrStep1-energy'!M99</f>
        <v>0</v>
      </c>
      <c r="N67" s="94">
        <f>'AggrStep1-energy'!N99</f>
        <v>0</v>
      </c>
      <c r="O67" s="94">
        <f>'AggrStep1-energy'!O99</f>
        <v>0</v>
      </c>
      <c r="P67" s="102">
        <f t="shared" si="52"/>
        <v>742.70927299999994</v>
      </c>
      <c r="Q67" s="92"/>
      <c r="R67" s="92"/>
      <c r="S67" s="92"/>
      <c r="U67" s="368" t="s">
        <v>589</v>
      </c>
      <c r="V67" s="369" t="s">
        <v>587</v>
      </c>
      <c r="W67" s="285"/>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row>
    <row r="68" spans="2:457">
      <c r="C68" s="51" t="s">
        <v>586</v>
      </c>
      <c r="D68" s="95">
        <f>SUM(D62:D67)</f>
        <v>3293.3536651990298</v>
      </c>
      <c r="E68" s="95">
        <f t="shared" ref="E68" si="57">SUM(E62:E67)</f>
        <v>639.26757762792226</v>
      </c>
      <c r="F68" s="395">
        <f>SUM(F62:F67)</f>
        <v>861.61873025475325</v>
      </c>
      <c r="G68" s="395">
        <f>SUM(G62:G67)</f>
        <v>4794.2399730817051</v>
      </c>
      <c r="H68" s="94"/>
      <c r="I68" s="95">
        <f>SUM(I62:I67)</f>
        <v>319.20483999999999</v>
      </c>
      <c r="J68" s="95">
        <f t="shared" ref="J68:O68" si="58">SUM(J62:J67)</f>
        <v>0</v>
      </c>
      <c r="K68" s="95">
        <f t="shared" si="58"/>
        <v>0</v>
      </c>
      <c r="L68" s="95">
        <f t="shared" si="58"/>
        <v>7.2359999999999998</v>
      </c>
      <c r="M68" s="95">
        <f t="shared" si="58"/>
        <v>0</v>
      </c>
      <c r="N68" s="95">
        <f t="shared" si="58"/>
        <v>0</v>
      </c>
      <c r="O68" s="95">
        <f t="shared" si="58"/>
        <v>0</v>
      </c>
      <c r="P68" s="95">
        <f>SUM(P62:P67)</f>
        <v>5120.6808130817062</v>
      </c>
      <c r="Q68" s="92"/>
      <c r="R68" s="92"/>
      <c r="S68" s="92"/>
      <c r="T68" s="286" t="s">
        <v>575</v>
      </c>
      <c r="U68" s="303">
        <v>152.69999999999999</v>
      </c>
      <c r="V68" s="304">
        <f>U68*$X$81</f>
        <v>424.16666666666663</v>
      </c>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row>
    <row r="69" spans="2:457">
      <c r="C69" s="51"/>
      <c r="D69" s="94"/>
      <c r="E69" s="94"/>
      <c r="F69" s="94"/>
      <c r="G69" s="94"/>
      <c r="H69" s="94"/>
      <c r="I69" s="94"/>
      <c r="J69" s="94"/>
      <c r="K69" s="94"/>
      <c r="L69" s="94"/>
      <c r="M69" s="94"/>
      <c r="N69" s="94"/>
      <c r="O69" s="95"/>
      <c r="P69" s="102"/>
      <c r="Q69" s="92"/>
      <c r="R69" s="92"/>
      <c r="S69" s="92"/>
      <c r="T69" s="287" t="s">
        <v>576</v>
      </c>
      <c r="U69" s="303">
        <v>116</v>
      </c>
      <c r="V69" s="304">
        <f t="shared" ref="V69:V75" si="59">U69*$X$81</f>
        <v>322.22222222222223</v>
      </c>
      <c r="Z69" s="276"/>
      <c r="AA69" s="302"/>
      <c r="AB69" s="276"/>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row>
    <row r="70" spans="2:457">
      <c r="C70" s="267" t="s">
        <v>388</v>
      </c>
      <c r="D70" s="94">
        <f>SUM(D39,D50:D51)</f>
        <v>233.45145066666669</v>
      </c>
      <c r="E70" s="94">
        <f t="shared" ref="E70:F70" si="60">SUM(E39,E50:E51)</f>
        <v>743.62424134996115</v>
      </c>
      <c r="F70" s="94">
        <f t="shared" si="60"/>
        <v>12.331562947117295</v>
      </c>
      <c r="G70" s="280">
        <f t="shared" si="50"/>
        <v>989.40725496374512</v>
      </c>
      <c r="H70" s="94"/>
      <c r="I70" s="94">
        <f>'AggrStep1-energy'!I102</f>
        <v>0</v>
      </c>
      <c r="J70" s="94">
        <f>'AggrStep1-energy'!J102</f>
        <v>0</v>
      </c>
      <c r="K70" s="94">
        <f>'AggrStep1-energy'!K102</f>
        <v>0</v>
      </c>
      <c r="L70" s="94">
        <f>'AggrStep1-energy'!L102</f>
        <v>0</v>
      </c>
      <c r="M70" s="94">
        <f>'AggrStep1-energy'!M102</f>
        <v>0</v>
      </c>
      <c r="N70" s="94">
        <f>'AggrStep1-energy'!N102</f>
        <v>0</v>
      </c>
      <c r="O70" s="94">
        <f>'AggrStep1-energy'!O102</f>
        <v>0</v>
      </c>
      <c r="P70" s="102">
        <f>SUM(G70,I70:O70)</f>
        <v>989.40725496374512</v>
      </c>
      <c r="Q70" s="92"/>
      <c r="R70" s="92"/>
      <c r="S70" s="92"/>
      <c r="T70" s="287" t="s">
        <v>398</v>
      </c>
      <c r="U70" s="303">
        <v>225.9</v>
      </c>
      <c r="V70" s="304">
        <f t="shared" si="59"/>
        <v>627.5</v>
      </c>
      <c r="Y70" s="298"/>
      <c r="Z70" s="276"/>
      <c r="AA70" s="302"/>
      <c r="AB70" s="276"/>
      <c r="AC70" s="297"/>
      <c r="AD70" s="297"/>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2"/>
      <c r="EN70" s="92"/>
      <c r="EO70" s="92"/>
      <c r="EP70" s="92"/>
      <c r="EQ70" s="92"/>
      <c r="ER70" s="92"/>
      <c r="ES70" s="92"/>
      <c r="ET70" s="92"/>
      <c r="EU70" s="92"/>
      <c r="EV70" s="92"/>
      <c r="EW70" s="92"/>
      <c r="EX70" s="92"/>
      <c r="EY70" s="92"/>
      <c r="EZ70" s="92"/>
      <c r="FA70" s="92"/>
      <c r="FB70" s="92"/>
      <c r="FC70" s="92"/>
      <c r="FD70" s="92"/>
      <c r="FE70" s="92"/>
      <c r="FF70" s="92"/>
      <c r="FG70" s="92"/>
      <c r="FH70" s="92"/>
      <c r="FI70" s="92"/>
      <c r="FJ70" s="92"/>
      <c r="FK70" s="92"/>
      <c r="FL70" s="92"/>
      <c r="FM70" s="92"/>
      <c r="FN70" s="92"/>
      <c r="FO70" s="92"/>
      <c r="FP70" s="92"/>
      <c r="FQ70" s="92"/>
      <c r="FR70" s="92"/>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c r="IX70" s="92"/>
      <c r="IY70" s="92"/>
      <c r="IZ70" s="92"/>
      <c r="JA70" s="92"/>
      <c r="JB70" s="92"/>
      <c r="JC70" s="92"/>
      <c r="JD70" s="92"/>
      <c r="JE70" s="92"/>
      <c r="JF70" s="92"/>
      <c r="JG70" s="92"/>
      <c r="JH70" s="92"/>
      <c r="JI70" s="92"/>
      <c r="JJ70" s="92"/>
      <c r="JK70" s="92"/>
      <c r="JL70" s="92"/>
      <c r="JM70" s="92"/>
      <c r="JN70" s="92"/>
      <c r="JO70" s="92"/>
      <c r="JP70" s="92"/>
      <c r="JQ70" s="92"/>
      <c r="JR70" s="92"/>
      <c r="JS70" s="92"/>
      <c r="JT70" s="92"/>
      <c r="JU70" s="92"/>
      <c r="JV70" s="92"/>
      <c r="JW70" s="92"/>
      <c r="JX70" s="92"/>
      <c r="JY70" s="92"/>
      <c r="JZ70" s="92"/>
      <c r="KA70" s="92"/>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2"/>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2"/>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2"/>
      <c r="MY70" s="92"/>
      <c r="MZ70" s="92"/>
      <c r="NA70" s="92"/>
      <c r="NB70" s="92"/>
      <c r="NC70" s="92"/>
      <c r="ND70" s="92"/>
      <c r="NE70" s="92"/>
      <c r="NF70" s="92"/>
      <c r="NG70" s="92"/>
      <c r="NH70" s="92"/>
      <c r="NI70" s="92"/>
      <c r="NJ70" s="92"/>
      <c r="NK70" s="92"/>
      <c r="NL70" s="92"/>
      <c r="NM70" s="92"/>
      <c r="NN70" s="92"/>
      <c r="NO70" s="92"/>
      <c r="NP70" s="92"/>
      <c r="NQ70" s="92"/>
      <c r="NR70" s="92"/>
      <c r="NS70" s="92"/>
      <c r="NT70" s="92"/>
      <c r="NU70" s="92"/>
      <c r="NV70" s="92"/>
      <c r="NW70" s="92"/>
      <c r="NX70" s="92"/>
      <c r="NY70" s="92"/>
      <c r="NZ70" s="92"/>
      <c r="OA70" s="92"/>
      <c r="OB70" s="92"/>
      <c r="OC70" s="92"/>
      <c r="OD70" s="92"/>
      <c r="OE70" s="92"/>
      <c r="OF70" s="92"/>
      <c r="OG70" s="92"/>
      <c r="OH70" s="92"/>
      <c r="OI70" s="92"/>
      <c r="OJ70" s="92"/>
      <c r="OK70" s="92"/>
      <c r="OL70" s="92"/>
      <c r="OM70" s="92"/>
      <c r="ON70" s="92"/>
      <c r="OO70" s="92"/>
      <c r="OP70" s="92"/>
      <c r="OQ70" s="92"/>
      <c r="OR70" s="92"/>
      <c r="OS70" s="92"/>
      <c r="OT70" s="92"/>
      <c r="OU70" s="92"/>
      <c r="OV70" s="92"/>
      <c r="OW70" s="92"/>
      <c r="OX70" s="92"/>
      <c r="OY70" s="92"/>
      <c r="OZ70" s="92"/>
      <c r="PA70" s="92"/>
      <c r="PB70" s="92"/>
      <c r="PC70" s="92"/>
      <c r="PD70" s="92"/>
      <c r="PE70" s="92"/>
      <c r="PF70" s="92"/>
      <c r="PG70" s="92"/>
      <c r="PH70" s="92"/>
      <c r="PI70" s="92"/>
      <c r="PJ70" s="92"/>
      <c r="PK70" s="92"/>
      <c r="PL70" s="92"/>
      <c r="PM70" s="92"/>
      <c r="PN70" s="92"/>
      <c r="PO70" s="92"/>
      <c r="PP70" s="92"/>
      <c r="PQ70" s="92"/>
      <c r="PR70" s="92"/>
      <c r="PS70" s="92"/>
      <c r="PT70" s="92"/>
      <c r="PU70" s="92"/>
      <c r="PV70" s="92"/>
      <c r="PW70" s="92"/>
      <c r="PX70" s="92"/>
      <c r="PY70" s="92"/>
      <c r="PZ70" s="92"/>
      <c r="QA70" s="92"/>
      <c r="QB70" s="92"/>
      <c r="QC70" s="92"/>
      <c r="QD70" s="92"/>
      <c r="QE70" s="92"/>
      <c r="QF70" s="92"/>
      <c r="QG70" s="92"/>
      <c r="QH70" s="92"/>
      <c r="QI70" s="92"/>
      <c r="QJ70" s="92"/>
      <c r="QK70" s="92"/>
      <c r="QL70" s="92"/>
      <c r="QM70" s="92"/>
      <c r="QN70" s="92"/>
      <c r="QO70" s="92"/>
    </row>
    <row r="71" spans="2:457">
      <c r="C71" s="267" t="s">
        <v>574</v>
      </c>
      <c r="D71" s="94">
        <f>D52</f>
        <v>828.16699999999992</v>
      </c>
      <c r="E71" s="94">
        <f t="shared" ref="E71" si="61">E52</f>
        <v>1303.69</v>
      </c>
      <c r="F71" s="94">
        <f>F52</f>
        <v>36.530535656139875</v>
      </c>
      <c r="G71" s="280">
        <f t="shared" si="50"/>
        <v>2168.3875356561398</v>
      </c>
      <c r="H71" s="94"/>
      <c r="I71" s="94">
        <f>'AggrStep1-energy'!I103</f>
        <v>60.542000000000002</v>
      </c>
      <c r="J71" s="94">
        <f>'AggrStep1-energy'!J103</f>
        <v>0</v>
      </c>
      <c r="K71" s="94">
        <f>'AggrStep1-energy'!K103</f>
        <v>15.064</v>
      </c>
      <c r="L71" s="94">
        <f>'AggrStep1-energy'!L103</f>
        <v>0.36</v>
      </c>
      <c r="M71" s="94">
        <f>'AggrStep1-energy'!M103</f>
        <v>100.87700000000001</v>
      </c>
      <c r="N71" s="94">
        <f>'AggrStep1-energy'!N103</f>
        <v>131.316</v>
      </c>
      <c r="O71" s="94">
        <f>'AggrStep1-energy'!O103</f>
        <v>122.598</v>
      </c>
      <c r="P71" s="102">
        <f>G71+I71</f>
        <v>2228.9295356561397</v>
      </c>
      <c r="Q71" s="92"/>
      <c r="R71" s="92"/>
      <c r="S71" s="92"/>
      <c r="T71" s="287" t="s">
        <v>577</v>
      </c>
      <c r="U71" s="303">
        <v>294.60000000000002</v>
      </c>
      <c r="V71" s="304">
        <f t="shared" si="59"/>
        <v>818.33333333333337</v>
      </c>
      <c r="Z71" s="276"/>
      <c r="AA71" s="30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row>
    <row r="72" spans="2:457">
      <c r="C72" s="267"/>
      <c r="D72" s="94"/>
      <c r="E72" s="94"/>
      <c r="F72" s="94"/>
      <c r="G72" s="94"/>
      <c r="H72" s="94"/>
      <c r="I72" s="94"/>
      <c r="J72" s="94"/>
      <c r="K72" s="94"/>
      <c r="L72" s="94"/>
      <c r="M72" s="94"/>
      <c r="N72" s="94"/>
      <c r="O72" s="95"/>
      <c r="P72" s="102"/>
      <c r="Q72" s="92"/>
      <c r="R72" s="92"/>
      <c r="S72" s="92"/>
      <c r="T72" s="287" t="s">
        <v>578</v>
      </c>
      <c r="U72" s="303">
        <v>53.7</v>
      </c>
      <c r="V72" s="304">
        <f t="shared" si="59"/>
        <v>149.16666666666666</v>
      </c>
      <c r="Z72" s="276"/>
      <c r="AA72" s="30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row>
    <row r="73" spans="2:457">
      <c r="C73" s="51" t="s">
        <v>546</v>
      </c>
      <c r="D73" s="95">
        <f>D68+D70+D71</f>
        <v>4354.9721158656957</v>
      </c>
      <c r="E73" s="95">
        <f t="shared" ref="E73" si="62">E68+E70+E71</f>
        <v>2686.5818189778834</v>
      </c>
      <c r="F73" s="95">
        <f>F68+F70+F71</f>
        <v>910.48082885801045</v>
      </c>
      <c r="G73" s="280">
        <f>SUM(D73:F73)</f>
        <v>7952.0347637015902</v>
      </c>
      <c r="H73" s="94"/>
      <c r="I73" s="95">
        <f>I68+I70+I71</f>
        <v>379.74684000000002</v>
      </c>
      <c r="J73" s="95">
        <f t="shared" ref="J73:P73" si="63">J68+J70+J71</f>
        <v>0</v>
      </c>
      <c r="K73" s="95">
        <f t="shared" si="63"/>
        <v>15.064</v>
      </c>
      <c r="L73" s="95">
        <f t="shared" si="63"/>
        <v>7.5960000000000001</v>
      </c>
      <c r="M73" s="95">
        <f t="shared" si="63"/>
        <v>100.87700000000001</v>
      </c>
      <c r="N73" s="95">
        <f t="shared" si="63"/>
        <v>131.316</v>
      </c>
      <c r="O73" s="95">
        <f t="shared" si="63"/>
        <v>122.598</v>
      </c>
      <c r="P73" s="95">
        <f t="shared" si="63"/>
        <v>8339.0176037015917</v>
      </c>
      <c r="Q73" s="92"/>
      <c r="R73" s="92"/>
      <c r="S73" s="92"/>
      <c r="T73" s="286" t="s">
        <v>579</v>
      </c>
      <c r="U73" s="303">
        <v>155.19999999999999</v>
      </c>
      <c r="V73" s="304">
        <f t="shared" si="59"/>
        <v>431.11111111111109</v>
      </c>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row>
    <row r="74" spans="2:457">
      <c r="D74" s="94"/>
      <c r="E74" s="94"/>
      <c r="F74" s="94"/>
      <c r="G74" s="94"/>
      <c r="H74" s="94"/>
      <c r="I74" s="94"/>
      <c r="J74" s="94"/>
      <c r="K74" s="94"/>
      <c r="L74" s="94"/>
      <c r="M74" s="94"/>
      <c r="N74" s="94"/>
      <c r="O74" s="95"/>
      <c r="P74" s="101"/>
      <c r="Q74" s="92"/>
      <c r="R74" s="92"/>
      <c r="S74" s="92"/>
      <c r="T74" s="287" t="s">
        <v>580</v>
      </c>
      <c r="U74" s="303">
        <v>168.6</v>
      </c>
      <c r="V74" s="304">
        <f t="shared" si="59"/>
        <v>468.33333333333331</v>
      </c>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row>
    <row r="75" spans="2:457">
      <c r="B75" s="283"/>
      <c r="C75" s="310" t="s">
        <v>591</v>
      </c>
      <c r="D75" s="277"/>
      <c r="E75" s="277"/>
      <c r="F75" s="277"/>
      <c r="G75" s="277"/>
      <c r="H75" s="277"/>
      <c r="I75" s="277"/>
      <c r="J75" s="277"/>
      <c r="K75" s="277"/>
      <c r="L75" s="277"/>
      <c r="M75" s="277"/>
      <c r="N75" s="277"/>
      <c r="O75" s="278"/>
      <c r="P75" s="316"/>
      <c r="Q75" s="92"/>
      <c r="R75" s="92"/>
      <c r="S75" s="92"/>
      <c r="T75" s="287" t="s">
        <v>581</v>
      </c>
      <c r="U75" s="303">
        <v>132.1</v>
      </c>
      <c r="V75" s="304">
        <f t="shared" si="59"/>
        <v>366.9444444444444</v>
      </c>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row>
    <row r="76" spans="2:457">
      <c r="C76" s="311" t="s">
        <v>226</v>
      </c>
      <c r="D76" s="307">
        <f>D62-'AggrStep1-energy'!D94</f>
        <v>0</v>
      </c>
      <c r="E76" s="307">
        <f>E62-'AggrStep1-energy'!E94</f>
        <v>6.5447287070636406E-2</v>
      </c>
      <c r="F76" s="307">
        <f>F62-'AggrStep1-energy'!F94</f>
        <v>0</v>
      </c>
      <c r="G76" s="308">
        <f>SUM(D76:F76)</f>
        <v>6.5447287070636406E-2</v>
      </c>
      <c r="H76" s="94"/>
      <c r="I76" s="94"/>
      <c r="J76" s="94"/>
      <c r="K76" s="94"/>
      <c r="L76" s="94"/>
      <c r="M76" s="94"/>
      <c r="N76" s="94"/>
      <c r="O76" s="95"/>
      <c r="P76" s="101"/>
      <c r="Q76" s="92"/>
      <c r="R76" s="92"/>
      <c r="S76" s="92"/>
      <c r="T76" s="288"/>
      <c r="U76" s="288"/>
      <c r="V76" s="288"/>
      <c r="W76" s="285"/>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row>
    <row r="77" spans="2:457">
      <c r="C77" s="311" t="s">
        <v>387</v>
      </c>
      <c r="D77" s="307">
        <f>D63-'AggrStep1-energy'!D95</f>
        <v>0</v>
      </c>
      <c r="E77" s="307">
        <f>E63-'AggrStep1-energy'!E95</f>
        <v>0</v>
      </c>
      <c r="F77" s="307">
        <f>F63-'AggrStep1-energy'!F95</f>
        <v>0</v>
      </c>
      <c r="G77" s="308">
        <f t="shared" ref="G77" si="64">SUM(D77:F77)</f>
        <v>0</v>
      </c>
      <c r="H77" s="94"/>
      <c r="I77" s="94"/>
      <c r="J77" s="94"/>
      <c r="K77" s="94"/>
      <c r="L77" s="94"/>
      <c r="M77" s="94"/>
      <c r="N77" s="94"/>
      <c r="O77" s="95"/>
      <c r="P77" s="101"/>
      <c r="Q77" s="92"/>
      <c r="R77" s="92"/>
      <c r="S77" s="92"/>
      <c r="T77" s="289" t="s">
        <v>582</v>
      </c>
      <c r="U77" s="290" t="s">
        <v>568</v>
      </c>
      <c r="V77" s="483">
        <v>1E-8</v>
      </c>
      <c r="W77" s="335" t="s">
        <v>641</v>
      </c>
      <c r="X77" s="295"/>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row>
    <row r="78" spans="2:457" ht="15.75">
      <c r="C78" s="312" t="s">
        <v>570</v>
      </c>
      <c r="D78" s="307">
        <f>D64-'AggrStep1-energy'!D96</f>
        <v>151.7977349284165</v>
      </c>
      <c r="E78" s="307">
        <f>E64-'AggrStep1-energy'!E96</f>
        <v>0.2521303408516975</v>
      </c>
      <c r="F78" s="307">
        <f>F64-'AggrStep1-energy'!F96</f>
        <v>15.113730616445658</v>
      </c>
      <c r="G78" s="308">
        <f>SUM(D78:F78)</f>
        <v>167.16359588571385</v>
      </c>
      <c r="H78" s="94"/>
      <c r="I78" s="94"/>
      <c r="J78" s="94"/>
      <c r="K78" s="94"/>
      <c r="L78" s="94"/>
      <c r="M78" s="94"/>
      <c r="N78" s="94"/>
      <c r="O78" s="95"/>
      <c r="P78" s="101"/>
      <c r="Q78" s="92"/>
      <c r="R78" s="92"/>
      <c r="S78" s="92"/>
      <c r="T78" s="488" t="s">
        <v>584</v>
      </c>
      <c r="U78" s="486" t="s">
        <v>568</v>
      </c>
      <c r="V78" s="487">
        <v>3.6E-9</v>
      </c>
      <c r="W78" s="89" t="s">
        <v>642</v>
      </c>
      <c r="X78" s="411"/>
      <c r="Y78" s="319"/>
      <c r="AE78" s="92"/>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row>
    <row r="79" spans="2:457" ht="15.75">
      <c r="C79" s="313" t="s">
        <v>214</v>
      </c>
      <c r="D79" s="307">
        <f>D65-'AggrStep1-energy'!D97</f>
        <v>-1.9791815475400654E-7</v>
      </c>
      <c r="E79" s="307">
        <f>E65-'AggrStep1-energy'!E97</f>
        <v>0</v>
      </c>
      <c r="F79" s="307">
        <f>F65-'AggrStep1-energy'!F97</f>
        <v>-3.6169233652572075E-7</v>
      </c>
      <c r="G79" s="308">
        <f>SUM(D79:F79)</f>
        <v>-5.5961049127972728E-7</v>
      </c>
      <c r="H79" s="94"/>
      <c r="I79" s="94"/>
      <c r="J79" s="94"/>
      <c r="K79" s="94"/>
      <c r="L79" s="94"/>
      <c r="M79" s="94"/>
      <c r="N79" s="94"/>
      <c r="O79" s="95"/>
      <c r="P79" s="101"/>
      <c r="Q79" s="92"/>
      <c r="R79" s="92"/>
      <c r="S79" s="92"/>
      <c r="T79" s="484" t="s">
        <v>919</v>
      </c>
      <c r="U79" s="292" t="s">
        <v>568</v>
      </c>
      <c r="V79" s="336">
        <v>3.5999999999999999E-3</v>
      </c>
      <c r="W79" s="489" t="s">
        <v>390</v>
      </c>
      <c r="X79" s="296"/>
      <c r="AE79" s="92"/>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row>
    <row r="80" spans="2:457" ht="15.75">
      <c r="C80" s="313" t="s">
        <v>215</v>
      </c>
      <c r="D80" s="307">
        <f>D66-'AggrStep1-energy'!D98</f>
        <v>25.010031468531466</v>
      </c>
      <c r="E80" s="307">
        <f>E66-'AggrStep1-energy'!E98</f>
        <v>0</v>
      </c>
      <c r="F80" s="307">
        <f>F66-'AggrStep1-energy'!F98</f>
        <v>0</v>
      </c>
      <c r="G80" s="308">
        <f t="shared" ref="G80:G82" si="65">SUM(D80:F80)</f>
        <v>25.010031468531466</v>
      </c>
      <c r="H80" s="94"/>
      <c r="I80" s="94"/>
      <c r="J80" s="94"/>
      <c r="K80" s="94"/>
      <c r="L80" s="94"/>
      <c r="M80" s="94"/>
      <c r="N80" s="94"/>
      <c r="O80" s="95"/>
      <c r="P80" s="101"/>
      <c r="Q80" s="92"/>
      <c r="R80" s="92"/>
      <c r="S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row>
    <row r="81" spans="1:457">
      <c r="C81" s="314" t="s">
        <v>241</v>
      </c>
      <c r="D81" s="307">
        <f>D67-'AggrStep1-energy'!D99</f>
        <v>0</v>
      </c>
      <c r="E81" s="307">
        <f>E67-'AggrStep1-energy'!E99</f>
        <v>0</v>
      </c>
      <c r="F81" s="307">
        <f>F67-'AggrStep1-energy'!F99</f>
        <v>0</v>
      </c>
      <c r="G81" s="308">
        <f t="shared" si="65"/>
        <v>0</v>
      </c>
      <c r="H81" s="94"/>
      <c r="I81" s="94"/>
      <c r="J81" s="94"/>
      <c r="K81" s="94"/>
      <c r="L81" s="94"/>
      <c r="M81" s="94"/>
      <c r="N81" s="94"/>
      <c r="O81" s="95"/>
      <c r="P81" s="101"/>
      <c r="Q81" s="92"/>
      <c r="R81" s="92"/>
      <c r="S81" s="92"/>
      <c r="T81" s="711" t="s">
        <v>643</v>
      </c>
      <c r="U81" s="711"/>
      <c r="V81" s="711"/>
      <c r="W81" s="711"/>
      <c r="X81" s="712">
        <f>V77/V78</f>
        <v>2.7777777777777777</v>
      </c>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row>
    <row r="82" spans="1:457">
      <c r="C82" s="315" t="s">
        <v>586</v>
      </c>
      <c r="D82" s="309">
        <f>SUM(D76:D81)</f>
        <v>176.8077661990298</v>
      </c>
      <c r="E82" s="309">
        <f>SUM(E76:E81)</f>
        <v>0.3175776279223339</v>
      </c>
      <c r="F82" s="309">
        <f>SUM(F76:F81)</f>
        <v>15.113730254753321</v>
      </c>
      <c r="G82" s="308">
        <f t="shared" si="65"/>
        <v>192.23907408170544</v>
      </c>
      <c r="H82" s="94"/>
      <c r="I82" s="94"/>
      <c r="J82" s="94"/>
      <c r="K82" s="94"/>
      <c r="L82" s="94"/>
      <c r="M82" s="94"/>
      <c r="N82" s="94"/>
      <c r="O82" s="95"/>
      <c r="P82" s="101"/>
      <c r="Q82" s="92"/>
      <c r="R82" s="92"/>
      <c r="S82" s="92"/>
      <c r="T82" s="711"/>
      <c r="U82" s="711"/>
      <c r="V82" s="711"/>
      <c r="W82" s="711"/>
      <c r="X82" s="712"/>
      <c r="AE82" s="92"/>
      <c r="AF82" s="92"/>
      <c r="AG82" s="92"/>
      <c r="AH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row>
    <row r="83" spans="1:457">
      <c r="C83" s="315"/>
      <c r="D83" s="307"/>
      <c r="E83" s="307"/>
      <c r="F83" s="307"/>
      <c r="G83" s="307"/>
      <c r="H83" s="94"/>
      <c r="I83" s="94"/>
      <c r="J83" s="94"/>
      <c r="K83" s="94"/>
      <c r="L83" s="94"/>
      <c r="M83" s="94"/>
      <c r="N83" s="94"/>
      <c r="O83" s="95"/>
      <c r="P83" s="101"/>
      <c r="Q83" s="92"/>
      <c r="R83" s="92"/>
      <c r="S83" s="92"/>
      <c r="T83" s="293"/>
      <c r="U83" s="293"/>
      <c r="V83" s="293"/>
      <c r="W83" s="293"/>
      <c r="X83" s="293"/>
      <c r="AE83" s="92"/>
      <c r="AF83" s="92"/>
      <c r="AG83" s="92"/>
      <c r="AH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row>
    <row r="84" spans="1:457" ht="18.75">
      <c r="C84" s="311" t="s">
        <v>388</v>
      </c>
      <c r="D84" s="307">
        <f>D70-'AggrStep1-energy'!D102</f>
        <v>229.92471866666668</v>
      </c>
      <c r="E84" s="307">
        <f>E70-'AggrStep1-energy'!E102</f>
        <v>-114.80712503767825</v>
      </c>
      <c r="F84" s="307">
        <f>F70-'AggrStep1-energy'!F102</f>
        <v>12.331562947117295</v>
      </c>
      <c r="G84" s="308">
        <f t="shared" ref="G84:G85" si="66">SUM(D84:F84)</f>
        <v>127.44915657610572</v>
      </c>
      <c r="H84" s="94"/>
      <c r="I84" s="94"/>
      <c r="J84" s="94"/>
      <c r="K84" s="94"/>
      <c r="L84" s="94"/>
      <c r="M84" s="94"/>
      <c r="N84" s="94"/>
      <c r="O84" s="95"/>
      <c r="P84" s="101"/>
      <c r="Q84" s="92"/>
      <c r="R84" s="92"/>
      <c r="S84" s="92"/>
      <c r="T84" s="713" t="s">
        <v>525</v>
      </c>
      <c r="U84" s="713"/>
      <c r="V84" s="713"/>
      <c r="W84" s="713"/>
      <c r="X84" s="713"/>
      <c r="Y84" s="713"/>
      <c r="Z84" s="713"/>
      <c r="AA84" s="713"/>
      <c r="AB84" s="713"/>
      <c r="AC84" s="713"/>
      <c r="AD84" s="92"/>
      <c r="AE84" s="92"/>
      <c r="AF84" s="92"/>
      <c r="AG84" s="92"/>
      <c r="AH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row>
    <row r="85" spans="1:457" ht="18.75">
      <c r="C85" s="311" t="s">
        <v>574</v>
      </c>
      <c r="D85" s="307">
        <f>D71-'AggrStep1-energy'!D103</f>
        <v>0</v>
      </c>
      <c r="E85" s="307">
        <f>E71-'AggrStep1-energy'!E103</f>
        <v>0</v>
      </c>
      <c r="F85" s="307">
        <f>F71-PRODESEN!K52*'Step1-V1 (2)'!V79</f>
        <v>-4.266309829858983E-7</v>
      </c>
      <c r="G85" s="308">
        <f t="shared" si="66"/>
        <v>-4.266309829858983E-7</v>
      </c>
      <c r="H85" s="94"/>
      <c r="I85" s="94"/>
      <c r="J85" s="94"/>
      <c r="K85" s="94"/>
      <c r="L85" s="94"/>
      <c r="M85" s="94"/>
      <c r="N85" s="94"/>
      <c r="O85" s="95"/>
      <c r="P85" s="101"/>
      <c r="Q85" s="92"/>
      <c r="R85" s="92"/>
      <c r="S85" s="92"/>
      <c r="T85" s="706" t="s">
        <v>571</v>
      </c>
      <c r="U85" s="706"/>
      <c r="V85" s="706"/>
      <c r="W85" s="706"/>
      <c r="X85" s="706"/>
      <c r="Y85" s="658"/>
      <c r="Z85" s="706" t="s">
        <v>594</v>
      </c>
      <c r="AA85" s="706"/>
      <c r="AB85" s="706"/>
      <c r="AC85" s="706"/>
      <c r="AD85" s="706"/>
      <c r="AE85" s="92"/>
      <c r="AF85" s="92"/>
      <c r="AG85" s="92"/>
      <c r="AH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row>
    <row r="86" spans="1:457">
      <c r="C86" s="311"/>
      <c r="D86" s="307"/>
      <c r="E86" s="307"/>
      <c r="F86" s="307"/>
      <c r="G86" s="307"/>
      <c r="H86" s="94"/>
      <c r="I86" s="94"/>
      <c r="J86" s="94"/>
      <c r="K86" s="94"/>
      <c r="L86" s="94"/>
      <c r="M86" s="94"/>
      <c r="N86" s="94"/>
      <c r="O86" s="95"/>
      <c r="P86" s="101"/>
      <c r="Q86" s="92"/>
      <c r="R86" s="92"/>
      <c r="S86" s="92"/>
      <c r="U86" s="53" t="s">
        <v>419</v>
      </c>
      <c r="V86" s="53" t="s">
        <v>384</v>
      </c>
      <c r="W86" s="53" t="s">
        <v>172</v>
      </c>
      <c r="X86" s="98" t="s">
        <v>590</v>
      </c>
      <c r="Y86" s="92"/>
      <c r="AA86" s="53" t="s">
        <v>419</v>
      </c>
      <c r="AB86" s="53" t="s">
        <v>384</v>
      </c>
      <c r="AC86" s="53" t="s">
        <v>172</v>
      </c>
      <c r="AD86" s="98" t="s">
        <v>7</v>
      </c>
      <c r="AE86" s="92"/>
      <c r="AF86" s="92"/>
      <c r="AG86" s="92"/>
      <c r="AH86" s="92"/>
      <c r="AO86" s="92"/>
      <c r="AP86" s="92"/>
      <c r="AQ86" s="92"/>
      <c r="AR86" s="92"/>
      <c r="AS86" s="92"/>
      <c r="AT86" s="92"/>
      <c r="AU86" s="92"/>
      <c r="AV86" s="92"/>
      <c r="AW86" s="92"/>
      <c r="AX86" s="92"/>
      <c r="AY86" s="92"/>
      <c r="AZ86" s="92"/>
      <c r="BA86" s="92"/>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2"/>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2"/>
      <c r="CZ86" s="92"/>
      <c r="DA86" s="92"/>
      <c r="DB86" s="92"/>
      <c r="DC86" s="92"/>
      <c r="DD86" s="92"/>
      <c r="DE86" s="92"/>
      <c r="DF86" s="92"/>
      <c r="DG86" s="92"/>
      <c r="DH86" s="92"/>
      <c r="DI86" s="92"/>
      <c r="DJ86" s="92"/>
      <c r="DK86" s="92"/>
      <c r="DL86" s="92"/>
      <c r="DM86" s="92"/>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2"/>
      <c r="EN86" s="92"/>
      <c r="EO86" s="92"/>
      <c r="EP86" s="92"/>
      <c r="EQ86" s="92"/>
      <c r="ER86" s="92"/>
      <c r="ES86" s="92"/>
      <c r="ET86" s="92"/>
      <c r="EU86" s="92"/>
      <c r="EV86" s="92"/>
      <c r="EW86" s="92"/>
      <c r="EX86" s="92"/>
      <c r="EY86" s="92"/>
      <c r="EZ86" s="92"/>
      <c r="FA86" s="92"/>
      <c r="FB86" s="92"/>
      <c r="FC86" s="92"/>
      <c r="FD86" s="92"/>
      <c r="FE86" s="92"/>
      <c r="FF86" s="92"/>
      <c r="FG86" s="92"/>
      <c r="FH86" s="92"/>
      <c r="FI86" s="92"/>
      <c r="FJ86" s="92"/>
      <c r="FK86" s="92"/>
      <c r="FL86" s="92"/>
      <c r="FM86" s="92"/>
      <c r="FN86" s="92"/>
      <c r="FO86" s="92"/>
      <c r="FP86" s="92"/>
      <c r="FQ86" s="92"/>
      <c r="FR86" s="92"/>
      <c r="FS86" s="92"/>
      <c r="FT86" s="92"/>
      <c r="FU86" s="92"/>
      <c r="FV86" s="92"/>
      <c r="FW86" s="92"/>
      <c r="FX86" s="92"/>
      <c r="FY86" s="92"/>
      <c r="FZ86" s="92"/>
      <c r="GA86" s="92"/>
      <c r="GB86" s="92"/>
      <c r="GC86" s="92"/>
      <c r="GD86" s="92"/>
      <c r="GE86" s="92"/>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2"/>
      <c r="HE86" s="92"/>
      <c r="HF86" s="92"/>
      <c r="HG86" s="92"/>
      <c r="HH86" s="92"/>
      <c r="HI86" s="92"/>
      <c r="HJ86" s="92"/>
      <c r="HK86" s="92"/>
      <c r="HL86" s="92"/>
      <c r="HM86" s="92"/>
      <c r="HN86" s="92"/>
      <c r="HO86" s="92"/>
      <c r="HP86" s="92"/>
      <c r="HQ86" s="92"/>
      <c r="HR86" s="92"/>
      <c r="HS86" s="92"/>
      <c r="HT86" s="92"/>
      <c r="HU86" s="92"/>
      <c r="HV86" s="92"/>
      <c r="HW86" s="92"/>
      <c r="HX86" s="92"/>
      <c r="HY86" s="92"/>
      <c r="HZ86" s="92"/>
      <c r="IA86" s="92"/>
      <c r="IB86" s="92"/>
      <c r="IC86" s="92"/>
      <c r="ID86" s="92"/>
      <c r="IE86" s="92"/>
      <c r="IF86" s="92"/>
      <c r="IG86" s="92"/>
      <c r="IH86" s="92"/>
      <c r="II86" s="92"/>
      <c r="IJ86" s="92"/>
      <c r="IK86" s="92"/>
      <c r="IL86" s="92"/>
      <c r="IM86" s="92"/>
      <c r="IN86" s="92"/>
      <c r="IO86" s="92"/>
      <c r="IP86" s="92"/>
      <c r="IQ86" s="92"/>
      <c r="IR86" s="92"/>
      <c r="IS86" s="92"/>
      <c r="IT86" s="92"/>
      <c r="IU86" s="92"/>
      <c r="IV86" s="92"/>
      <c r="IW86" s="92"/>
      <c r="IX86" s="92"/>
      <c r="IY86" s="92"/>
      <c r="IZ86" s="92"/>
      <c r="JA86" s="92"/>
      <c r="JB86" s="92"/>
      <c r="JC86" s="92"/>
      <c r="JD86" s="92"/>
      <c r="JE86" s="92"/>
      <c r="JF86" s="92"/>
      <c r="JG86" s="92"/>
      <c r="JH86" s="92"/>
      <c r="JI86" s="92"/>
      <c r="JJ86" s="92"/>
      <c r="JK86" s="92"/>
      <c r="JL86" s="92"/>
      <c r="JM86" s="92"/>
      <c r="JN86" s="92"/>
      <c r="JO86" s="92"/>
      <c r="JP86" s="92"/>
      <c r="JQ86" s="92"/>
      <c r="JR86" s="92"/>
      <c r="JS86" s="92"/>
      <c r="JT86" s="92"/>
      <c r="JU86" s="92"/>
      <c r="JV86" s="92"/>
      <c r="JW86" s="92"/>
      <c r="JX86" s="92"/>
      <c r="JY86" s="92"/>
      <c r="JZ86" s="92"/>
      <c r="KA86" s="92"/>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2"/>
      <c r="LA86" s="92"/>
      <c r="LB86" s="92"/>
      <c r="LC86" s="92"/>
      <c r="LD86" s="92"/>
      <c r="LE86" s="92"/>
      <c r="LF86" s="92"/>
      <c r="LG86" s="92"/>
      <c r="LH86" s="92"/>
      <c r="LI86" s="92"/>
      <c r="LJ86" s="92"/>
      <c r="LK86" s="92"/>
      <c r="LL86" s="92"/>
      <c r="LM86" s="92"/>
      <c r="LN86" s="92"/>
      <c r="LO86" s="92"/>
      <c r="LP86" s="92"/>
      <c r="LQ86" s="92"/>
      <c r="LR86" s="92"/>
      <c r="LS86" s="92"/>
      <c r="LT86" s="92"/>
      <c r="LU86" s="92"/>
      <c r="LV86" s="92"/>
      <c r="LW86" s="92"/>
      <c r="LX86" s="92"/>
      <c r="LY86" s="92"/>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2"/>
      <c r="MY86" s="92"/>
      <c r="MZ86" s="92"/>
      <c r="NA86" s="92"/>
      <c r="NB86" s="92"/>
      <c r="NC86" s="92"/>
      <c r="ND86" s="92"/>
      <c r="NE86" s="92"/>
      <c r="NF86" s="92"/>
      <c r="NG86" s="92"/>
      <c r="NH86" s="92"/>
      <c r="NI86" s="92"/>
      <c r="NJ86" s="92"/>
      <c r="NK86" s="92"/>
      <c r="NL86" s="92"/>
      <c r="NM86" s="92"/>
      <c r="NN86" s="92"/>
      <c r="NO86" s="92"/>
      <c r="NP86" s="92"/>
      <c r="NQ86" s="92"/>
      <c r="NR86" s="92"/>
      <c r="NS86" s="92"/>
      <c r="NT86" s="92"/>
      <c r="NU86" s="92"/>
      <c r="NV86" s="92"/>
      <c r="NW86" s="92"/>
      <c r="NX86" s="92"/>
      <c r="NY86" s="92"/>
      <c r="NZ86" s="92"/>
      <c r="OA86" s="92"/>
      <c r="OB86" s="92"/>
      <c r="OC86" s="92"/>
      <c r="OD86" s="92"/>
      <c r="OE86" s="92"/>
      <c r="OF86" s="92"/>
      <c r="OG86" s="92"/>
      <c r="OH86" s="92"/>
      <c r="OI86" s="92"/>
      <c r="OJ86" s="92"/>
      <c r="OK86" s="92"/>
      <c r="OL86" s="92"/>
      <c r="OM86" s="92"/>
      <c r="ON86" s="92"/>
      <c r="OO86" s="92"/>
      <c r="OP86" s="92"/>
      <c r="OQ86" s="92"/>
      <c r="OR86" s="92"/>
      <c r="OS86" s="92"/>
      <c r="OT86" s="92"/>
      <c r="OU86" s="92"/>
      <c r="OV86" s="92"/>
      <c r="OW86" s="92"/>
      <c r="OX86" s="92"/>
      <c r="OY86" s="92"/>
      <c r="OZ86" s="92"/>
      <c r="PA86" s="92"/>
      <c r="PB86" s="92"/>
      <c r="PC86" s="92"/>
      <c r="PD86" s="92"/>
      <c r="PE86" s="92"/>
      <c r="PF86" s="92"/>
      <c r="PG86" s="92"/>
      <c r="PH86" s="92"/>
      <c r="PI86" s="92"/>
      <c r="PJ86" s="92"/>
      <c r="PK86" s="92"/>
      <c r="PL86" s="92"/>
      <c r="PM86" s="92"/>
      <c r="PN86" s="92"/>
      <c r="PO86" s="92"/>
      <c r="PP86" s="92"/>
      <c r="PQ86" s="92"/>
      <c r="PR86" s="92"/>
      <c r="PS86" s="92"/>
      <c r="PT86" s="92"/>
      <c r="PU86" s="92"/>
      <c r="PV86" s="92"/>
      <c r="PW86" s="92"/>
      <c r="PX86" s="92"/>
      <c r="PY86" s="92"/>
      <c r="PZ86" s="92"/>
      <c r="QA86" s="92"/>
      <c r="QB86" s="92"/>
      <c r="QC86" s="92"/>
      <c r="QD86" s="92"/>
      <c r="QE86" s="92"/>
      <c r="QF86" s="92"/>
      <c r="QG86" s="92"/>
      <c r="QH86" s="92"/>
      <c r="QI86" s="92"/>
      <c r="QJ86" s="92"/>
      <c r="QK86" s="92"/>
      <c r="QL86" s="92"/>
      <c r="QM86" s="92"/>
      <c r="QN86" s="92"/>
      <c r="QO86" s="92"/>
    </row>
    <row r="87" spans="1:457">
      <c r="C87" s="315" t="s">
        <v>546</v>
      </c>
      <c r="D87" s="309">
        <f>D82+D84+D85</f>
        <v>406.73248486569651</v>
      </c>
      <c r="E87" s="309">
        <f t="shared" ref="E87:F87" si="67">E82+E84+E85</f>
        <v>-114.48954740975591</v>
      </c>
      <c r="F87" s="309">
        <f t="shared" si="67"/>
        <v>27.445292775239633</v>
      </c>
      <c r="G87" s="308">
        <f>SUM(D87:F87)</f>
        <v>319.68823023118023</v>
      </c>
      <c r="H87" s="94"/>
      <c r="I87" s="94"/>
      <c r="J87" s="94"/>
      <c r="K87" s="94"/>
      <c r="L87" s="94"/>
      <c r="M87" s="94"/>
      <c r="N87" s="94"/>
      <c r="O87" s="95"/>
      <c r="P87" s="101"/>
      <c r="Q87" s="92"/>
      <c r="R87" s="92"/>
      <c r="S87" s="92"/>
      <c r="T87" s="215" t="s">
        <v>226</v>
      </c>
      <c r="U87" s="213">
        <f>AA87</f>
        <v>138.65227005558231</v>
      </c>
      <c r="V87" s="218">
        <f>V88</f>
        <v>148.16894810930131</v>
      </c>
      <c r="W87" s="214">
        <f>AC87</f>
        <v>81.260964675380791</v>
      </c>
      <c r="X87" s="214">
        <f>AVERAGE(U87:W87)</f>
        <v>122.6940609467548</v>
      </c>
      <c r="Y87" s="92"/>
      <c r="Z87" s="215" t="s">
        <v>226</v>
      </c>
      <c r="AA87" s="213">
        <f>IF('AggrStep1-energy'!D94=0,"NA",AA35/'AggrStep1-energy'!D94)</f>
        <v>138.65227005558231</v>
      </c>
      <c r="AB87" s="213" t="str">
        <f>IF('AggrStep1-energy'!E94=0,"NA",AB35/'AggrStep1-energy'!E94)</f>
        <v>NA</v>
      </c>
      <c r="AC87" s="213">
        <f>IF('AggrStep1-energy'!F94=0,"NA",AC35/'AggrStep1-energy'!F94)</f>
        <v>81.260964675380791</v>
      </c>
      <c r="AD87" s="213">
        <f>IF('AggrStep1-energy'!G94=0,"NA",AD35/'AggrStep1-energy'!G94)</f>
        <v>125.31566112094656</v>
      </c>
      <c r="AE87" s="92"/>
      <c r="AF87" s="92"/>
      <c r="AG87" s="92"/>
      <c r="AH87" s="92"/>
      <c r="AO87" s="92"/>
      <c r="AP87" s="92"/>
      <c r="AQ87" s="92"/>
      <c r="AR87" s="92"/>
      <c r="AS87" s="92"/>
      <c r="AT87" s="92"/>
      <c r="AU87" s="92"/>
      <c r="AV87" s="92"/>
      <c r="AW87" s="92"/>
      <c r="AX87" s="92"/>
      <c r="AY87" s="92"/>
      <c r="AZ87" s="92"/>
      <c r="BA87" s="92"/>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2"/>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2"/>
      <c r="CZ87" s="92"/>
      <c r="DA87" s="92"/>
      <c r="DB87" s="92"/>
      <c r="DC87" s="92"/>
      <c r="DD87" s="92"/>
      <c r="DE87" s="92"/>
      <c r="DF87" s="92"/>
      <c r="DG87" s="92"/>
      <c r="DH87" s="92"/>
      <c r="DI87" s="92"/>
      <c r="DJ87" s="92"/>
      <c r="DK87" s="92"/>
      <c r="DL87" s="92"/>
      <c r="DM87" s="92"/>
      <c r="DN87" s="92"/>
      <c r="DO87" s="92"/>
      <c r="DP87" s="92"/>
      <c r="DQ87" s="92"/>
      <c r="DR87" s="92"/>
      <c r="DS87" s="92"/>
      <c r="DT87" s="92"/>
      <c r="DU87" s="92"/>
      <c r="DV87" s="92"/>
      <c r="DW87" s="92"/>
      <c r="DX87" s="92"/>
      <c r="DY87" s="92"/>
      <c r="DZ87" s="92"/>
      <c r="EA87" s="92"/>
      <c r="EB87" s="92"/>
      <c r="EC87" s="92"/>
      <c r="ED87" s="92"/>
      <c r="EE87" s="92"/>
      <c r="EF87" s="92"/>
      <c r="EG87" s="92"/>
      <c r="EH87" s="92"/>
      <c r="EI87" s="92"/>
      <c r="EJ87" s="92"/>
      <c r="EK87" s="92"/>
      <c r="EL87" s="92"/>
      <c r="EM87" s="92"/>
      <c r="EN87" s="92"/>
      <c r="EO87" s="92"/>
      <c r="EP87" s="92"/>
      <c r="EQ87" s="92"/>
      <c r="ER87" s="92"/>
      <c r="ES87" s="92"/>
      <c r="ET87" s="92"/>
      <c r="EU87" s="92"/>
      <c r="EV87" s="92"/>
      <c r="EW87" s="92"/>
      <c r="EX87" s="92"/>
      <c r="EY87" s="92"/>
      <c r="EZ87" s="92"/>
      <c r="FA87" s="92"/>
      <c r="FB87" s="92"/>
      <c r="FC87" s="92"/>
      <c r="FD87" s="92"/>
      <c r="FE87" s="92"/>
      <c r="FF87" s="92"/>
      <c r="FG87" s="92"/>
      <c r="FH87" s="92"/>
      <c r="FI87" s="92"/>
      <c r="FJ87" s="92"/>
      <c r="FK87" s="92"/>
      <c r="FL87" s="92"/>
      <c r="FM87" s="92"/>
      <c r="FN87" s="92"/>
      <c r="FO87" s="92"/>
      <c r="FP87" s="92"/>
      <c r="FQ87" s="92"/>
      <c r="FR87" s="92"/>
      <c r="FS87" s="92"/>
      <c r="FT87" s="92"/>
      <c r="FU87" s="92"/>
      <c r="FV87" s="92"/>
      <c r="FW87" s="92"/>
      <c r="FX87" s="92"/>
      <c r="FY87" s="92"/>
      <c r="FZ87" s="92"/>
      <c r="GA87" s="92"/>
      <c r="GB87" s="92"/>
      <c r="GC87" s="92"/>
      <c r="GD87" s="92"/>
      <c r="GE87" s="92"/>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2"/>
      <c r="HE87" s="92"/>
      <c r="HF87" s="92"/>
      <c r="HG87" s="92"/>
      <c r="HH87" s="92"/>
      <c r="HI87" s="92"/>
      <c r="HJ87" s="92"/>
      <c r="HK87" s="92"/>
      <c r="HL87" s="92"/>
      <c r="HM87" s="92"/>
      <c r="HN87" s="92"/>
      <c r="HO87" s="92"/>
      <c r="HP87" s="92"/>
      <c r="HQ87" s="92"/>
      <c r="HR87" s="92"/>
      <c r="HS87" s="92"/>
      <c r="HT87" s="92"/>
      <c r="HU87" s="92"/>
      <c r="HV87" s="92"/>
      <c r="HW87" s="92"/>
      <c r="HX87" s="92"/>
      <c r="HY87" s="92"/>
      <c r="HZ87" s="92"/>
      <c r="IA87" s="92"/>
      <c r="IB87" s="92"/>
      <c r="IC87" s="92"/>
      <c r="ID87" s="92"/>
      <c r="IE87" s="92"/>
      <c r="IF87" s="92"/>
      <c r="IG87" s="92"/>
      <c r="IH87" s="92"/>
      <c r="II87" s="92"/>
      <c r="IJ87" s="92"/>
      <c r="IK87" s="92"/>
      <c r="IL87" s="92"/>
      <c r="IM87" s="92"/>
      <c r="IN87" s="92"/>
      <c r="IO87" s="92"/>
      <c r="IP87" s="92"/>
      <c r="IQ87" s="92"/>
      <c r="IR87" s="92"/>
      <c r="IS87" s="92"/>
      <c r="IT87" s="92"/>
      <c r="IU87" s="92"/>
      <c r="IV87" s="92"/>
      <c r="IW87" s="92"/>
      <c r="IX87" s="92"/>
      <c r="IY87" s="92"/>
      <c r="IZ87" s="92"/>
      <c r="JA87" s="92"/>
      <c r="JB87" s="92"/>
      <c r="JC87" s="92"/>
      <c r="JD87" s="92"/>
      <c r="JE87" s="92"/>
      <c r="JF87" s="92"/>
      <c r="JG87" s="92"/>
      <c r="JH87" s="92"/>
      <c r="JI87" s="92"/>
      <c r="JJ87" s="92"/>
      <c r="JK87" s="92"/>
      <c r="JL87" s="92"/>
      <c r="JM87" s="92"/>
      <c r="JN87" s="92"/>
      <c r="JO87" s="92"/>
      <c r="JP87" s="92"/>
      <c r="JQ87" s="92"/>
      <c r="JR87" s="92"/>
      <c r="JS87" s="92"/>
      <c r="JT87" s="92"/>
      <c r="JU87" s="92"/>
      <c r="JV87" s="92"/>
      <c r="JW87" s="92"/>
      <c r="JX87" s="92"/>
      <c r="JY87" s="92"/>
      <c r="JZ87" s="92"/>
      <c r="KA87" s="92"/>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2"/>
      <c r="LA87" s="92"/>
      <c r="LB87" s="92"/>
      <c r="LC87" s="92"/>
      <c r="LD87" s="92"/>
      <c r="LE87" s="92"/>
      <c r="LF87" s="92"/>
      <c r="LG87" s="92"/>
      <c r="LH87" s="92"/>
      <c r="LI87" s="92"/>
      <c r="LJ87" s="92"/>
      <c r="LK87" s="92"/>
      <c r="LL87" s="92"/>
      <c r="LM87" s="92"/>
      <c r="LN87" s="92"/>
      <c r="LO87" s="92"/>
      <c r="LP87" s="92"/>
      <c r="LQ87" s="92"/>
      <c r="LR87" s="92"/>
      <c r="LS87" s="92"/>
      <c r="LT87" s="92"/>
      <c r="LU87" s="92"/>
      <c r="LV87" s="92"/>
      <c r="LW87" s="92"/>
      <c r="LX87" s="92"/>
      <c r="LY87" s="92"/>
      <c r="LZ87" s="92"/>
      <c r="MA87" s="92"/>
      <c r="MB87" s="92"/>
      <c r="MC87" s="92"/>
      <c r="MD87" s="92"/>
      <c r="ME87" s="92"/>
      <c r="MF87" s="92"/>
      <c r="MG87" s="92"/>
      <c r="MH87" s="92"/>
      <c r="MI87" s="92"/>
      <c r="MJ87" s="92"/>
      <c r="MK87" s="92"/>
      <c r="ML87" s="92"/>
      <c r="MM87" s="92"/>
      <c r="MN87" s="92"/>
      <c r="MO87" s="92"/>
      <c r="MP87" s="92"/>
      <c r="MQ87" s="92"/>
      <c r="MR87" s="92"/>
      <c r="MS87" s="92"/>
      <c r="MT87" s="92"/>
      <c r="MU87" s="92"/>
      <c r="MV87" s="92"/>
      <c r="MW87" s="92"/>
      <c r="MX87" s="92"/>
      <c r="MY87" s="92"/>
      <c r="MZ87" s="92"/>
      <c r="NA87" s="92"/>
      <c r="NB87" s="92"/>
      <c r="NC87" s="92"/>
      <c r="ND87" s="92"/>
      <c r="NE87" s="92"/>
      <c r="NF87" s="92"/>
      <c r="NG87" s="92"/>
      <c r="NH87" s="92"/>
      <c r="NI87" s="92"/>
      <c r="NJ87" s="92"/>
      <c r="NK87" s="92"/>
      <c r="NL87" s="92"/>
      <c r="NM87" s="92"/>
      <c r="NN87" s="92"/>
      <c r="NO87" s="92"/>
      <c r="NP87" s="92"/>
      <c r="NQ87" s="92"/>
      <c r="NR87" s="92"/>
      <c r="NS87" s="92"/>
      <c r="NT87" s="92"/>
      <c r="NU87" s="92"/>
      <c r="NV87" s="92"/>
      <c r="NW87" s="92"/>
      <c r="NX87" s="92"/>
      <c r="NY87" s="92"/>
      <c r="NZ87" s="92"/>
      <c r="OA87" s="92"/>
      <c r="OB87" s="92"/>
      <c r="OC87" s="92"/>
      <c r="OD87" s="92"/>
      <c r="OE87" s="92"/>
      <c r="OF87" s="92"/>
      <c r="OG87" s="92"/>
      <c r="OH87" s="92"/>
      <c r="OI87" s="92"/>
      <c r="OJ87" s="92"/>
      <c r="OK87" s="92"/>
      <c r="OL87" s="92"/>
      <c r="OM87" s="92"/>
      <c r="ON87" s="92"/>
      <c r="OO87" s="92"/>
      <c r="OP87" s="92"/>
      <c r="OQ87" s="92"/>
      <c r="OR87" s="92"/>
      <c r="OS87" s="92"/>
      <c r="OT87" s="92"/>
      <c r="OU87" s="92"/>
      <c r="OV87" s="92"/>
      <c r="OW87" s="92"/>
      <c r="OX87" s="92"/>
      <c r="OY87" s="92"/>
      <c r="OZ87" s="92"/>
      <c r="PA87" s="92"/>
      <c r="PB87" s="92"/>
      <c r="PC87" s="92"/>
      <c r="PD87" s="92"/>
      <c r="PE87" s="92"/>
      <c r="PF87" s="92"/>
      <c r="PG87" s="92"/>
      <c r="PH87" s="92"/>
      <c r="PI87" s="92"/>
      <c r="PJ87" s="92"/>
      <c r="PK87" s="92"/>
      <c r="PL87" s="92"/>
      <c r="PM87" s="92"/>
      <c r="PN87" s="92"/>
      <c r="PO87" s="92"/>
      <c r="PP87" s="92"/>
      <c r="PQ87" s="92"/>
      <c r="PR87" s="92"/>
      <c r="PS87" s="92"/>
      <c r="PT87" s="92"/>
      <c r="PU87" s="92"/>
      <c r="PV87" s="92"/>
      <c r="PW87" s="92"/>
      <c r="PX87" s="92"/>
      <c r="PY87" s="92"/>
      <c r="PZ87" s="92"/>
      <c r="QA87" s="92"/>
      <c r="QB87" s="92"/>
      <c r="QC87" s="92"/>
      <c r="QD87" s="92"/>
      <c r="QE87" s="92"/>
      <c r="QF87" s="92"/>
      <c r="QG87" s="92"/>
      <c r="QH87" s="92"/>
      <c r="QI87" s="92"/>
      <c r="QJ87" s="92"/>
      <c r="QK87" s="92"/>
      <c r="QL87" s="92"/>
      <c r="QM87" s="92"/>
      <c r="QN87" s="92"/>
      <c r="QO87" s="92"/>
    </row>
    <row r="88" spans="1:457">
      <c r="A88" s="83"/>
      <c r="B88" s="51"/>
      <c r="C88" s="102"/>
      <c r="D88" s="103"/>
      <c r="E88" s="95"/>
      <c r="F88" s="95"/>
      <c r="G88" s="95"/>
      <c r="H88" s="95"/>
      <c r="I88" s="95"/>
      <c r="J88" s="95"/>
      <c r="K88" s="95"/>
      <c r="L88" s="95"/>
      <c r="M88" s="95"/>
      <c r="N88" s="95"/>
      <c r="O88" s="95"/>
      <c r="P88" s="101"/>
      <c r="Q88" s="92"/>
      <c r="R88" s="92"/>
      <c r="S88" s="92"/>
      <c r="T88" s="216" t="s">
        <v>387</v>
      </c>
      <c r="U88" s="213">
        <f>AA88</f>
        <v>384.48088592148343</v>
      </c>
      <c r="V88" s="213">
        <f t="shared" ref="V88:W89" si="68">AB88</f>
        <v>148.16894810930131</v>
      </c>
      <c r="W88" s="213">
        <f t="shared" si="68"/>
        <v>314.93373174080745</v>
      </c>
      <c r="X88" s="214">
        <f t="shared" ref="X88:X93" si="69">AVERAGE(U88:W88)</f>
        <v>282.52785525719742</v>
      </c>
      <c r="Y88" s="92"/>
      <c r="Z88" s="216" t="s">
        <v>387</v>
      </c>
      <c r="AA88" s="213">
        <f>IF('AggrStep1-energy'!D95=0,"NA",AA36/'AggrStep1-energy'!D95)</f>
        <v>384.48088592148343</v>
      </c>
      <c r="AB88" s="213">
        <f>IF('AggrStep1-energy'!E95=0,"NA",AB36/'AggrStep1-energy'!E95)</f>
        <v>148.16894810930131</v>
      </c>
      <c r="AC88" s="213">
        <f>IF('AggrStep1-energy'!F95=0,"NA",AC36/'AggrStep1-energy'!F95)</f>
        <v>314.93373174080745</v>
      </c>
      <c r="AD88" s="213">
        <f>IF('AggrStep1-energy'!G95=0,"NA",AD36/'AggrStep1-energy'!G95)</f>
        <v>269.10824461826263</v>
      </c>
      <c r="AE88" s="92"/>
      <c r="AF88" s="92"/>
      <c r="AG88" s="92"/>
      <c r="AO88" s="92"/>
      <c r="AP88" s="92"/>
      <c r="AQ88" s="92"/>
      <c r="AR88" s="92"/>
      <c r="AS88" s="92"/>
      <c r="AT88" s="92"/>
      <c r="AU88" s="92"/>
      <c r="AV88" s="92"/>
      <c r="AW88" s="92"/>
      <c r="AX88" s="92"/>
      <c r="AY88" s="92"/>
      <c r="AZ88" s="92"/>
      <c r="BA88" s="92"/>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2"/>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2"/>
      <c r="CZ88" s="92"/>
      <c r="DA88" s="92"/>
      <c r="DB88" s="92"/>
      <c r="DC88" s="92"/>
      <c r="DD88" s="92"/>
      <c r="DE88" s="92"/>
      <c r="DF88" s="92"/>
      <c r="DG88" s="92"/>
      <c r="DH88" s="92"/>
      <c r="DI88" s="92"/>
      <c r="DJ88" s="92"/>
      <c r="DK88" s="92"/>
      <c r="DL88" s="92"/>
      <c r="DM88" s="92"/>
      <c r="DN88" s="92"/>
      <c r="DO88" s="92"/>
      <c r="DP88" s="92"/>
      <c r="DQ88" s="92"/>
      <c r="DR88" s="92"/>
      <c r="DS88" s="92"/>
      <c r="DT88" s="92"/>
      <c r="DU88" s="92"/>
      <c r="DV88" s="92"/>
      <c r="DW88" s="92"/>
      <c r="DX88" s="92"/>
      <c r="DY88" s="92"/>
      <c r="DZ88" s="92"/>
      <c r="EA88" s="92"/>
      <c r="EB88" s="92"/>
      <c r="EC88" s="92"/>
      <c r="ED88" s="92"/>
      <c r="EE88" s="92"/>
      <c r="EF88" s="92"/>
      <c r="EG88" s="92"/>
      <c r="EH88" s="92"/>
      <c r="EI88" s="92"/>
      <c r="EJ88" s="92"/>
      <c r="EK88" s="92"/>
      <c r="EL88" s="92"/>
      <c r="EM88" s="92"/>
      <c r="EN88" s="92"/>
      <c r="EO88" s="92"/>
      <c r="EP88" s="92"/>
      <c r="EQ88" s="92"/>
      <c r="ER88" s="92"/>
      <c r="ES88" s="92"/>
      <c r="ET88" s="92"/>
      <c r="EU88" s="92"/>
      <c r="EV88" s="92"/>
      <c r="EW88" s="92"/>
      <c r="EX88" s="92"/>
      <c r="EY88" s="92"/>
      <c r="EZ88" s="92"/>
      <c r="FA88" s="92"/>
      <c r="FB88" s="92"/>
      <c r="FC88" s="92"/>
      <c r="FD88" s="92"/>
      <c r="FE88" s="92"/>
      <c r="FF88" s="92"/>
      <c r="FG88" s="92"/>
      <c r="FH88" s="92"/>
      <c r="FI88" s="92"/>
      <c r="FJ88" s="92"/>
      <c r="FK88" s="92"/>
      <c r="FL88" s="92"/>
      <c r="FM88" s="92"/>
      <c r="FN88" s="92"/>
      <c r="FO88" s="92"/>
      <c r="FP88" s="92"/>
      <c r="FQ88" s="92"/>
      <c r="FR88" s="92"/>
      <c r="FS88" s="92"/>
      <c r="FT88" s="92"/>
      <c r="FU88" s="92"/>
      <c r="FV88" s="92"/>
      <c r="FW88" s="92"/>
      <c r="FX88" s="92"/>
      <c r="FY88" s="92"/>
      <c r="FZ88" s="92"/>
      <c r="GA88" s="92"/>
      <c r="GB88" s="92"/>
      <c r="GC88" s="92"/>
      <c r="GD88" s="92"/>
      <c r="GE88" s="92"/>
      <c r="GF88" s="92"/>
      <c r="GG88" s="92"/>
      <c r="GH88" s="92"/>
      <c r="GI88" s="92"/>
      <c r="GJ88" s="92"/>
      <c r="GK88" s="92"/>
      <c r="GL88" s="92"/>
      <c r="GM88" s="92"/>
      <c r="GN88" s="92"/>
      <c r="GO88" s="92"/>
      <c r="GP88" s="92"/>
      <c r="GQ88" s="92"/>
      <c r="GR88" s="92"/>
      <c r="GS88" s="92"/>
      <c r="GT88" s="92"/>
      <c r="GU88" s="92"/>
      <c r="GV88" s="92"/>
      <c r="GW88" s="92"/>
      <c r="GX88" s="92"/>
      <c r="GY88" s="92"/>
      <c r="GZ88" s="92"/>
      <c r="HA88" s="92"/>
      <c r="HB88" s="92"/>
      <c r="HC88" s="92"/>
      <c r="HD88" s="92"/>
      <c r="HE88" s="92"/>
      <c r="HF88" s="92"/>
      <c r="HG88" s="92"/>
      <c r="HH88" s="92"/>
      <c r="HI88" s="92"/>
      <c r="HJ88" s="92"/>
      <c r="HK88" s="92"/>
      <c r="HL88" s="92"/>
      <c r="HM88" s="92"/>
      <c r="HN88" s="92"/>
      <c r="HO88" s="92"/>
      <c r="HP88" s="92"/>
      <c r="HQ88" s="92"/>
      <c r="HR88" s="92"/>
      <c r="HS88" s="92"/>
      <c r="HT88" s="92"/>
      <c r="HU88" s="92"/>
      <c r="HV88" s="92"/>
      <c r="HW88" s="92"/>
      <c r="HX88" s="92"/>
      <c r="HY88" s="92"/>
      <c r="HZ88" s="92"/>
      <c r="IA88" s="92"/>
      <c r="IB88" s="92"/>
      <c r="IC88" s="92"/>
      <c r="ID88" s="92"/>
      <c r="IE88" s="92"/>
      <c r="IF88" s="92"/>
      <c r="IG88" s="92"/>
      <c r="IH88" s="92"/>
      <c r="II88" s="92"/>
      <c r="IJ88" s="92"/>
      <c r="IK88" s="92"/>
      <c r="IL88" s="92"/>
      <c r="IM88" s="92"/>
      <c r="IN88" s="92"/>
      <c r="IO88" s="92"/>
      <c r="IP88" s="92"/>
      <c r="IQ88" s="92"/>
      <c r="IR88" s="92"/>
      <c r="IS88" s="92"/>
      <c r="IT88" s="92"/>
      <c r="IU88" s="92"/>
      <c r="IV88" s="92"/>
      <c r="IW88" s="92"/>
      <c r="IX88" s="92"/>
      <c r="IY88" s="92"/>
      <c r="IZ88" s="92"/>
      <c r="JA88" s="92"/>
      <c r="JB88" s="92"/>
      <c r="JC88" s="92"/>
      <c r="JD88" s="92"/>
      <c r="JE88" s="92"/>
      <c r="JF88" s="92"/>
      <c r="JG88" s="92"/>
      <c r="JH88" s="92"/>
      <c r="JI88" s="92"/>
      <c r="JJ88" s="92"/>
      <c r="JK88" s="92"/>
      <c r="JL88" s="92"/>
      <c r="JM88" s="92"/>
      <c r="JN88" s="92"/>
      <c r="JO88" s="92"/>
      <c r="JP88" s="92"/>
      <c r="JQ88" s="92"/>
      <c r="JR88" s="92"/>
      <c r="JS88" s="92"/>
      <c r="JT88" s="92"/>
      <c r="JU88" s="92"/>
      <c r="JV88" s="92"/>
      <c r="JW88" s="92"/>
      <c r="JX88" s="92"/>
      <c r="JY88" s="92"/>
      <c r="JZ88" s="92"/>
      <c r="KA88" s="92"/>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2"/>
      <c r="LA88" s="92"/>
      <c r="LB88" s="92"/>
      <c r="LC88" s="92"/>
      <c r="LD88" s="92"/>
      <c r="LE88" s="92"/>
      <c r="LF88" s="92"/>
      <c r="LG88" s="92"/>
      <c r="LH88" s="92"/>
      <c r="LI88" s="92"/>
      <c r="LJ88" s="92"/>
      <c r="LK88" s="92"/>
      <c r="LL88" s="92"/>
      <c r="LM88" s="92"/>
      <c r="LN88" s="92"/>
      <c r="LO88" s="92"/>
      <c r="LP88" s="92"/>
      <c r="LQ88" s="92"/>
      <c r="LR88" s="92"/>
      <c r="LS88" s="92"/>
      <c r="LT88" s="92"/>
      <c r="LU88" s="92"/>
      <c r="LV88" s="92"/>
      <c r="LW88" s="92"/>
      <c r="LX88" s="92"/>
      <c r="LY88" s="92"/>
      <c r="LZ88" s="92"/>
      <c r="MA88" s="92"/>
      <c r="MB88" s="92"/>
      <c r="MC88" s="92"/>
      <c r="MD88" s="92"/>
      <c r="ME88" s="92"/>
      <c r="MF88" s="92"/>
      <c r="MG88" s="92"/>
      <c r="MH88" s="92"/>
      <c r="MI88" s="92"/>
      <c r="MJ88" s="92"/>
      <c r="MK88" s="92"/>
      <c r="ML88" s="92"/>
      <c r="MM88" s="92"/>
      <c r="MN88" s="92"/>
      <c r="MO88" s="92"/>
      <c r="MP88" s="92"/>
      <c r="MQ88" s="92"/>
      <c r="MR88" s="92"/>
      <c r="MS88" s="92"/>
      <c r="MT88" s="92"/>
      <c r="MU88" s="92"/>
      <c r="MV88" s="92"/>
      <c r="MW88" s="92"/>
      <c r="MX88" s="92"/>
      <c r="MY88" s="92"/>
      <c r="MZ88" s="92"/>
      <c r="NA88" s="92"/>
      <c r="NB88" s="92"/>
      <c r="NC88" s="92"/>
      <c r="ND88" s="92"/>
      <c r="NE88" s="92"/>
      <c r="NF88" s="92"/>
      <c r="NG88" s="92"/>
      <c r="NH88" s="92"/>
      <c r="NI88" s="92"/>
      <c r="NJ88" s="92"/>
      <c r="NK88" s="92"/>
      <c r="NL88" s="92"/>
      <c r="NM88" s="92"/>
      <c r="NN88" s="92"/>
      <c r="NO88" s="92"/>
      <c r="NP88" s="92"/>
      <c r="NQ88" s="92"/>
      <c r="NR88" s="92"/>
      <c r="NS88" s="92"/>
      <c r="NT88" s="92"/>
      <c r="NU88" s="92"/>
      <c r="NV88" s="92"/>
      <c r="NW88" s="92"/>
      <c r="NX88" s="92"/>
      <c r="NY88" s="92"/>
      <c r="NZ88" s="92"/>
      <c r="OA88" s="92"/>
      <c r="OB88" s="92"/>
      <c r="OC88" s="92"/>
      <c r="OD88" s="92"/>
      <c r="OE88" s="92"/>
      <c r="OF88" s="92"/>
      <c r="OG88" s="92"/>
      <c r="OH88" s="92"/>
      <c r="OI88" s="92"/>
      <c r="OJ88" s="92"/>
      <c r="OK88" s="92"/>
      <c r="OL88" s="92"/>
      <c r="OM88" s="92"/>
      <c r="ON88" s="92"/>
      <c r="OO88" s="92"/>
      <c r="OP88" s="92"/>
      <c r="OQ88" s="92"/>
      <c r="OR88" s="92"/>
      <c r="OS88" s="92"/>
      <c r="OT88" s="92"/>
      <c r="OU88" s="92"/>
      <c r="OV88" s="92"/>
      <c r="OW88" s="92"/>
      <c r="OX88" s="92"/>
      <c r="OY88" s="92"/>
      <c r="OZ88" s="92"/>
      <c r="PA88" s="92"/>
      <c r="PB88" s="92"/>
      <c r="PC88" s="92"/>
      <c r="PD88" s="92"/>
      <c r="PE88" s="92"/>
      <c r="PF88" s="92"/>
      <c r="PG88" s="92"/>
      <c r="PH88" s="92"/>
      <c r="PI88" s="92"/>
      <c r="PJ88" s="92"/>
      <c r="PK88" s="92"/>
      <c r="PL88" s="92"/>
      <c r="PM88" s="92"/>
      <c r="PN88" s="92"/>
      <c r="PO88" s="92"/>
      <c r="PP88" s="92"/>
      <c r="PQ88" s="92"/>
      <c r="PR88" s="92"/>
      <c r="PS88" s="92"/>
      <c r="PT88" s="92"/>
      <c r="PU88" s="92"/>
      <c r="PV88" s="92"/>
      <c r="PW88" s="92"/>
      <c r="PX88" s="92"/>
      <c r="PY88" s="92"/>
      <c r="PZ88" s="92"/>
      <c r="QA88" s="92"/>
      <c r="QB88" s="92"/>
      <c r="QC88" s="92"/>
      <c r="QD88" s="92"/>
      <c r="QE88" s="92"/>
      <c r="QF88" s="92"/>
      <c r="QG88" s="92"/>
      <c r="QH88" s="92"/>
      <c r="QI88" s="92"/>
      <c r="QJ88" s="92"/>
      <c r="QK88" s="92"/>
      <c r="QL88" s="92"/>
      <c r="QM88" s="92"/>
      <c r="QN88" s="92"/>
      <c r="QO88" s="92"/>
    </row>
    <row r="89" spans="1:457">
      <c r="A89" s="83"/>
      <c r="B89" s="51"/>
      <c r="C89" s="101"/>
      <c r="D89" s="101"/>
      <c r="E89" s="101"/>
      <c r="F89" s="101"/>
      <c r="G89" s="101"/>
      <c r="H89" s="101"/>
      <c r="I89" s="101"/>
      <c r="J89" s="101"/>
      <c r="K89" s="101"/>
      <c r="L89" s="101"/>
      <c r="M89" s="101"/>
      <c r="N89" s="101"/>
      <c r="O89" s="101"/>
      <c r="P89" s="101"/>
      <c r="Q89" s="92"/>
      <c r="R89" s="92"/>
      <c r="S89" s="92"/>
      <c r="T89" s="595" t="s">
        <v>921</v>
      </c>
      <c r="U89" s="213">
        <f>AA89</f>
        <v>253.19333230872434</v>
      </c>
      <c r="V89" s="213">
        <f t="shared" si="68"/>
        <v>276.69024661090288</v>
      </c>
      <c r="W89" s="213">
        <f t="shared" si="68"/>
        <v>214.79855246051002</v>
      </c>
      <c r="X89" s="214">
        <f t="shared" si="69"/>
        <v>248.22737712671241</v>
      </c>
      <c r="Y89" s="92"/>
      <c r="Z89" s="662" t="s">
        <v>952</v>
      </c>
      <c r="AA89" s="213">
        <f>IF('AggrStep1-energy'!D96=0,"NA",AA37/('AggrStep1-energy'!D96+'AggrStep1-energy'!D99))</f>
        <v>253.19333230872434</v>
      </c>
      <c r="AB89" s="213">
        <f>IF('AggrStep1-energy'!E96=0,"NA",AB37/('AggrStep1-energy'!E96+'AggrStep1-energy'!E99))</f>
        <v>276.69024661090288</v>
      </c>
      <c r="AC89" s="213">
        <f>IF('AggrStep1-energy'!F96=0,"NA",AC37/('AggrStep1-energy'!F96+'AggrStep1-energy'!F99))</f>
        <v>214.79855246051002</v>
      </c>
      <c r="AD89" s="213">
        <f>IF('AggrStep1-energy'!G96=0,"NA",AD37/('AggrStep1-energy'!G96+'AggrStep1-energy'!G99))</f>
        <v>250.75705791959629</v>
      </c>
      <c r="AE89" s="92"/>
      <c r="AF89" s="92"/>
      <c r="AG89" s="92"/>
      <c r="AO89" s="92"/>
      <c r="AP89" s="92"/>
      <c r="AQ89" s="92"/>
      <c r="AR89" s="92"/>
      <c r="AS89" s="92"/>
      <c r="AT89" s="92"/>
      <c r="AU89" s="92"/>
      <c r="AV89" s="92"/>
      <c r="AW89" s="92"/>
      <c r="AX89" s="92"/>
      <c r="AY89" s="92"/>
      <c r="AZ89" s="92"/>
      <c r="BA89" s="92"/>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2"/>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2"/>
      <c r="CZ89" s="92"/>
      <c r="DA89" s="92"/>
      <c r="DB89" s="92"/>
      <c r="DC89" s="92"/>
      <c r="DD89" s="92"/>
      <c r="DE89" s="92"/>
      <c r="DF89" s="92"/>
      <c r="DG89" s="92"/>
      <c r="DH89" s="92"/>
      <c r="DI89" s="92"/>
      <c r="DJ89" s="92"/>
      <c r="DK89" s="92"/>
      <c r="DL89" s="92"/>
      <c r="DM89" s="92"/>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2"/>
      <c r="EN89" s="92"/>
      <c r="EO89" s="92"/>
      <c r="EP89" s="92"/>
      <c r="EQ89" s="92"/>
      <c r="ER89" s="92"/>
      <c r="ES89" s="92"/>
      <c r="ET89" s="92"/>
      <c r="EU89" s="92"/>
      <c r="EV89" s="92"/>
      <c r="EW89" s="92"/>
      <c r="EX89" s="92"/>
      <c r="EY89" s="92"/>
      <c r="EZ89" s="92"/>
      <c r="FA89" s="92"/>
      <c r="FB89" s="92"/>
      <c r="FC89" s="92"/>
      <c r="FD89" s="92"/>
      <c r="FE89" s="92"/>
      <c r="FF89" s="92"/>
      <c r="FG89" s="92"/>
      <c r="FH89" s="92"/>
      <c r="FI89" s="92"/>
      <c r="FJ89" s="92"/>
      <c r="FK89" s="92"/>
      <c r="FL89" s="92"/>
      <c r="FM89" s="92"/>
      <c r="FN89" s="92"/>
      <c r="FO89" s="92"/>
      <c r="FP89" s="92"/>
      <c r="FQ89" s="92"/>
      <c r="FR89" s="92"/>
      <c r="FS89" s="92"/>
      <c r="FT89" s="92"/>
      <c r="FU89" s="92"/>
      <c r="FV89" s="92"/>
      <c r="FW89" s="92"/>
      <c r="FX89" s="92"/>
      <c r="FY89" s="92"/>
      <c r="FZ89" s="92"/>
      <c r="GA89" s="92"/>
      <c r="GB89" s="92"/>
      <c r="GC89" s="92"/>
      <c r="GD89" s="92"/>
      <c r="GE89" s="92"/>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2"/>
      <c r="HE89" s="92"/>
      <c r="HF89" s="92"/>
      <c r="HG89" s="92"/>
      <c r="HH89" s="92"/>
      <c r="HI89" s="92"/>
      <c r="HJ89" s="92"/>
      <c r="HK89" s="92"/>
      <c r="HL89" s="92"/>
      <c r="HM89" s="92"/>
      <c r="HN89" s="92"/>
      <c r="HO89" s="92"/>
      <c r="HP89" s="92"/>
      <c r="HQ89" s="92"/>
      <c r="HR89" s="92"/>
      <c r="HS89" s="92"/>
      <c r="HT89" s="92"/>
      <c r="HU89" s="92"/>
      <c r="HV89" s="92"/>
      <c r="HW89" s="92"/>
      <c r="HX89" s="92"/>
      <c r="HY89" s="92"/>
      <c r="HZ89" s="92"/>
      <c r="IA89" s="92"/>
      <c r="IB89" s="92"/>
      <c r="IC89" s="92"/>
      <c r="ID89" s="92"/>
      <c r="IE89" s="92"/>
      <c r="IF89" s="92"/>
      <c r="IG89" s="92"/>
      <c r="IH89" s="92"/>
      <c r="II89" s="92"/>
      <c r="IJ89" s="92"/>
      <c r="IK89" s="92"/>
      <c r="IL89" s="92"/>
      <c r="IM89" s="92"/>
      <c r="IN89" s="92"/>
      <c r="IO89" s="92"/>
      <c r="IP89" s="92"/>
      <c r="IQ89" s="92"/>
      <c r="IR89" s="92"/>
      <c r="IS89" s="92"/>
      <c r="IT89" s="92"/>
      <c r="IU89" s="92"/>
      <c r="IV89" s="92"/>
      <c r="IW89" s="92"/>
      <c r="IX89" s="92"/>
      <c r="IY89" s="92"/>
      <c r="IZ89" s="92"/>
      <c r="JA89" s="92"/>
      <c r="JB89" s="92"/>
      <c r="JC89" s="92"/>
      <c r="JD89" s="92"/>
      <c r="JE89" s="92"/>
      <c r="JF89" s="92"/>
      <c r="JG89" s="92"/>
      <c r="JH89" s="92"/>
      <c r="JI89" s="92"/>
      <c r="JJ89" s="92"/>
      <c r="JK89" s="92"/>
      <c r="JL89" s="92"/>
      <c r="JM89" s="92"/>
      <c r="JN89" s="92"/>
      <c r="JO89" s="92"/>
      <c r="JP89" s="92"/>
      <c r="JQ89" s="92"/>
      <c r="JR89" s="92"/>
      <c r="JS89" s="92"/>
      <c r="JT89" s="92"/>
      <c r="JU89" s="92"/>
      <c r="JV89" s="92"/>
      <c r="JW89" s="92"/>
      <c r="JX89" s="92"/>
      <c r="JY89" s="92"/>
      <c r="JZ89" s="92"/>
      <c r="KA89" s="92"/>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2"/>
      <c r="LA89" s="92"/>
      <c r="LB89" s="92"/>
      <c r="LC89" s="92"/>
      <c r="LD89" s="92"/>
      <c r="LE89" s="92"/>
      <c r="LF89" s="92"/>
      <c r="LG89" s="92"/>
      <c r="LH89" s="92"/>
      <c r="LI89" s="92"/>
      <c r="LJ89" s="92"/>
      <c r="LK89" s="92"/>
      <c r="LL89" s="92"/>
      <c r="LM89" s="92"/>
      <c r="LN89" s="92"/>
      <c r="LO89" s="92"/>
      <c r="LP89" s="92"/>
      <c r="LQ89" s="92"/>
      <c r="LR89" s="92"/>
      <c r="LS89" s="92"/>
      <c r="LT89" s="92"/>
      <c r="LU89" s="92"/>
      <c r="LV89" s="92"/>
      <c r="LW89" s="92"/>
      <c r="LX89" s="92"/>
      <c r="LY89" s="92"/>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2"/>
      <c r="MY89" s="92"/>
      <c r="MZ89" s="92"/>
      <c r="NA89" s="92"/>
      <c r="NB89" s="92"/>
      <c r="NC89" s="92"/>
      <c r="ND89" s="92"/>
      <c r="NE89" s="92"/>
      <c r="NF89" s="92"/>
      <c r="NG89" s="92"/>
      <c r="NH89" s="92"/>
      <c r="NI89" s="92"/>
      <c r="NJ89" s="92"/>
      <c r="NK89" s="92"/>
      <c r="NL89" s="92"/>
      <c r="NM89" s="92"/>
      <c r="NN89" s="92"/>
      <c r="NO89" s="92"/>
      <c r="NP89" s="92"/>
      <c r="NQ89" s="92"/>
      <c r="NR89" s="92"/>
      <c r="NS89" s="92"/>
      <c r="NT89" s="92"/>
      <c r="NU89" s="92"/>
      <c r="NV89" s="92"/>
      <c r="NW89" s="92"/>
      <c r="NX89" s="92"/>
      <c r="NY89" s="92"/>
      <c r="NZ89" s="92"/>
      <c r="OA89" s="92"/>
      <c r="OB89" s="92"/>
      <c r="OC89" s="92"/>
      <c r="OD89" s="92"/>
      <c r="OE89" s="92"/>
      <c r="OF89" s="92"/>
      <c r="OG89" s="92"/>
      <c r="OH89" s="92"/>
      <c r="OI89" s="92"/>
      <c r="OJ89" s="92"/>
      <c r="OK89" s="92"/>
      <c r="OL89" s="92"/>
      <c r="OM89" s="92"/>
      <c r="ON89" s="92"/>
      <c r="OO89" s="92"/>
      <c r="OP89" s="92"/>
      <c r="OQ89" s="92"/>
      <c r="OR89" s="92"/>
      <c r="OS89" s="92"/>
      <c r="OT89" s="92"/>
      <c r="OU89" s="92"/>
      <c r="OV89" s="92"/>
      <c r="OW89" s="92"/>
      <c r="OX89" s="92"/>
      <c r="OY89" s="92"/>
      <c r="OZ89" s="92"/>
      <c r="PA89" s="92"/>
      <c r="PB89" s="92"/>
      <c r="PC89" s="92"/>
      <c r="PD89" s="92"/>
      <c r="PE89" s="92"/>
      <c r="PF89" s="92"/>
      <c r="PG89" s="92"/>
      <c r="PH89" s="92"/>
      <c r="PI89" s="92"/>
      <c r="PJ89" s="92"/>
      <c r="PK89" s="92"/>
      <c r="PL89" s="92"/>
      <c r="PM89" s="92"/>
      <c r="PN89" s="92"/>
      <c r="PO89" s="92"/>
      <c r="PP89" s="92"/>
      <c r="PQ89" s="92"/>
      <c r="PR89" s="92"/>
      <c r="PS89" s="92"/>
      <c r="PT89" s="92"/>
      <c r="PU89" s="92"/>
      <c r="PV89" s="92"/>
      <c r="PW89" s="92"/>
      <c r="PX89" s="92"/>
      <c r="PY89" s="92"/>
      <c r="PZ89" s="92"/>
      <c r="QA89" s="92"/>
      <c r="QB89" s="92"/>
      <c r="QC89" s="92"/>
      <c r="QD89" s="92"/>
      <c r="QE89" s="92"/>
      <c r="QF89" s="92"/>
      <c r="QG89" s="92"/>
      <c r="QH89" s="92"/>
      <c r="QI89" s="92"/>
      <c r="QJ89" s="92"/>
      <c r="QK89" s="92"/>
      <c r="QL89" s="92"/>
      <c r="QM89" s="92"/>
      <c r="QN89" s="92"/>
      <c r="QO89" s="92"/>
    </row>
    <row r="90" spans="1:457" ht="15.75">
      <c r="A90" s="317"/>
      <c r="B90" s="317"/>
      <c r="C90" s="223"/>
      <c r="D90" s="223"/>
      <c r="E90" s="223"/>
      <c r="F90" s="223"/>
      <c r="G90" s="223"/>
      <c r="H90" s="223"/>
      <c r="I90" s="223"/>
      <c r="J90" s="223"/>
      <c r="K90" s="223"/>
      <c r="L90" s="223"/>
      <c r="M90" s="223"/>
      <c r="N90" s="223"/>
      <c r="O90" s="223"/>
      <c r="P90" s="223"/>
      <c r="Q90" s="334"/>
      <c r="R90" s="105"/>
      <c r="S90" s="105"/>
      <c r="T90" s="66" t="s">
        <v>214</v>
      </c>
      <c r="U90" s="213">
        <v>1054.0791449980345</v>
      </c>
      <c r="V90" s="217">
        <f>AB90</f>
        <v>222.99403442371815</v>
      </c>
      <c r="W90" s="213">
        <v>1701.2755259547207</v>
      </c>
      <c r="X90" s="214">
        <f t="shared" si="69"/>
        <v>992.78290179215776</v>
      </c>
      <c r="Y90" s="92"/>
      <c r="Z90" s="66" t="s">
        <v>214</v>
      </c>
      <c r="AA90" s="213">
        <f>IF('AggrStep1-energy'!D97=0,"NA",AA38/'AggrStep1-energy'!D97)</f>
        <v>1054.0791419931375</v>
      </c>
      <c r="AB90" s="213">
        <f>IF('AggrStep1-energy'!E97=0,"NA",AB38/'AggrStep1-energy'!E97)</f>
        <v>222.99403442371815</v>
      </c>
      <c r="AC90" s="213">
        <f>IF('AggrStep1-energy'!F97=0,"NA",AC38/'AggrStep1-energy'!F97)</f>
        <v>1701.2755136678591</v>
      </c>
      <c r="AD90" s="213">
        <f>IF('AggrStep1-energy'!G97=0,"NA",AD38/'AggrStep1-energy'!G97)</f>
        <v>1231.6348690021284</v>
      </c>
      <c r="AE90" s="92"/>
      <c r="AF90" s="92"/>
      <c r="AG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2"/>
      <c r="CZ90" s="92"/>
      <c r="DA90" s="92"/>
      <c r="DB90" s="92"/>
      <c r="DC90" s="92"/>
      <c r="DD90" s="92"/>
      <c r="DE90" s="92"/>
      <c r="DF90" s="92"/>
      <c r="DG90" s="92"/>
      <c r="DH90" s="92"/>
      <c r="DI90" s="92"/>
      <c r="DJ90" s="92"/>
      <c r="DK90" s="92"/>
      <c r="DL90" s="92"/>
      <c r="DM90" s="92"/>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2"/>
      <c r="EN90" s="92"/>
      <c r="EO90" s="92"/>
      <c r="EP90" s="92"/>
      <c r="EQ90" s="92"/>
      <c r="ER90" s="92"/>
      <c r="ES90" s="92"/>
      <c r="ET90" s="92"/>
      <c r="EU90" s="92"/>
      <c r="EV90" s="92"/>
      <c r="EW90" s="92"/>
      <c r="EX90" s="92"/>
      <c r="EY90" s="92"/>
      <c r="EZ90" s="92"/>
      <c r="FA90" s="92"/>
      <c r="FB90" s="92"/>
      <c r="FC90" s="92"/>
      <c r="FD90" s="92"/>
      <c r="FE90" s="92"/>
      <c r="FF90" s="92"/>
      <c r="FG90" s="92"/>
      <c r="FH90" s="92"/>
      <c r="FI90" s="92"/>
      <c r="FJ90" s="92"/>
      <c r="FK90" s="92"/>
      <c r="FL90" s="92"/>
      <c r="FM90" s="92"/>
      <c r="FN90" s="92"/>
      <c r="FO90" s="92"/>
      <c r="FP90" s="92"/>
      <c r="FQ90" s="92"/>
      <c r="FR90" s="92"/>
      <c r="FS90" s="92"/>
      <c r="FT90" s="92"/>
      <c r="FU90" s="92"/>
      <c r="FV90" s="92"/>
      <c r="FW90" s="92"/>
      <c r="FX90" s="92"/>
      <c r="FY90" s="92"/>
      <c r="FZ90" s="92"/>
      <c r="GA90" s="92"/>
      <c r="GB90" s="92"/>
      <c r="GC90" s="92"/>
      <c r="GD90" s="92"/>
      <c r="GE90" s="92"/>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2"/>
      <c r="HE90" s="92"/>
      <c r="HF90" s="92"/>
      <c r="HG90" s="92"/>
      <c r="HH90" s="92"/>
      <c r="HI90" s="92"/>
      <c r="HJ90" s="92"/>
      <c r="HK90" s="92"/>
      <c r="HL90" s="92"/>
      <c r="HM90" s="92"/>
      <c r="HN90" s="92"/>
      <c r="HO90" s="92"/>
      <c r="HP90" s="92"/>
      <c r="HQ90" s="92"/>
      <c r="HR90" s="92"/>
      <c r="HS90" s="92"/>
      <c r="HT90" s="92"/>
      <c r="HU90" s="92"/>
      <c r="HV90" s="92"/>
      <c r="HW90" s="92"/>
      <c r="HX90" s="92"/>
      <c r="HY90" s="92"/>
      <c r="HZ90" s="92"/>
      <c r="IA90" s="92"/>
      <c r="IB90" s="92"/>
      <c r="IC90" s="92"/>
      <c r="ID90" s="92"/>
      <c r="IE90" s="92"/>
      <c r="IF90" s="92"/>
      <c r="IG90" s="92"/>
      <c r="IH90" s="92"/>
      <c r="II90" s="92"/>
      <c r="IJ90" s="92"/>
      <c r="IK90" s="92"/>
      <c r="IL90" s="92"/>
      <c r="IM90" s="92"/>
      <c r="IN90" s="92"/>
      <c r="IO90" s="92"/>
      <c r="IP90" s="92"/>
      <c r="IQ90" s="92"/>
      <c r="IR90" s="92"/>
      <c r="IS90" s="92"/>
      <c r="IT90" s="92"/>
      <c r="IU90" s="92"/>
      <c r="IV90" s="92"/>
      <c r="IW90" s="92"/>
      <c r="IX90" s="92"/>
      <c r="IY90" s="92"/>
      <c r="IZ90" s="92"/>
      <c r="JA90" s="92"/>
      <c r="JB90" s="92"/>
      <c r="JC90" s="92"/>
      <c r="JD90" s="92"/>
      <c r="JE90" s="92"/>
      <c r="JF90" s="92"/>
      <c r="JG90" s="92"/>
      <c r="JH90" s="92"/>
      <c r="JI90" s="92"/>
      <c r="JJ90" s="92"/>
      <c r="JK90" s="92"/>
      <c r="JL90" s="92"/>
      <c r="JM90" s="92"/>
      <c r="JN90" s="92"/>
      <c r="JO90" s="92"/>
      <c r="JP90" s="92"/>
      <c r="JQ90" s="92"/>
      <c r="JR90" s="92"/>
      <c r="JS90" s="92"/>
      <c r="JT90" s="92"/>
      <c r="JU90" s="92"/>
      <c r="JV90" s="92"/>
      <c r="JW90" s="92"/>
      <c r="JX90" s="92"/>
      <c r="JY90" s="92"/>
      <c r="JZ90" s="92"/>
      <c r="KA90" s="92"/>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2"/>
      <c r="LA90" s="92"/>
      <c r="LB90" s="92"/>
      <c r="LC90" s="92"/>
      <c r="LD90" s="92"/>
      <c r="LE90" s="92"/>
      <c r="LF90" s="92"/>
      <c r="LG90" s="92"/>
      <c r="LH90" s="92"/>
      <c r="LI90" s="92"/>
      <c r="LJ90" s="92"/>
      <c r="LK90" s="92"/>
      <c r="LL90" s="92"/>
      <c r="LM90" s="92"/>
      <c r="LN90" s="92"/>
      <c r="LO90" s="92"/>
      <c r="LP90" s="92"/>
      <c r="LQ90" s="92"/>
      <c r="LR90" s="92"/>
      <c r="LS90" s="92"/>
      <c r="LT90" s="92"/>
      <c r="LU90" s="92"/>
      <c r="LV90" s="92"/>
      <c r="LW90" s="92"/>
      <c r="LX90" s="92"/>
      <c r="LY90" s="92"/>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2"/>
      <c r="MY90" s="92"/>
      <c r="MZ90" s="92"/>
      <c r="NA90" s="92"/>
      <c r="NB90" s="92"/>
      <c r="NC90" s="92"/>
      <c r="ND90" s="92"/>
      <c r="NE90" s="92"/>
      <c r="NF90" s="92"/>
      <c r="NG90" s="92"/>
      <c r="NH90" s="92"/>
      <c r="NI90" s="92"/>
      <c r="NJ90" s="92"/>
      <c r="NK90" s="92"/>
      <c r="NL90" s="92"/>
      <c r="NM90" s="92"/>
      <c r="NN90" s="92"/>
      <c r="NO90" s="92"/>
      <c r="NP90" s="92"/>
      <c r="NQ90" s="92"/>
      <c r="NR90" s="92"/>
      <c r="NS90" s="92"/>
      <c r="NT90" s="92"/>
      <c r="NU90" s="92"/>
      <c r="NV90" s="92"/>
      <c r="NW90" s="92"/>
      <c r="NX90" s="92"/>
      <c r="NY90" s="92"/>
      <c r="NZ90" s="92"/>
      <c r="OA90" s="92"/>
      <c r="OB90" s="92"/>
      <c r="OC90" s="92"/>
      <c r="OD90" s="92"/>
      <c r="OE90" s="92"/>
      <c r="OF90" s="92"/>
      <c r="OG90" s="92"/>
      <c r="OH90" s="92"/>
      <c r="OI90" s="92"/>
      <c r="OJ90" s="92"/>
      <c r="OK90" s="92"/>
      <c r="OL90" s="92"/>
      <c r="OM90" s="92"/>
      <c r="ON90" s="92"/>
      <c r="OO90" s="92"/>
      <c r="OP90" s="92"/>
      <c r="OQ90" s="92"/>
      <c r="OR90" s="92"/>
      <c r="OS90" s="92"/>
      <c r="OT90" s="92"/>
      <c r="OU90" s="92"/>
      <c r="OV90" s="92"/>
      <c r="OW90" s="92"/>
      <c r="OX90" s="92"/>
      <c r="OY90" s="92"/>
      <c r="OZ90" s="92"/>
      <c r="PA90" s="92"/>
      <c r="PB90" s="92"/>
      <c r="PC90" s="92"/>
      <c r="PD90" s="92"/>
      <c r="PE90" s="92"/>
      <c r="PF90" s="92"/>
      <c r="PG90" s="92"/>
      <c r="PH90" s="92"/>
      <c r="PI90" s="92"/>
      <c r="PJ90" s="92"/>
      <c r="PK90" s="92"/>
      <c r="PL90" s="92"/>
      <c r="PM90" s="92"/>
      <c r="PN90" s="92"/>
      <c r="PO90" s="92"/>
      <c r="PP90" s="92"/>
      <c r="PQ90" s="92"/>
      <c r="PR90" s="92"/>
      <c r="PS90" s="92"/>
      <c r="PT90" s="92"/>
      <c r="PU90" s="92"/>
      <c r="PV90" s="92"/>
      <c r="PW90" s="92"/>
      <c r="PX90" s="92"/>
      <c r="PY90" s="92"/>
      <c r="PZ90" s="92"/>
      <c r="QA90" s="92"/>
      <c r="QB90" s="92"/>
      <c r="QC90" s="92"/>
      <c r="QD90" s="92"/>
      <c r="QE90" s="92"/>
      <c r="QF90" s="92"/>
      <c r="QG90" s="92"/>
      <c r="QH90" s="92"/>
      <c r="QI90" s="92"/>
      <c r="QJ90" s="92"/>
      <c r="QK90" s="92"/>
      <c r="QL90" s="92"/>
      <c r="QM90" s="92"/>
      <c r="QN90" s="92"/>
      <c r="QO90" s="92"/>
    </row>
    <row r="91" spans="1:457" ht="15.75">
      <c r="A91" s="83"/>
      <c r="B91" s="90"/>
      <c r="C91" s="90"/>
      <c r="D91" s="91"/>
      <c r="E91" s="91"/>
      <c r="F91" s="91"/>
      <c r="G91" s="91"/>
      <c r="H91" s="91"/>
      <c r="I91" s="91"/>
      <c r="J91" s="91"/>
      <c r="K91" s="91"/>
      <c r="L91" s="91"/>
      <c r="M91" s="91"/>
      <c r="N91" s="91"/>
      <c r="O91" s="91"/>
      <c r="P91" s="101"/>
      <c r="Q91" s="92"/>
      <c r="R91" s="92"/>
      <c r="S91" s="92"/>
      <c r="T91" s="66" t="s">
        <v>215</v>
      </c>
      <c r="U91" s="213">
        <v>572</v>
      </c>
      <c r="V91" s="217">
        <v>200</v>
      </c>
      <c r="W91" s="305">
        <f>AC91</f>
        <v>434.92859066024471</v>
      </c>
      <c r="X91" s="214">
        <f t="shared" si="69"/>
        <v>402.30953022008157</v>
      </c>
      <c r="Y91" s="92"/>
      <c r="Z91" s="66" t="s">
        <v>215</v>
      </c>
      <c r="AA91" s="213" t="str">
        <f>IF('AggrStep1-energy'!D98=0,"NA",AA39/'AggrStep1-energy'!D98)</f>
        <v>NA</v>
      </c>
      <c r="AB91" s="213" t="str">
        <f>IF('AggrStep1-energy'!E98=0,"NA",AB39/'AggrStep1-energy'!E98)</f>
        <v>NA</v>
      </c>
      <c r="AC91" s="213">
        <f>IF('AggrStep1-energy'!F98=0,"NA",AC39/'AggrStep1-energy'!F98)</f>
        <v>434.92859066024471</v>
      </c>
      <c r="AD91" s="213">
        <f>AD39/'AggrStep1-energy'!G98</f>
        <v>862.8981362371735</v>
      </c>
      <c r="AE91" s="92"/>
      <c r="AF91" s="92"/>
      <c r="AG91" s="92"/>
      <c r="AO91" s="92"/>
      <c r="AP91" s="92"/>
      <c r="AQ91" s="92"/>
      <c r="AR91" s="92"/>
      <c r="AS91" s="92"/>
      <c r="AT91" s="92"/>
      <c r="AU91" s="92"/>
      <c r="AV91" s="92"/>
      <c r="AW91" s="92"/>
      <c r="AX91" s="92"/>
      <c r="AY91" s="92"/>
      <c r="AZ91" s="92"/>
      <c r="BA91" s="92"/>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2"/>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2"/>
      <c r="CZ91" s="92"/>
      <c r="DA91" s="92"/>
      <c r="DB91" s="92"/>
      <c r="DC91" s="92"/>
      <c r="DD91" s="92"/>
      <c r="DE91" s="92"/>
      <c r="DF91" s="92"/>
      <c r="DG91" s="92"/>
      <c r="DH91" s="92"/>
      <c r="DI91" s="92"/>
      <c r="DJ91" s="92"/>
      <c r="DK91" s="92"/>
      <c r="DL91" s="92"/>
      <c r="DM91" s="92"/>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2"/>
      <c r="EN91" s="92"/>
      <c r="EO91" s="92"/>
      <c r="EP91" s="92"/>
      <c r="EQ91" s="92"/>
      <c r="ER91" s="92"/>
      <c r="ES91" s="92"/>
      <c r="ET91" s="92"/>
      <c r="EU91" s="92"/>
      <c r="EV91" s="92"/>
      <c r="EW91" s="92"/>
      <c r="EX91" s="92"/>
      <c r="EY91" s="92"/>
      <c r="EZ91" s="92"/>
      <c r="FA91" s="92"/>
      <c r="FB91" s="92"/>
      <c r="FC91" s="92"/>
      <c r="FD91" s="92"/>
      <c r="FE91" s="92"/>
      <c r="FF91" s="92"/>
      <c r="FG91" s="92"/>
      <c r="FH91" s="92"/>
      <c r="FI91" s="92"/>
      <c r="FJ91" s="92"/>
      <c r="FK91" s="92"/>
      <c r="FL91" s="92"/>
      <c r="FM91" s="92"/>
      <c r="FN91" s="92"/>
      <c r="FO91" s="92"/>
      <c r="FP91" s="92"/>
      <c r="FQ91" s="92"/>
      <c r="FR91" s="92"/>
      <c r="FS91" s="92"/>
      <c r="FT91" s="92"/>
      <c r="FU91" s="92"/>
      <c r="FV91" s="92"/>
      <c r="FW91" s="92"/>
      <c r="FX91" s="92"/>
      <c r="FY91" s="92"/>
      <c r="FZ91" s="92"/>
      <c r="GA91" s="92"/>
      <c r="GB91" s="92"/>
      <c r="GC91" s="92"/>
      <c r="GD91" s="92"/>
      <c r="GE91" s="92"/>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2"/>
      <c r="HE91" s="92"/>
      <c r="HF91" s="92"/>
      <c r="HG91" s="92"/>
      <c r="HH91" s="92"/>
      <c r="HI91" s="92"/>
      <c r="HJ91" s="92"/>
      <c r="HK91" s="92"/>
      <c r="HL91" s="92"/>
      <c r="HM91" s="92"/>
      <c r="HN91" s="92"/>
      <c r="HO91" s="92"/>
      <c r="HP91" s="92"/>
      <c r="HQ91" s="92"/>
      <c r="HR91" s="92"/>
      <c r="HS91" s="92"/>
      <c r="HT91" s="92"/>
      <c r="HU91" s="92"/>
      <c r="HV91" s="92"/>
      <c r="HW91" s="92"/>
      <c r="HX91" s="92"/>
      <c r="HY91" s="92"/>
      <c r="HZ91" s="92"/>
      <c r="IA91" s="92"/>
      <c r="IB91" s="92"/>
      <c r="IC91" s="92"/>
      <c r="ID91" s="92"/>
      <c r="IE91" s="92"/>
      <c r="IF91" s="92"/>
      <c r="IG91" s="92"/>
      <c r="IH91" s="92"/>
      <c r="II91" s="92"/>
      <c r="IJ91" s="92"/>
      <c r="IK91" s="92"/>
      <c r="IL91" s="92"/>
      <c r="IM91" s="92"/>
      <c r="IN91" s="92"/>
      <c r="IO91" s="92"/>
      <c r="IP91" s="92"/>
      <c r="IQ91" s="92"/>
      <c r="IR91" s="92"/>
      <c r="IS91" s="92"/>
      <c r="IT91" s="92"/>
      <c r="IU91" s="92"/>
      <c r="IV91" s="92"/>
      <c r="IW91" s="92"/>
      <c r="IX91" s="92"/>
      <c r="IY91" s="92"/>
      <c r="IZ91" s="92"/>
      <c r="JA91" s="92"/>
      <c r="JB91" s="92"/>
      <c r="JC91" s="92"/>
      <c r="JD91" s="92"/>
      <c r="JE91" s="92"/>
      <c r="JF91" s="92"/>
      <c r="JG91" s="92"/>
      <c r="JH91" s="92"/>
      <c r="JI91" s="92"/>
      <c r="JJ91" s="92"/>
      <c r="JK91" s="92"/>
      <c r="JL91" s="92"/>
      <c r="JM91" s="92"/>
      <c r="JN91" s="92"/>
      <c r="JO91" s="92"/>
      <c r="JP91" s="92"/>
      <c r="JQ91" s="92"/>
      <c r="JR91" s="92"/>
      <c r="JS91" s="92"/>
      <c r="JT91" s="92"/>
      <c r="JU91" s="92"/>
      <c r="JV91" s="92"/>
      <c r="JW91" s="92"/>
      <c r="JX91" s="92"/>
      <c r="JY91" s="92"/>
      <c r="JZ91" s="92"/>
      <c r="KA91" s="92"/>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2"/>
      <c r="LA91" s="92"/>
      <c r="LB91" s="92"/>
      <c r="LC91" s="92"/>
      <c r="LD91" s="92"/>
      <c r="LE91" s="92"/>
      <c r="LF91" s="92"/>
      <c r="LG91" s="92"/>
      <c r="LH91" s="92"/>
      <c r="LI91" s="92"/>
      <c r="LJ91" s="92"/>
      <c r="LK91" s="92"/>
      <c r="LL91" s="92"/>
      <c r="LM91" s="92"/>
      <c r="LN91" s="92"/>
      <c r="LO91" s="92"/>
      <c r="LP91" s="92"/>
      <c r="LQ91" s="92"/>
      <c r="LR91" s="92"/>
      <c r="LS91" s="92"/>
      <c r="LT91" s="92"/>
      <c r="LU91" s="92"/>
      <c r="LV91" s="92"/>
      <c r="LW91" s="92"/>
      <c r="LX91" s="92"/>
      <c r="LY91" s="92"/>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2"/>
      <c r="MY91" s="92"/>
      <c r="MZ91" s="92"/>
      <c r="NA91" s="92"/>
      <c r="NB91" s="92"/>
      <c r="NC91" s="92"/>
      <c r="ND91" s="92"/>
      <c r="NE91" s="92"/>
      <c r="NF91" s="92"/>
      <c r="NG91" s="92"/>
      <c r="NH91" s="92"/>
      <c r="NI91" s="92"/>
      <c r="NJ91" s="92"/>
      <c r="NK91" s="92"/>
      <c r="NL91" s="92"/>
      <c r="NM91" s="92"/>
      <c r="NN91" s="92"/>
      <c r="NO91" s="92"/>
      <c r="NP91" s="92"/>
      <c r="NQ91" s="92"/>
      <c r="NR91" s="92"/>
      <c r="NS91" s="92"/>
      <c r="NT91" s="92"/>
      <c r="NU91" s="92"/>
      <c r="NV91" s="92"/>
      <c r="NW91" s="92"/>
      <c r="NX91" s="92"/>
      <c r="NY91" s="92"/>
      <c r="NZ91" s="92"/>
      <c r="OA91" s="92"/>
      <c r="OB91" s="92"/>
      <c r="OC91" s="92"/>
      <c r="OD91" s="92"/>
      <c r="OE91" s="92"/>
      <c r="OF91" s="92"/>
      <c r="OG91" s="92"/>
      <c r="OH91" s="92"/>
      <c r="OI91" s="92"/>
      <c r="OJ91" s="92"/>
      <c r="OK91" s="92"/>
      <c r="OL91" s="92"/>
      <c r="OM91" s="92"/>
      <c r="ON91" s="92"/>
      <c r="OO91" s="92"/>
      <c r="OP91" s="92"/>
      <c r="OQ91" s="92"/>
      <c r="OR91" s="92"/>
      <c r="OS91" s="92"/>
      <c r="OT91" s="92"/>
      <c r="OU91" s="92"/>
      <c r="OV91" s="92"/>
      <c r="OW91" s="92"/>
      <c r="OX91" s="92"/>
      <c r="OY91" s="92"/>
      <c r="OZ91" s="92"/>
      <c r="PA91" s="92"/>
      <c r="PB91" s="92"/>
      <c r="PC91" s="92"/>
      <c r="PD91" s="92"/>
      <c r="PE91" s="92"/>
      <c r="PF91" s="92"/>
      <c r="PG91" s="92"/>
      <c r="PH91" s="92"/>
      <c r="PI91" s="92"/>
      <c r="PJ91" s="92"/>
      <c r="PK91" s="92"/>
      <c r="PL91" s="92"/>
      <c r="PM91" s="92"/>
      <c r="PN91" s="92"/>
      <c r="PO91" s="92"/>
      <c r="PP91" s="92"/>
      <c r="PQ91" s="92"/>
      <c r="PR91" s="92"/>
      <c r="PS91" s="92"/>
      <c r="PT91" s="92"/>
      <c r="PU91" s="92"/>
      <c r="PV91" s="92"/>
      <c r="PW91" s="92"/>
      <c r="PX91" s="92"/>
      <c r="PY91" s="92"/>
      <c r="PZ91" s="92"/>
      <c r="QA91" s="92"/>
      <c r="QB91" s="92"/>
      <c r="QC91" s="92"/>
      <c r="QD91" s="92"/>
      <c r="QE91" s="92"/>
      <c r="QF91" s="92"/>
      <c r="QG91" s="92"/>
      <c r="QH91" s="92"/>
      <c r="QI91" s="92"/>
      <c r="QJ91" s="92"/>
      <c r="QK91" s="92"/>
      <c r="QL91" s="92"/>
      <c r="QM91" s="92"/>
      <c r="QN91" s="92"/>
      <c r="QO91" s="92"/>
    </row>
    <row r="92" spans="1:457">
      <c r="A92" s="83"/>
      <c r="C92" s="106"/>
      <c r="D92" s="101"/>
      <c r="E92" s="101"/>
      <c r="F92" s="101"/>
      <c r="G92" s="101"/>
      <c r="H92" s="101"/>
      <c r="I92" s="101"/>
      <c r="J92" s="101"/>
      <c r="K92" s="101"/>
      <c r="L92" s="101"/>
      <c r="M92" s="101"/>
      <c r="N92" s="101"/>
      <c r="O92" s="102"/>
      <c r="P92" s="101"/>
      <c r="Q92" s="92"/>
      <c r="R92" s="92"/>
      <c r="S92" s="92"/>
      <c r="T92" s="276" t="s">
        <v>241</v>
      </c>
      <c r="U92" s="213">
        <f>AA92</f>
        <v>562.80205872600368</v>
      </c>
      <c r="V92" s="217">
        <f>AB92</f>
        <v>274.6264651066474</v>
      </c>
      <c r="W92" s="306">
        <f>AC92</f>
        <v>197.81401524575728</v>
      </c>
      <c r="X92" s="214">
        <f t="shared" si="69"/>
        <v>345.08084635946943</v>
      </c>
      <c r="Y92" s="92"/>
      <c r="Z92" s="276" t="s">
        <v>241</v>
      </c>
      <c r="AA92" s="213">
        <f>IF('AggrStep1-energy'!D99=0,"NA",AA45/'AggrStep1-energy'!D99)</f>
        <v>562.80205872600368</v>
      </c>
      <c r="AB92" s="213">
        <f>IF('AggrStep1-energy'!E99=0,"NA",AB45/'AggrStep1-energy'!E99)</f>
        <v>274.6264651066474</v>
      </c>
      <c r="AC92" s="213">
        <f>IF('AggrStep1-energy'!F99=0,"NA",AC45/'AggrStep1-energy'!F99)</f>
        <v>197.81401524575728</v>
      </c>
      <c r="AD92" s="213">
        <f>IF('AggrStep1-energy'!G99=0,"NA",AD45/'AggrStep1-energy'!G99)</f>
        <v>398.2816135858568</v>
      </c>
      <c r="AE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2"/>
      <c r="CZ92" s="92"/>
      <c r="DA92" s="92"/>
      <c r="DB92" s="92"/>
      <c r="DC92" s="92"/>
      <c r="DD92" s="92"/>
      <c r="DE92" s="92"/>
      <c r="DF92" s="92"/>
      <c r="DG92" s="92"/>
      <c r="DH92" s="92"/>
      <c r="DI92" s="92"/>
      <c r="DJ92" s="92"/>
      <c r="DK92" s="92"/>
      <c r="DL92" s="92"/>
      <c r="DM92" s="92"/>
      <c r="DN92" s="92"/>
      <c r="DO92" s="92"/>
      <c r="DP92" s="92"/>
      <c r="DQ92" s="92"/>
      <c r="DR92" s="92"/>
      <c r="DS92" s="92"/>
      <c r="DT92" s="92"/>
      <c r="DU92" s="92"/>
      <c r="DV92" s="92"/>
      <c r="DW92" s="92"/>
      <c r="DX92" s="92"/>
      <c r="DY92" s="92"/>
      <c r="DZ92" s="92"/>
      <c r="EA92" s="92"/>
      <c r="EB92" s="92"/>
      <c r="EC92" s="92"/>
      <c r="ED92" s="92"/>
      <c r="EE92" s="92"/>
      <c r="EF92" s="92"/>
      <c r="EG92" s="92"/>
      <c r="EH92" s="92"/>
      <c r="EI92" s="92"/>
      <c r="EJ92" s="92"/>
      <c r="EK92" s="92"/>
      <c r="EL92" s="92"/>
      <c r="EM92" s="92"/>
      <c r="EN92" s="92"/>
      <c r="EO92" s="92"/>
      <c r="EP92" s="92"/>
      <c r="EQ92" s="92"/>
      <c r="ER92" s="92"/>
      <c r="ES92" s="92"/>
      <c r="ET92" s="92"/>
      <c r="EU92" s="92"/>
      <c r="EV92" s="92"/>
      <c r="EW92" s="92"/>
      <c r="EX92" s="92"/>
      <c r="EY92" s="92"/>
      <c r="EZ92" s="92"/>
      <c r="FA92" s="92"/>
      <c r="FB92" s="92"/>
      <c r="FC92" s="92"/>
      <c r="FD92" s="92"/>
      <c r="FE92" s="92"/>
      <c r="FF92" s="92"/>
      <c r="FG92" s="92"/>
      <c r="FH92" s="92"/>
      <c r="FI92" s="92"/>
      <c r="FJ92" s="92"/>
      <c r="FK92" s="92"/>
      <c r="FL92" s="92"/>
      <c r="FM92" s="92"/>
      <c r="FN92" s="92"/>
      <c r="FO92" s="92"/>
      <c r="FP92" s="92"/>
      <c r="FQ92" s="92"/>
      <c r="FR92" s="92"/>
      <c r="FS92" s="92"/>
      <c r="FT92" s="92"/>
      <c r="FU92" s="92"/>
      <c r="FV92" s="92"/>
      <c r="FW92" s="92"/>
      <c r="FX92" s="92"/>
      <c r="FY92" s="92"/>
      <c r="FZ92" s="92"/>
      <c r="GA92" s="92"/>
      <c r="GB92" s="92"/>
      <c r="GC92" s="92"/>
      <c r="GD92" s="92"/>
      <c r="GE92" s="92"/>
      <c r="GF92" s="92"/>
      <c r="GG92" s="92"/>
      <c r="GH92" s="92"/>
      <c r="GI92" s="92"/>
      <c r="GJ92" s="92"/>
      <c r="GK92" s="92"/>
      <c r="GL92" s="92"/>
      <c r="GM92" s="92"/>
      <c r="GN92" s="92"/>
      <c r="GO92" s="92"/>
      <c r="GP92" s="92"/>
      <c r="GQ92" s="92"/>
      <c r="GR92" s="92"/>
      <c r="GS92" s="92"/>
      <c r="GT92" s="92"/>
      <c r="GU92" s="92"/>
      <c r="GV92" s="92"/>
      <c r="GW92" s="92"/>
      <c r="GX92" s="92"/>
      <c r="GY92" s="92"/>
      <c r="GZ92" s="92"/>
      <c r="HA92" s="92"/>
      <c r="HB92" s="92"/>
      <c r="HC92" s="92"/>
      <c r="HD92" s="92"/>
      <c r="HE92" s="92"/>
      <c r="HF92" s="92"/>
      <c r="HG92" s="92"/>
      <c r="HH92" s="92"/>
      <c r="HI92" s="92"/>
      <c r="HJ92" s="92"/>
      <c r="HK92" s="92"/>
      <c r="HL92" s="92"/>
      <c r="HM92" s="92"/>
      <c r="HN92" s="92"/>
      <c r="HO92" s="92"/>
      <c r="HP92" s="92"/>
      <c r="HQ92" s="92"/>
      <c r="HR92" s="92"/>
      <c r="HS92" s="92"/>
      <c r="HT92" s="92"/>
      <c r="HU92" s="92"/>
      <c r="HV92" s="92"/>
      <c r="HW92" s="92"/>
      <c r="HX92" s="92"/>
      <c r="HY92" s="92"/>
      <c r="HZ92" s="92"/>
      <c r="IA92" s="92"/>
      <c r="IB92" s="92"/>
      <c r="IC92" s="92"/>
      <c r="ID92" s="92"/>
      <c r="IE92" s="92"/>
      <c r="IF92" s="92"/>
      <c r="IG92" s="92"/>
      <c r="IH92" s="92"/>
      <c r="II92" s="92"/>
      <c r="IJ92" s="92"/>
      <c r="IK92" s="92"/>
      <c r="IL92" s="92"/>
      <c r="IM92" s="92"/>
      <c r="IN92" s="92"/>
      <c r="IO92" s="92"/>
      <c r="IP92" s="92"/>
      <c r="IQ92" s="92"/>
      <c r="IR92" s="92"/>
      <c r="IS92" s="92"/>
      <c r="IT92" s="92"/>
      <c r="IU92" s="92"/>
      <c r="IV92" s="92"/>
      <c r="IW92" s="92"/>
      <c r="IX92" s="92"/>
      <c r="IY92" s="92"/>
      <c r="IZ92" s="92"/>
      <c r="JA92" s="92"/>
      <c r="JB92" s="92"/>
      <c r="JC92" s="92"/>
      <c r="JD92" s="92"/>
      <c r="JE92" s="92"/>
      <c r="JF92" s="92"/>
      <c r="JG92" s="92"/>
      <c r="JH92" s="92"/>
      <c r="JI92" s="92"/>
      <c r="JJ92" s="92"/>
      <c r="JK92" s="92"/>
      <c r="JL92" s="92"/>
      <c r="JM92" s="92"/>
      <c r="JN92" s="92"/>
      <c r="JO92" s="92"/>
      <c r="JP92" s="92"/>
      <c r="JQ92" s="92"/>
      <c r="JR92" s="92"/>
      <c r="JS92" s="92"/>
      <c r="JT92" s="92"/>
      <c r="JU92" s="92"/>
      <c r="JV92" s="92"/>
      <c r="JW92" s="92"/>
      <c r="JX92" s="92"/>
      <c r="JY92" s="92"/>
      <c r="JZ92" s="92"/>
      <c r="KA92" s="92"/>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2"/>
      <c r="LA92" s="92"/>
      <c r="LB92" s="92"/>
      <c r="LC92" s="92"/>
      <c r="LD92" s="92"/>
      <c r="LE92" s="92"/>
      <c r="LF92" s="92"/>
      <c r="LG92" s="92"/>
      <c r="LH92" s="92"/>
      <c r="LI92" s="92"/>
      <c r="LJ92" s="92"/>
      <c r="LK92" s="92"/>
      <c r="LL92" s="92"/>
      <c r="LM92" s="92"/>
      <c r="LN92" s="92"/>
      <c r="LO92" s="92"/>
      <c r="LP92" s="92"/>
      <c r="LQ92" s="92"/>
      <c r="LR92" s="92"/>
      <c r="LS92" s="92"/>
      <c r="LT92" s="92"/>
      <c r="LU92" s="92"/>
      <c r="LV92" s="92"/>
      <c r="LW92" s="92"/>
      <c r="LX92" s="92"/>
      <c r="LY92" s="92"/>
      <c r="LZ92" s="92"/>
      <c r="MA92" s="92"/>
      <c r="MB92" s="92"/>
      <c r="MC92" s="92"/>
      <c r="MD92" s="92"/>
      <c r="ME92" s="92"/>
      <c r="MF92" s="92"/>
      <c r="MG92" s="92"/>
      <c r="MH92" s="92"/>
      <c r="MI92" s="92"/>
      <c r="MJ92" s="92"/>
      <c r="MK92" s="92"/>
      <c r="ML92" s="92"/>
      <c r="MM92" s="92"/>
      <c r="MN92" s="92"/>
      <c r="MO92" s="92"/>
      <c r="MP92" s="92"/>
      <c r="MQ92" s="92"/>
      <c r="MR92" s="92"/>
      <c r="MS92" s="92"/>
      <c r="MT92" s="92"/>
      <c r="MU92" s="92"/>
      <c r="MV92" s="92"/>
      <c r="MW92" s="92"/>
      <c r="MX92" s="92"/>
      <c r="MY92" s="92"/>
      <c r="MZ92" s="92"/>
      <c r="NA92" s="92"/>
      <c r="NB92" s="92"/>
      <c r="NC92" s="92"/>
      <c r="ND92" s="92"/>
      <c r="NE92" s="92"/>
      <c r="NF92" s="92"/>
      <c r="NG92" s="92"/>
      <c r="NH92" s="92"/>
      <c r="NI92" s="92"/>
      <c r="NJ92" s="92"/>
      <c r="NK92" s="92"/>
      <c r="NL92" s="92"/>
      <c r="NM92" s="92"/>
      <c r="NN92" s="92"/>
      <c r="NO92" s="92"/>
      <c r="NP92" s="92"/>
      <c r="NQ92" s="92"/>
      <c r="NR92" s="92"/>
      <c r="NS92" s="92"/>
      <c r="NT92" s="92"/>
      <c r="NU92" s="92"/>
      <c r="NV92" s="92"/>
      <c r="NW92" s="92"/>
      <c r="NX92" s="92"/>
      <c r="NY92" s="92"/>
      <c r="NZ92" s="92"/>
      <c r="OA92" s="92"/>
      <c r="OB92" s="92"/>
      <c r="OC92" s="92"/>
      <c r="OD92" s="92"/>
      <c r="OE92" s="92"/>
      <c r="OF92" s="92"/>
      <c r="OG92" s="92"/>
      <c r="OH92" s="92"/>
      <c r="OI92" s="92"/>
      <c r="OJ92" s="92"/>
      <c r="OK92" s="92"/>
      <c r="OL92" s="92"/>
      <c r="OM92" s="92"/>
      <c r="ON92" s="92"/>
      <c r="OO92" s="92"/>
      <c r="OP92" s="92"/>
      <c r="OQ92" s="92"/>
      <c r="OR92" s="92"/>
      <c r="OS92" s="92"/>
      <c r="OT92" s="92"/>
      <c r="OU92" s="92"/>
      <c r="OV92" s="92"/>
      <c r="OW92" s="92"/>
      <c r="OX92" s="92"/>
      <c r="OY92" s="92"/>
      <c r="OZ92" s="92"/>
      <c r="PA92" s="92"/>
      <c r="PB92" s="92"/>
      <c r="PC92" s="92"/>
      <c r="PD92" s="92"/>
      <c r="PE92" s="92"/>
      <c r="PF92" s="92"/>
      <c r="PG92" s="92"/>
      <c r="PH92" s="92"/>
      <c r="PI92" s="92"/>
      <c r="PJ92" s="92"/>
      <c r="PK92" s="92"/>
      <c r="PL92" s="92"/>
      <c r="PM92" s="92"/>
      <c r="PN92" s="92"/>
      <c r="PO92" s="92"/>
      <c r="PP92" s="92"/>
      <c r="PQ92" s="92"/>
      <c r="PR92" s="92"/>
      <c r="PS92" s="92"/>
      <c r="PT92" s="92"/>
      <c r="PU92" s="92"/>
      <c r="PV92" s="92"/>
      <c r="PW92" s="92"/>
      <c r="PX92" s="92"/>
      <c r="PY92" s="92"/>
      <c r="PZ92" s="92"/>
      <c r="QA92" s="92"/>
      <c r="QB92" s="92"/>
      <c r="QC92" s="92"/>
      <c r="QD92" s="92"/>
      <c r="QE92" s="92"/>
      <c r="QF92" s="92"/>
      <c r="QG92" s="92"/>
      <c r="QH92" s="92"/>
      <c r="QI92" s="92"/>
      <c r="QJ92" s="92"/>
      <c r="QK92" s="92"/>
      <c r="QL92" s="92"/>
      <c r="QM92" s="92"/>
      <c r="QN92" s="92"/>
      <c r="QO92" s="92"/>
    </row>
    <row r="93" spans="1:457">
      <c r="A93" s="83"/>
      <c r="C93" s="106"/>
      <c r="D93" s="101"/>
      <c r="E93" s="101"/>
      <c r="F93" s="101"/>
      <c r="G93" s="101"/>
      <c r="H93" s="101"/>
      <c r="I93" s="101"/>
      <c r="J93" s="101"/>
      <c r="K93" s="101"/>
      <c r="L93" s="101"/>
      <c r="M93" s="101"/>
      <c r="N93" s="101"/>
      <c r="O93" s="102"/>
      <c r="P93" s="101"/>
      <c r="Q93" s="92"/>
      <c r="R93" s="92"/>
      <c r="S93" s="92"/>
      <c r="T93" s="216" t="s">
        <v>388</v>
      </c>
      <c r="U93" s="482">
        <v>1500</v>
      </c>
      <c r="V93" s="217">
        <v>200</v>
      </c>
      <c r="W93" s="218">
        <f>W88</f>
        <v>314.93373174080745</v>
      </c>
      <c r="X93" s="214">
        <f t="shared" si="69"/>
        <v>671.6445772469358</v>
      </c>
      <c r="Y93" s="92"/>
      <c r="Z93" s="216" t="s">
        <v>388</v>
      </c>
      <c r="AA93" s="213">
        <f>IF('AggrStep1-energy'!D102=0,"NA",AA40/'AggrStep1-energy'!D102)</f>
        <v>99292.255833445801</v>
      </c>
      <c r="AB93" s="213">
        <f>IF('AggrStep1-energy'!E102=0,"NA",AB40/'AggrStep1-energy'!E102)</f>
        <v>173.25188022408884</v>
      </c>
      <c r="AC93" s="213" t="str">
        <f>IF('AggrStep1-energy'!F102=0,"NA",AC40/'AggrStep1-energy'!F102)</f>
        <v>NA</v>
      </c>
      <c r="AD93" s="213">
        <f>IF('AggrStep1-energy'!G102=0,"NA",AD40/'AggrStep1-energy'!G102)</f>
        <v>583.30636993564383</v>
      </c>
      <c r="AE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2"/>
      <c r="CZ93" s="92"/>
      <c r="DA93" s="92"/>
      <c r="DB93" s="92"/>
      <c r="DC93" s="92"/>
      <c r="DD93" s="92"/>
      <c r="DE93" s="92"/>
      <c r="DF93" s="92"/>
      <c r="DG93" s="92"/>
      <c r="DH93" s="92"/>
      <c r="DI93" s="92"/>
      <c r="DJ93" s="92"/>
      <c r="DK93" s="92"/>
      <c r="DL93" s="92"/>
      <c r="DM93" s="92"/>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2"/>
      <c r="EN93" s="92"/>
      <c r="EO93" s="92"/>
      <c r="EP93" s="92"/>
      <c r="EQ93" s="92"/>
      <c r="ER93" s="92"/>
      <c r="ES93" s="92"/>
      <c r="ET93" s="92"/>
      <c r="EU93" s="92"/>
      <c r="EV93" s="92"/>
      <c r="EW93" s="92"/>
      <c r="EX93" s="92"/>
      <c r="EY93" s="92"/>
      <c r="EZ93" s="92"/>
      <c r="FA93" s="92"/>
      <c r="FB93" s="92"/>
      <c r="FC93" s="92"/>
      <c r="FD93" s="92"/>
      <c r="FE93" s="92"/>
      <c r="FF93" s="92"/>
      <c r="FG93" s="92"/>
      <c r="FH93" s="92"/>
      <c r="FI93" s="92"/>
      <c r="FJ93" s="92"/>
      <c r="FK93" s="92"/>
      <c r="FL93" s="92"/>
      <c r="FM93" s="92"/>
      <c r="FN93" s="92"/>
      <c r="FO93" s="92"/>
      <c r="FP93" s="92"/>
      <c r="FQ93" s="92"/>
      <c r="FR93" s="92"/>
      <c r="FS93" s="92"/>
      <c r="FT93" s="92"/>
      <c r="FU93" s="92"/>
      <c r="FV93" s="92"/>
      <c r="FW93" s="92"/>
      <c r="FX93" s="92"/>
      <c r="FY93" s="92"/>
      <c r="FZ93" s="92"/>
      <c r="GA93" s="92"/>
      <c r="GB93" s="92"/>
      <c r="GC93" s="92"/>
      <c r="GD93" s="92"/>
      <c r="GE93" s="92"/>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2"/>
      <c r="HE93" s="92"/>
      <c r="HF93" s="92"/>
      <c r="HG93" s="92"/>
      <c r="HH93" s="92"/>
      <c r="HI93" s="92"/>
      <c r="HJ93" s="92"/>
      <c r="HK93" s="92"/>
      <c r="HL93" s="92"/>
      <c r="HM93" s="92"/>
      <c r="HN93" s="92"/>
      <c r="HO93" s="92"/>
      <c r="HP93" s="92"/>
      <c r="HQ93" s="92"/>
      <c r="HR93" s="92"/>
      <c r="HS93" s="92"/>
      <c r="HT93" s="92"/>
      <c r="HU93" s="92"/>
      <c r="HV93" s="92"/>
      <c r="HW93" s="92"/>
      <c r="HX93" s="92"/>
      <c r="HY93" s="92"/>
      <c r="HZ93" s="92"/>
      <c r="IA93" s="92"/>
      <c r="IB93" s="92"/>
      <c r="IC93" s="92"/>
      <c r="ID93" s="92"/>
      <c r="IE93" s="92"/>
      <c r="IF93" s="92"/>
      <c r="IG93" s="92"/>
      <c r="IH93" s="92"/>
      <c r="II93" s="92"/>
      <c r="IJ93" s="92"/>
      <c r="IK93" s="92"/>
      <c r="IL93" s="92"/>
      <c r="IM93" s="92"/>
      <c r="IN93" s="92"/>
      <c r="IO93" s="92"/>
      <c r="IP93" s="92"/>
      <c r="IQ93" s="92"/>
      <c r="IR93" s="92"/>
      <c r="IS93" s="92"/>
      <c r="IT93" s="92"/>
      <c r="IU93" s="92"/>
      <c r="IV93" s="92"/>
      <c r="IW93" s="92"/>
      <c r="IX93" s="92"/>
      <c r="IY93" s="92"/>
      <c r="IZ93" s="92"/>
      <c r="JA93" s="92"/>
      <c r="JB93" s="92"/>
      <c r="JC93" s="92"/>
      <c r="JD93" s="92"/>
      <c r="JE93" s="92"/>
      <c r="JF93" s="92"/>
      <c r="JG93" s="92"/>
      <c r="JH93" s="92"/>
      <c r="JI93" s="92"/>
      <c r="JJ93" s="92"/>
      <c r="JK93" s="92"/>
      <c r="JL93" s="92"/>
      <c r="JM93" s="92"/>
      <c r="JN93" s="92"/>
      <c r="JO93" s="92"/>
      <c r="JP93" s="92"/>
      <c r="JQ93" s="92"/>
      <c r="JR93" s="92"/>
      <c r="JS93" s="92"/>
      <c r="JT93" s="92"/>
      <c r="JU93" s="92"/>
      <c r="JV93" s="92"/>
      <c r="JW93" s="92"/>
      <c r="JX93" s="92"/>
      <c r="JY93" s="92"/>
      <c r="JZ93" s="92"/>
      <c r="KA93" s="92"/>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2"/>
      <c r="LA93" s="92"/>
      <c r="LB93" s="92"/>
      <c r="LC93" s="92"/>
      <c r="LD93" s="92"/>
      <c r="LE93" s="92"/>
      <c r="LF93" s="92"/>
      <c r="LG93" s="92"/>
      <c r="LH93" s="92"/>
      <c r="LI93" s="92"/>
      <c r="LJ93" s="92"/>
      <c r="LK93" s="92"/>
      <c r="LL93" s="92"/>
      <c r="LM93" s="92"/>
      <c r="LN93" s="92"/>
      <c r="LO93" s="92"/>
      <c r="LP93" s="92"/>
      <c r="LQ93" s="92"/>
      <c r="LR93" s="92"/>
      <c r="LS93" s="92"/>
      <c r="LT93" s="92"/>
      <c r="LU93" s="92"/>
      <c r="LV93" s="92"/>
      <c r="LW93" s="92"/>
      <c r="LX93" s="92"/>
      <c r="LY93" s="92"/>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2"/>
      <c r="MY93" s="92"/>
      <c r="MZ93" s="92"/>
      <c r="NA93" s="92"/>
      <c r="NB93" s="92"/>
      <c r="NC93" s="92"/>
      <c r="ND93" s="92"/>
      <c r="NE93" s="92"/>
      <c r="NF93" s="92"/>
      <c r="NG93" s="92"/>
      <c r="NH93" s="92"/>
      <c r="NI93" s="92"/>
      <c r="NJ93" s="92"/>
      <c r="NK93" s="92"/>
      <c r="NL93" s="92"/>
      <c r="NM93" s="92"/>
      <c r="NN93" s="92"/>
      <c r="NO93" s="92"/>
      <c r="NP93" s="92"/>
      <c r="NQ93" s="92"/>
      <c r="NR93" s="92"/>
      <c r="NS93" s="92"/>
      <c r="NT93" s="92"/>
      <c r="NU93" s="92"/>
      <c r="NV93" s="92"/>
      <c r="NW93" s="92"/>
      <c r="NX93" s="92"/>
      <c r="NY93" s="92"/>
      <c r="NZ93" s="92"/>
      <c r="OA93" s="92"/>
      <c r="OB93" s="92"/>
      <c r="OC93" s="92"/>
      <c r="OD93" s="92"/>
      <c r="OE93" s="92"/>
      <c r="OF93" s="92"/>
      <c r="OG93" s="92"/>
      <c r="OH93" s="92"/>
      <c r="OI93" s="92"/>
      <c r="OJ93" s="92"/>
      <c r="OK93" s="92"/>
      <c r="OL93" s="92"/>
      <c r="OM93" s="92"/>
      <c r="ON93" s="92"/>
      <c r="OO93" s="92"/>
      <c r="OP93" s="92"/>
      <c r="OQ93" s="92"/>
      <c r="OR93" s="92"/>
      <c r="OS93" s="92"/>
      <c r="OT93" s="92"/>
      <c r="OU93" s="92"/>
      <c r="OV93" s="92"/>
      <c r="OW93" s="92"/>
      <c r="OX93" s="92"/>
      <c r="OY93" s="92"/>
      <c r="OZ93" s="92"/>
      <c r="PA93" s="92"/>
      <c r="PB93" s="92"/>
      <c r="PC93" s="92"/>
      <c r="PD93" s="92"/>
      <c r="PE93" s="92"/>
      <c r="PF93" s="92"/>
      <c r="PG93" s="92"/>
      <c r="PH93" s="92"/>
      <c r="PI93" s="92"/>
      <c r="PJ93" s="92"/>
      <c r="PK93" s="92"/>
      <c r="PL93" s="92"/>
      <c r="PM93" s="92"/>
      <c r="PN93" s="92"/>
      <c r="PO93" s="92"/>
      <c r="PP93" s="92"/>
      <c r="PQ93" s="92"/>
      <c r="PR93" s="92"/>
      <c r="PS93" s="92"/>
      <c r="PT93" s="92"/>
      <c r="PU93" s="92"/>
      <c r="PV93" s="92"/>
      <c r="PW93" s="92"/>
      <c r="PX93" s="92"/>
      <c r="PY93" s="92"/>
      <c r="PZ93" s="92"/>
      <c r="QA93" s="92"/>
      <c r="QB93" s="92"/>
      <c r="QC93" s="92"/>
      <c r="QD93" s="92"/>
      <c r="QE93" s="92"/>
      <c r="QF93" s="92"/>
      <c r="QG93" s="92"/>
      <c r="QH93" s="92"/>
      <c r="QI93" s="92"/>
      <c r="QJ93" s="92"/>
      <c r="QK93" s="92"/>
      <c r="QL93" s="92"/>
      <c r="QM93" s="92"/>
      <c r="QN93" s="92"/>
      <c r="QO93" s="92"/>
    </row>
    <row r="94" spans="1:457">
      <c r="A94" s="83"/>
      <c r="C94" s="106"/>
      <c r="D94" s="101"/>
      <c r="E94" s="101"/>
      <c r="F94" s="101"/>
      <c r="G94" s="101"/>
      <c r="H94" s="101"/>
      <c r="I94" s="101"/>
      <c r="J94" s="101"/>
      <c r="K94" s="101"/>
      <c r="L94" s="101"/>
      <c r="M94" s="101"/>
      <c r="N94" s="101"/>
      <c r="O94" s="102"/>
      <c r="P94" s="101"/>
      <c r="Q94" s="92"/>
      <c r="R94" s="92"/>
      <c r="S94" s="92"/>
      <c r="T94" s="216" t="s">
        <v>421</v>
      </c>
      <c r="U94" s="213">
        <f>AA94</f>
        <v>98.584344703423355</v>
      </c>
      <c r="V94" s="213">
        <f>AB94</f>
        <v>23.149025855903062</v>
      </c>
      <c r="W94" s="213">
        <v>37.975709227434606</v>
      </c>
      <c r="X94" s="214">
        <f>AVERAGE(U94:W94)</f>
        <v>53.236359928920344</v>
      </c>
      <c r="Y94" s="92"/>
      <c r="Z94" s="216" t="s">
        <v>421</v>
      </c>
      <c r="AA94" s="213">
        <f>IF('AggrStep1-energy'!D103=0,"NA",AA41/'AggrStep1-energy'!D103)</f>
        <v>98.584344703423355</v>
      </c>
      <c r="AB94" s="213">
        <f>IF('AggrStep1-energy'!E103=0,"NA",AB41/'AggrStep1-energy'!E103)</f>
        <v>23.149025855903062</v>
      </c>
      <c r="AC94" s="213" t="str">
        <f>IF('AggrStep1-energy'!F103=0,"NA",AC41/'AggrStep1-energy'!F103)</f>
        <v>NA</v>
      </c>
      <c r="AD94" s="213">
        <f>IF('AggrStep1-energy'!G103=0,"NA",AD41/'AggrStep1-energy'!G103)</f>
        <v>53.104278344223971</v>
      </c>
      <c r="AE94" s="92"/>
      <c r="AO94" s="92"/>
      <c r="AP94" s="92"/>
      <c r="AQ94" s="92"/>
      <c r="AR94" s="92"/>
      <c r="AS94" s="92"/>
      <c r="AT94" s="92"/>
      <c r="AU94" s="92"/>
      <c r="AV94" s="92"/>
      <c r="AW94" s="92"/>
      <c r="AX94" s="92"/>
      <c r="AY94" s="92"/>
      <c r="AZ94" s="92"/>
      <c r="BA94" s="92"/>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2"/>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2"/>
      <c r="CZ94" s="92"/>
      <c r="DA94" s="92"/>
      <c r="DB94" s="92"/>
      <c r="DC94" s="92"/>
      <c r="DD94" s="92"/>
      <c r="DE94" s="92"/>
      <c r="DF94" s="92"/>
      <c r="DG94" s="92"/>
      <c r="DH94" s="92"/>
      <c r="DI94" s="92"/>
      <c r="DJ94" s="92"/>
      <c r="DK94" s="92"/>
      <c r="DL94" s="92"/>
      <c r="DM94" s="92"/>
      <c r="DN94" s="92"/>
      <c r="DO94" s="92"/>
      <c r="DP94" s="92"/>
      <c r="DQ94" s="92"/>
      <c r="DR94" s="92"/>
      <c r="DS94" s="92"/>
      <c r="DT94" s="92"/>
      <c r="DU94" s="92"/>
      <c r="DV94" s="92"/>
      <c r="DW94" s="92"/>
      <c r="DX94" s="92"/>
      <c r="DY94" s="92"/>
      <c r="DZ94" s="92"/>
      <c r="EA94" s="92"/>
      <c r="EB94" s="92"/>
      <c r="EC94" s="92"/>
      <c r="ED94" s="92"/>
      <c r="EE94" s="92"/>
      <c r="EF94" s="92"/>
      <c r="EG94" s="92"/>
      <c r="EH94" s="92"/>
      <c r="EI94" s="92"/>
      <c r="EJ94" s="92"/>
      <c r="EK94" s="92"/>
      <c r="EL94" s="92"/>
      <c r="EM94" s="92"/>
      <c r="EN94" s="92"/>
      <c r="EO94" s="92"/>
      <c r="EP94" s="92"/>
      <c r="EQ94" s="92"/>
      <c r="ER94" s="92"/>
      <c r="ES94" s="92"/>
      <c r="ET94" s="92"/>
      <c r="EU94" s="92"/>
      <c r="EV94" s="92"/>
      <c r="EW94" s="92"/>
      <c r="EX94" s="92"/>
      <c r="EY94" s="92"/>
      <c r="EZ94" s="92"/>
      <c r="FA94" s="92"/>
      <c r="FB94" s="92"/>
      <c r="FC94" s="92"/>
      <c r="FD94" s="92"/>
      <c r="FE94" s="92"/>
      <c r="FF94" s="92"/>
      <c r="FG94" s="92"/>
      <c r="FH94" s="92"/>
      <c r="FI94" s="92"/>
      <c r="FJ94" s="92"/>
      <c r="FK94" s="92"/>
      <c r="FL94" s="92"/>
      <c r="FM94" s="92"/>
      <c r="FN94" s="92"/>
      <c r="FO94" s="92"/>
      <c r="FP94" s="92"/>
      <c r="FQ94" s="92"/>
      <c r="FR94" s="92"/>
      <c r="FS94" s="92"/>
      <c r="FT94" s="92"/>
      <c r="FU94" s="92"/>
      <c r="FV94" s="92"/>
      <c r="FW94" s="92"/>
      <c r="FX94" s="92"/>
      <c r="FY94" s="92"/>
      <c r="FZ94" s="92"/>
      <c r="GA94" s="92"/>
      <c r="GB94" s="92"/>
      <c r="GC94" s="92"/>
      <c r="GD94" s="92"/>
      <c r="GE94" s="92"/>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2"/>
      <c r="HE94" s="92"/>
      <c r="HF94" s="92"/>
      <c r="HG94" s="92"/>
      <c r="HH94" s="92"/>
      <c r="HI94" s="92"/>
      <c r="HJ94" s="92"/>
      <c r="HK94" s="92"/>
      <c r="HL94" s="92"/>
      <c r="HM94" s="92"/>
      <c r="HN94" s="92"/>
      <c r="HO94" s="92"/>
      <c r="HP94" s="92"/>
      <c r="HQ94" s="92"/>
      <c r="HR94" s="92"/>
      <c r="HS94" s="92"/>
      <c r="HT94" s="92"/>
      <c r="HU94" s="92"/>
      <c r="HV94" s="92"/>
      <c r="HW94" s="92"/>
      <c r="HX94" s="92"/>
      <c r="HY94" s="92"/>
      <c r="HZ94" s="92"/>
      <c r="IA94" s="92"/>
      <c r="IB94" s="92"/>
      <c r="IC94" s="92"/>
      <c r="ID94" s="92"/>
      <c r="IE94" s="92"/>
      <c r="IF94" s="92"/>
      <c r="IG94" s="92"/>
      <c r="IH94" s="92"/>
      <c r="II94" s="92"/>
      <c r="IJ94" s="92"/>
      <c r="IK94" s="92"/>
      <c r="IL94" s="92"/>
      <c r="IM94" s="92"/>
      <c r="IN94" s="92"/>
      <c r="IO94" s="92"/>
      <c r="IP94" s="92"/>
      <c r="IQ94" s="92"/>
      <c r="IR94" s="92"/>
      <c r="IS94" s="92"/>
      <c r="IT94" s="92"/>
      <c r="IU94" s="92"/>
      <c r="IV94" s="92"/>
      <c r="IW94" s="92"/>
      <c r="IX94" s="92"/>
      <c r="IY94" s="92"/>
      <c r="IZ94" s="92"/>
      <c r="JA94" s="92"/>
      <c r="JB94" s="92"/>
      <c r="JC94" s="92"/>
      <c r="JD94" s="92"/>
      <c r="JE94" s="92"/>
      <c r="JF94" s="92"/>
      <c r="JG94" s="92"/>
      <c r="JH94" s="92"/>
      <c r="JI94" s="92"/>
      <c r="JJ94" s="92"/>
      <c r="JK94" s="92"/>
      <c r="JL94" s="92"/>
      <c r="JM94" s="92"/>
      <c r="JN94" s="92"/>
      <c r="JO94" s="92"/>
      <c r="JP94" s="92"/>
      <c r="JQ94" s="92"/>
      <c r="JR94" s="92"/>
      <c r="JS94" s="92"/>
      <c r="JT94" s="92"/>
      <c r="JU94" s="92"/>
      <c r="JV94" s="92"/>
      <c r="JW94" s="92"/>
      <c r="JX94" s="92"/>
      <c r="JY94" s="92"/>
      <c r="JZ94" s="92"/>
      <c r="KA94" s="92"/>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2"/>
      <c r="LA94" s="92"/>
      <c r="LB94" s="92"/>
      <c r="LC94" s="92"/>
      <c r="LD94" s="92"/>
      <c r="LE94" s="92"/>
      <c r="LF94" s="92"/>
      <c r="LG94" s="92"/>
      <c r="LH94" s="92"/>
      <c r="LI94" s="92"/>
      <c r="LJ94" s="92"/>
      <c r="LK94" s="92"/>
      <c r="LL94" s="92"/>
      <c r="LM94" s="92"/>
      <c r="LN94" s="92"/>
      <c r="LO94" s="92"/>
      <c r="LP94" s="92"/>
      <c r="LQ94" s="92"/>
      <c r="LR94" s="92"/>
      <c r="LS94" s="92"/>
      <c r="LT94" s="92"/>
      <c r="LU94" s="92"/>
      <c r="LV94" s="92"/>
      <c r="LW94" s="92"/>
      <c r="LX94" s="92"/>
      <c r="LY94" s="92"/>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2"/>
      <c r="MY94" s="92"/>
      <c r="MZ94" s="92"/>
      <c r="NA94" s="92"/>
      <c r="NB94" s="92"/>
      <c r="NC94" s="92"/>
      <c r="ND94" s="92"/>
      <c r="NE94" s="92"/>
      <c r="NF94" s="92"/>
      <c r="NG94" s="92"/>
      <c r="NH94" s="92"/>
      <c r="NI94" s="92"/>
      <c r="NJ94" s="92"/>
      <c r="NK94" s="92"/>
      <c r="NL94" s="92"/>
      <c r="NM94" s="92"/>
      <c r="NN94" s="92"/>
      <c r="NO94" s="92"/>
      <c r="NP94" s="92"/>
      <c r="NQ94" s="92"/>
      <c r="NR94" s="92"/>
      <c r="NS94" s="92"/>
      <c r="NT94" s="92"/>
      <c r="NU94" s="92"/>
      <c r="NV94" s="92"/>
      <c r="NW94" s="92"/>
      <c r="NX94" s="92"/>
      <c r="NY94" s="92"/>
      <c r="NZ94" s="92"/>
      <c r="OA94" s="92"/>
      <c r="OB94" s="92"/>
      <c r="OC94" s="92"/>
      <c r="OD94" s="92"/>
      <c r="OE94" s="92"/>
      <c r="OF94" s="92"/>
      <c r="OG94" s="92"/>
      <c r="OH94" s="92"/>
      <c r="OI94" s="92"/>
      <c r="OJ94" s="92"/>
      <c r="OK94" s="92"/>
      <c r="OL94" s="92"/>
      <c r="OM94" s="92"/>
      <c r="ON94" s="92"/>
      <c r="OO94" s="92"/>
      <c r="OP94" s="92"/>
      <c r="OQ94" s="92"/>
      <c r="OR94" s="92"/>
      <c r="OS94" s="92"/>
      <c r="OT94" s="92"/>
      <c r="OU94" s="92"/>
      <c r="OV94" s="92"/>
      <c r="OW94" s="92"/>
      <c r="OX94" s="92"/>
      <c r="OY94" s="92"/>
      <c r="OZ94" s="92"/>
      <c r="PA94" s="92"/>
      <c r="PB94" s="92"/>
      <c r="PC94" s="92"/>
      <c r="PD94" s="92"/>
      <c r="PE94" s="92"/>
      <c r="PF94" s="92"/>
      <c r="PG94" s="92"/>
      <c r="PH94" s="92"/>
      <c r="PI94" s="92"/>
      <c r="PJ94" s="92"/>
      <c r="PK94" s="92"/>
      <c r="PL94" s="92"/>
      <c r="PM94" s="92"/>
      <c r="PN94" s="92"/>
      <c r="PO94" s="92"/>
      <c r="PP94" s="92"/>
      <c r="PQ94" s="92"/>
      <c r="PR94" s="92"/>
      <c r="PS94" s="92"/>
      <c r="PT94" s="92"/>
      <c r="PU94" s="92"/>
      <c r="PV94" s="92"/>
      <c r="PW94" s="92"/>
      <c r="PX94" s="92"/>
      <c r="PY94" s="92"/>
      <c r="PZ94" s="92"/>
      <c r="QA94" s="92"/>
      <c r="QB94" s="92"/>
      <c r="QC94" s="92"/>
      <c r="QD94" s="92"/>
      <c r="QE94" s="92"/>
      <c r="QF94" s="92"/>
      <c r="QG94" s="92"/>
      <c r="QH94" s="92"/>
      <c r="QI94" s="92"/>
      <c r="QJ94" s="92"/>
      <c r="QK94" s="92"/>
      <c r="QL94" s="92"/>
      <c r="QM94" s="92"/>
      <c r="QN94" s="92"/>
      <c r="QO94" s="92"/>
    </row>
    <row r="95" spans="1:457">
      <c r="A95" s="83"/>
      <c r="C95" s="106"/>
      <c r="D95" s="101"/>
      <c r="E95" s="101"/>
      <c r="F95" s="101"/>
      <c r="G95" s="101"/>
      <c r="H95" s="101"/>
      <c r="I95" s="101"/>
      <c r="J95" s="101"/>
      <c r="K95" s="101"/>
      <c r="L95" s="101"/>
      <c r="M95" s="101"/>
      <c r="N95" s="101"/>
      <c r="O95" s="102"/>
      <c r="P95" s="101"/>
      <c r="Q95" s="92"/>
      <c r="R95" s="92"/>
      <c r="S95" s="92"/>
      <c r="T95" s="596" t="s">
        <v>922</v>
      </c>
      <c r="U95" s="148">
        <v>150</v>
      </c>
      <c r="V95" s="148">
        <f>V89</f>
        <v>276.69024661090288</v>
      </c>
      <c r="W95" s="150">
        <f>W89</f>
        <v>214.79855246051002</v>
      </c>
      <c r="X95" s="92"/>
      <c r="Y95" s="92"/>
      <c r="Z95" s="596" t="s">
        <v>922</v>
      </c>
      <c r="AA95" s="213" t="str">
        <f>IF('AggrStep1-energy'!D104=0,"NA",AA44/'AggrStep1-energy'!D104)</f>
        <v>NA</v>
      </c>
      <c r="AB95" s="213" t="str">
        <f>IF('AggrStep1-energy'!E104=0,"NA",AB44/'AggrStep1-energy'!E104)</f>
        <v>NA</v>
      </c>
      <c r="AC95" s="213" t="str">
        <f>IF('AggrStep1-energy'!F104=0,"NA",AC44/'AggrStep1-energy'!F104)</f>
        <v>NA</v>
      </c>
      <c r="AD95" s="213" t="str">
        <f>IF('AggrStep1-energy'!G104=0,"NA",AD44/'AggrStep1-energy'!G104)</f>
        <v>NA</v>
      </c>
      <c r="AE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2"/>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2"/>
      <c r="CZ95" s="92"/>
      <c r="DA95" s="92"/>
      <c r="DB95" s="92"/>
      <c r="DC95" s="92"/>
      <c r="DD95" s="92"/>
      <c r="DE95" s="92"/>
      <c r="DF95" s="92"/>
      <c r="DG95" s="92"/>
      <c r="DH95" s="92"/>
      <c r="DI95" s="92"/>
      <c r="DJ95" s="92"/>
      <c r="DK95" s="92"/>
      <c r="DL95" s="92"/>
      <c r="DM95" s="92"/>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92"/>
      <c r="EL95" s="92"/>
      <c r="EM95" s="92"/>
      <c r="EN95" s="92"/>
      <c r="EO95" s="92"/>
      <c r="EP95" s="92"/>
      <c r="EQ95" s="92"/>
      <c r="ER95" s="92"/>
      <c r="ES95" s="92"/>
      <c r="ET95" s="92"/>
      <c r="EU95" s="92"/>
      <c r="EV95" s="92"/>
      <c r="EW95" s="92"/>
      <c r="EX95" s="92"/>
      <c r="EY95" s="92"/>
      <c r="EZ95" s="92"/>
      <c r="FA95" s="92"/>
      <c r="FB95" s="92"/>
      <c r="FC95" s="92"/>
      <c r="FD95" s="92"/>
      <c r="FE95" s="92"/>
      <c r="FF95" s="92"/>
      <c r="FG95" s="92"/>
      <c r="FH95" s="92"/>
      <c r="FI95" s="92"/>
      <c r="FJ95" s="92"/>
      <c r="FK95" s="92"/>
      <c r="FL95" s="92"/>
      <c r="FM95" s="92"/>
      <c r="FN95" s="92"/>
      <c r="FO95" s="92"/>
      <c r="FP95" s="92"/>
      <c r="FQ95" s="92"/>
      <c r="FR95" s="92"/>
      <c r="FS95" s="92"/>
      <c r="FT95" s="92"/>
      <c r="FU95" s="92"/>
      <c r="FV95" s="92"/>
      <c r="FW95" s="92"/>
      <c r="FX95" s="92"/>
      <c r="FY95" s="92"/>
      <c r="FZ95" s="92"/>
      <c r="GA95" s="92"/>
      <c r="GB95" s="92"/>
      <c r="GC95" s="92"/>
      <c r="GD95" s="92"/>
      <c r="GE95" s="92"/>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2"/>
      <c r="HE95" s="92"/>
      <c r="HF95" s="92"/>
      <c r="HG95" s="92"/>
      <c r="HH95" s="92"/>
      <c r="HI95" s="92"/>
      <c r="HJ95" s="92"/>
      <c r="HK95" s="92"/>
      <c r="HL95" s="92"/>
      <c r="HM95" s="92"/>
      <c r="HN95" s="92"/>
      <c r="HO95" s="92"/>
      <c r="HP95" s="92"/>
      <c r="HQ95" s="92"/>
      <c r="HR95" s="92"/>
      <c r="HS95" s="92"/>
      <c r="HT95" s="92"/>
      <c r="HU95" s="92"/>
      <c r="HV95" s="92"/>
      <c r="HW95" s="92"/>
      <c r="HX95" s="92"/>
      <c r="HY95" s="92"/>
      <c r="HZ95" s="92"/>
      <c r="IA95" s="92"/>
      <c r="IB95" s="92"/>
      <c r="IC95" s="92"/>
      <c r="ID95" s="92"/>
      <c r="IE95" s="92"/>
      <c r="IF95" s="92"/>
      <c r="IG95" s="92"/>
      <c r="IH95" s="92"/>
      <c r="II95" s="92"/>
      <c r="IJ95" s="92"/>
      <c r="IK95" s="92"/>
      <c r="IL95" s="92"/>
      <c r="IM95" s="92"/>
      <c r="IN95" s="92"/>
      <c r="IO95" s="92"/>
      <c r="IP95" s="92"/>
      <c r="IQ95" s="92"/>
      <c r="IR95" s="92"/>
      <c r="IS95" s="92"/>
      <c r="IT95" s="92"/>
      <c r="IU95" s="92"/>
      <c r="IV95" s="92"/>
      <c r="IW95" s="92"/>
      <c r="IX95" s="92"/>
      <c r="IY95" s="92"/>
      <c r="IZ95" s="92"/>
      <c r="JA95" s="92"/>
      <c r="JB95" s="92"/>
      <c r="JC95" s="92"/>
      <c r="JD95" s="92"/>
      <c r="JE95" s="92"/>
      <c r="JF95" s="92"/>
      <c r="JG95" s="92"/>
      <c r="JH95" s="92"/>
      <c r="JI95" s="92"/>
      <c r="JJ95" s="92"/>
      <c r="JK95" s="92"/>
      <c r="JL95" s="92"/>
      <c r="JM95" s="92"/>
      <c r="JN95" s="92"/>
      <c r="JO95" s="92"/>
      <c r="JP95" s="92"/>
      <c r="JQ95" s="92"/>
      <c r="JR95" s="92"/>
      <c r="JS95" s="92"/>
      <c r="JT95" s="92"/>
      <c r="JU95" s="92"/>
      <c r="JV95" s="92"/>
      <c r="JW95" s="92"/>
      <c r="JX95" s="92"/>
      <c r="JY95" s="92"/>
      <c r="JZ95" s="92"/>
      <c r="KA95" s="92"/>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2"/>
      <c r="LA95" s="92"/>
      <c r="LB95" s="92"/>
      <c r="LC95" s="92"/>
      <c r="LD95" s="92"/>
      <c r="LE95" s="92"/>
      <c r="LF95" s="92"/>
      <c r="LG95" s="92"/>
      <c r="LH95" s="92"/>
      <c r="LI95" s="92"/>
      <c r="LJ95" s="92"/>
      <c r="LK95" s="92"/>
      <c r="LL95" s="92"/>
      <c r="LM95" s="92"/>
      <c r="LN95" s="92"/>
      <c r="LO95" s="92"/>
      <c r="LP95" s="92"/>
      <c r="LQ95" s="92"/>
      <c r="LR95" s="92"/>
      <c r="LS95" s="92"/>
      <c r="LT95" s="92"/>
      <c r="LU95" s="92"/>
      <c r="LV95" s="92"/>
      <c r="LW95" s="92"/>
      <c r="LX95" s="92"/>
      <c r="LY95" s="92"/>
      <c r="LZ95" s="92"/>
      <c r="MA95" s="92"/>
      <c r="MB95" s="92"/>
      <c r="MC95" s="92"/>
      <c r="MD95" s="92"/>
      <c r="ME95" s="92"/>
      <c r="MF95" s="92"/>
      <c r="MG95" s="92"/>
      <c r="MH95" s="92"/>
      <c r="MI95" s="92"/>
      <c r="MJ95" s="92"/>
      <c r="MK95" s="92"/>
      <c r="ML95" s="92"/>
      <c r="MM95" s="92"/>
      <c r="MN95" s="92"/>
      <c r="MO95" s="92"/>
      <c r="MP95" s="92"/>
      <c r="MQ95" s="92"/>
      <c r="MR95" s="92"/>
      <c r="MS95" s="92"/>
      <c r="MT95" s="92"/>
      <c r="MU95" s="92"/>
      <c r="MV95" s="92"/>
      <c r="MW95" s="92"/>
      <c r="MX95" s="92"/>
      <c r="MY95" s="92"/>
      <c r="MZ95" s="92"/>
      <c r="NA95" s="92"/>
      <c r="NB95" s="92"/>
      <c r="NC95" s="92"/>
      <c r="ND95" s="92"/>
      <c r="NE95" s="92"/>
      <c r="NF95" s="92"/>
      <c r="NG95" s="92"/>
      <c r="NH95" s="92"/>
      <c r="NI95" s="92"/>
      <c r="NJ95" s="92"/>
      <c r="NK95" s="92"/>
      <c r="NL95" s="92"/>
      <c r="NM95" s="92"/>
      <c r="NN95" s="92"/>
      <c r="NO95" s="92"/>
      <c r="NP95" s="92"/>
      <c r="NQ95" s="92"/>
      <c r="NR95" s="92"/>
      <c r="NS95" s="92"/>
      <c r="NT95" s="92"/>
      <c r="NU95" s="92"/>
      <c r="NV95" s="92"/>
      <c r="NW95" s="92"/>
      <c r="NX95" s="92"/>
      <c r="NY95" s="92"/>
      <c r="NZ95" s="92"/>
      <c r="OA95" s="92"/>
      <c r="OB95" s="92"/>
      <c r="OC95" s="92"/>
      <c r="OD95" s="92"/>
      <c r="OE95" s="92"/>
      <c r="OF95" s="92"/>
      <c r="OG95" s="92"/>
      <c r="OH95" s="92"/>
      <c r="OI95" s="92"/>
      <c r="OJ95" s="92"/>
      <c r="OK95" s="92"/>
      <c r="OL95" s="92"/>
      <c r="OM95" s="92"/>
      <c r="ON95" s="92"/>
      <c r="OO95" s="92"/>
      <c r="OP95" s="92"/>
      <c r="OQ95" s="92"/>
      <c r="OR95" s="92"/>
      <c r="OS95" s="92"/>
      <c r="OT95" s="92"/>
      <c r="OU95" s="92"/>
      <c r="OV95" s="92"/>
      <c r="OW95" s="92"/>
      <c r="OX95" s="92"/>
      <c r="OY95" s="92"/>
      <c r="OZ95" s="92"/>
      <c r="PA95" s="92"/>
      <c r="PB95" s="92"/>
      <c r="PC95" s="92"/>
      <c r="PD95" s="92"/>
      <c r="PE95" s="92"/>
      <c r="PF95" s="92"/>
      <c r="PG95" s="92"/>
      <c r="PH95" s="92"/>
      <c r="PI95" s="92"/>
      <c r="PJ95" s="92"/>
      <c r="PK95" s="92"/>
      <c r="PL95" s="92"/>
      <c r="PM95" s="92"/>
      <c r="PN95" s="92"/>
      <c r="PO95" s="92"/>
      <c r="PP95" s="92"/>
      <c r="PQ95" s="92"/>
      <c r="PR95" s="92"/>
      <c r="PS95" s="92"/>
      <c r="PT95" s="92"/>
      <c r="PU95" s="92"/>
      <c r="PV95" s="92"/>
      <c r="PW95" s="92"/>
      <c r="PX95" s="92"/>
      <c r="PY95" s="92"/>
      <c r="PZ95" s="92"/>
      <c r="QA95" s="92"/>
      <c r="QB95" s="92"/>
      <c r="QC95" s="92"/>
      <c r="QD95" s="92"/>
      <c r="QE95" s="92"/>
      <c r="QF95" s="92"/>
      <c r="QG95" s="92"/>
      <c r="QH95" s="92"/>
      <c r="QI95" s="92"/>
      <c r="QJ95" s="92"/>
      <c r="QK95" s="92"/>
      <c r="QL95" s="92"/>
      <c r="QM95" s="92"/>
      <c r="QN95" s="92"/>
      <c r="QO95" s="92"/>
    </row>
    <row r="96" spans="1:457">
      <c r="A96" s="83"/>
      <c r="C96" s="106"/>
      <c r="D96" s="101"/>
      <c r="E96" s="101"/>
      <c r="F96" s="101"/>
      <c r="G96" s="101"/>
      <c r="H96" s="101"/>
      <c r="I96" s="101"/>
      <c r="J96" s="101"/>
      <c r="K96" s="101"/>
      <c r="L96" s="101"/>
      <c r="M96" s="101"/>
      <c r="N96" s="101"/>
      <c r="O96" s="102"/>
      <c r="P96" s="101"/>
      <c r="Q96" s="92"/>
      <c r="R96" s="92"/>
      <c r="S96" s="92"/>
      <c r="X96" s="92"/>
      <c r="Y96" s="92"/>
      <c r="Z96" s="92"/>
      <c r="AA96" s="92"/>
      <c r="AB96" s="92"/>
      <c r="AC96" s="92"/>
      <c r="AD96" s="92"/>
      <c r="AE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2"/>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2"/>
      <c r="CZ96" s="92"/>
      <c r="DA96" s="92"/>
      <c r="DB96" s="92"/>
      <c r="DC96" s="92"/>
      <c r="DD96" s="92"/>
      <c r="DE96" s="92"/>
      <c r="DF96" s="92"/>
      <c r="DG96" s="92"/>
      <c r="DH96" s="92"/>
      <c r="DI96" s="92"/>
      <c r="DJ96" s="92"/>
      <c r="DK96" s="92"/>
      <c r="DL96" s="92"/>
      <c r="DM96" s="92"/>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2"/>
      <c r="EN96" s="92"/>
      <c r="EO96" s="92"/>
      <c r="EP96" s="92"/>
      <c r="EQ96" s="92"/>
      <c r="ER96" s="92"/>
      <c r="ES96" s="92"/>
      <c r="ET96" s="92"/>
      <c r="EU96" s="92"/>
      <c r="EV96" s="92"/>
      <c r="EW96" s="92"/>
      <c r="EX96" s="92"/>
      <c r="EY96" s="92"/>
      <c r="EZ96" s="92"/>
      <c r="FA96" s="92"/>
      <c r="FB96" s="92"/>
      <c r="FC96" s="92"/>
      <c r="FD96" s="92"/>
      <c r="FE96" s="92"/>
      <c r="FF96" s="92"/>
      <c r="FG96" s="92"/>
      <c r="FH96" s="92"/>
      <c r="FI96" s="92"/>
      <c r="FJ96" s="92"/>
      <c r="FK96" s="92"/>
      <c r="FL96" s="92"/>
      <c r="FM96" s="92"/>
      <c r="FN96" s="92"/>
      <c r="FO96" s="92"/>
      <c r="FP96" s="92"/>
      <c r="FQ96" s="92"/>
      <c r="FR96" s="92"/>
      <c r="FS96" s="92"/>
      <c r="FT96" s="92"/>
      <c r="FU96" s="92"/>
      <c r="FV96" s="92"/>
      <c r="FW96" s="92"/>
      <c r="FX96" s="92"/>
      <c r="FY96" s="92"/>
      <c r="FZ96" s="92"/>
      <c r="GA96" s="92"/>
      <c r="GB96" s="92"/>
      <c r="GC96" s="92"/>
      <c r="GD96" s="92"/>
      <c r="GE96" s="92"/>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2"/>
      <c r="HE96" s="92"/>
      <c r="HF96" s="92"/>
      <c r="HG96" s="92"/>
      <c r="HH96" s="92"/>
      <c r="HI96" s="92"/>
      <c r="HJ96" s="92"/>
      <c r="HK96" s="92"/>
      <c r="HL96" s="92"/>
      <c r="HM96" s="92"/>
      <c r="HN96" s="92"/>
      <c r="HO96" s="92"/>
      <c r="HP96" s="92"/>
      <c r="HQ96" s="92"/>
      <c r="HR96" s="92"/>
      <c r="HS96" s="92"/>
      <c r="HT96" s="92"/>
      <c r="HU96" s="92"/>
      <c r="HV96" s="92"/>
      <c r="HW96" s="92"/>
      <c r="HX96" s="92"/>
      <c r="HY96" s="92"/>
      <c r="HZ96" s="92"/>
      <c r="IA96" s="92"/>
      <c r="IB96" s="92"/>
      <c r="IC96" s="92"/>
      <c r="ID96" s="92"/>
      <c r="IE96" s="92"/>
      <c r="IF96" s="92"/>
      <c r="IG96" s="92"/>
      <c r="IH96" s="92"/>
      <c r="II96" s="92"/>
      <c r="IJ96" s="92"/>
      <c r="IK96" s="92"/>
      <c r="IL96" s="92"/>
      <c r="IM96" s="92"/>
      <c r="IN96" s="92"/>
      <c r="IO96" s="92"/>
      <c r="IP96" s="92"/>
      <c r="IQ96" s="92"/>
      <c r="IR96" s="92"/>
      <c r="IS96" s="92"/>
      <c r="IT96" s="92"/>
      <c r="IU96" s="92"/>
      <c r="IV96" s="92"/>
      <c r="IW96" s="92"/>
      <c r="IX96" s="92"/>
      <c r="IY96" s="92"/>
      <c r="IZ96" s="92"/>
      <c r="JA96" s="92"/>
      <c r="JB96" s="92"/>
      <c r="JC96" s="92"/>
      <c r="JD96" s="92"/>
      <c r="JE96" s="92"/>
      <c r="JF96" s="92"/>
      <c r="JG96" s="92"/>
      <c r="JH96" s="92"/>
      <c r="JI96" s="92"/>
      <c r="JJ96" s="92"/>
      <c r="JK96" s="92"/>
      <c r="JL96" s="92"/>
      <c r="JM96" s="92"/>
      <c r="JN96" s="92"/>
      <c r="JO96" s="92"/>
      <c r="JP96" s="92"/>
      <c r="JQ96" s="92"/>
      <c r="JR96" s="92"/>
      <c r="JS96" s="92"/>
      <c r="JT96" s="92"/>
      <c r="JU96" s="92"/>
      <c r="JV96" s="92"/>
      <c r="JW96" s="92"/>
      <c r="JX96" s="92"/>
      <c r="JY96" s="92"/>
      <c r="JZ96" s="92"/>
      <c r="KA96" s="92"/>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2"/>
      <c r="LA96" s="92"/>
      <c r="LB96" s="92"/>
      <c r="LC96" s="92"/>
      <c r="LD96" s="92"/>
      <c r="LE96" s="92"/>
      <c r="LF96" s="92"/>
      <c r="LG96" s="92"/>
      <c r="LH96" s="92"/>
      <c r="LI96" s="92"/>
      <c r="LJ96" s="92"/>
      <c r="LK96" s="92"/>
      <c r="LL96" s="92"/>
      <c r="LM96" s="92"/>
      <c r="LN96" s="92"/>
      <c r="LO96" s="92"/>
      <c r="LP96" s="92"/>
      <c r="LQ96" s="92"/>
      <c r="LR96" s="92"/>
      <c r="LS96" s="92"/>
      <c r="LT96" s="92"/>
      <c r="LU96" s="92"/>
      <c r="LV96" s="92"/>
      <c r="LW96" s="92"/>
      <c r="LX96" s="92"/>
      <c r="LY96" s="92"/>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2"/>
      <c r="MY96" s="92"/>
      <c r="MZ96" s="92"/>
      <c r="NA96" s="92"/>
      <c r="NB96" s="92"/>
      <c r="NC96" s="92"/>
      <c r="ND96" s="92"/>
      <c r="NE96" s="92"/>
      <c r="NF96" s="92"/>
      <c r="NG96" s="92"/>
      <c r="NH96" s="92"/>
      <c r="NI96" s="92"/>
      <c r="NJ96" s="92"/>
      <c r="NK96" s="92"/>
      <c r="NL96" s="92"/>
      <c r="NM96" s="92"/>
      <c r="NN96" s="92"/>
      <c r="NO96" s="92"/>
      <c r="NP96" s="92"/>
      <c r="NQ96" s="92"/>
      <c r="NR96" s="92"/>
      <c r="NS96" s="92"/>
      <c r="NT96" s="92"/>
      <c r="NU96" s="92"/>
      <c r="NV96" s="92"/>
      <c r="NW96" s="92"/>
      <c r="NX96" s="92"/>
      <c r="NY96" s="92"/>
      <c r="NZ96" s="92"/>
      <c r="OA96" s="92"/>
      <c r="OB96" s="92"/>
      <c r="OC96" s="92"/>
      <c r="OD96" s="92"/>
      <c r="OE96" s="92"/>
      <c r="OF96" s="92"/>
      <c r="OG96" s="92"/>
      <c r="OH96" s="92"/>
      <c r="OI96" s="92"/>
      <c r="OJ96" s="92"/>
      <c r="OK96" s="92"/>
      <c r="OL96" s="92"/>
      <c r="OM96" s="92"/>
      <c r="ON96" s="92"/>
      <c r="OO96" s="92"/>
      <c r="OP96" s="92"/>
      <c r="OQ96" s="92"/>
      <c r="OR96" s="92"/>
      <c r="OS96" s="92"/>
      <c r="OT96" s="92"/>
      <c r="OU96" s="92"/>
      <c r="OV96" s="92"/>
      <c r="OW96" s="92"/>
      <c r="OX96" s="92"/>
      <c r="OY96" s="92"/>
      <c r="OZ96" s="92"/>
      <c r="PA96" s="92"/>
      <c r="PB96" s="92"/>
      <c r="PC96" s="92"/>
      <c r="PD96" s="92"/>
      <c r="PE96" s="92"/>
      <c r="PF96" s="92"/>
      <c r="PG96" s="92"/>
      <c r="PH96" s="92"/>
      <c r="PI96" s="92"/>
      <c r="PJ96" s="92"/>
      <c r="PK96" s="92"/>
      <c r="PL96" s="92"/>
      <c r="PM96" s="92"/>
      <c r="PN96" s="92"/>
      <c r="PO96" s="92"/>
      <c r="PP96" s="92"/>
      <c r="PQ96" s="92"/>
      <c r="PR96" s="92"/>
      <c r="PS96" s="92"/>
      <c r="PT96" s="92"/>
      <c r="PU96" s="92"/>
      <c r="PV96" s="92"/>
      <c r="PW96" s="92"/>
      <c r="PX96" s="92"/>
      <c r="PY96" s="92"/>
      <c r="PZ96" s="92"/>
      <c r="QA96" s="92"/>
      <c r="QB96" s="92"/>
      <c r="QC96" s="92"/>
      <c r="QD96" s="92"/>
      <c r="QE96" s="92"/>
      <c r="QF96" s="92"/>
      <c r="QG96" s="92"/>
      <c r="QH96" s="92"/>
      <c r="QI96" s="92"/>
      <c r="QJ96" s="92"/>
      <c r="QK96" s="92"/>
      <c r="QL96" s="92"/>
      <c r="QM96" s="92"/>
      <c r="QN96" s="92"/>
      <c r="QO96" s="92"/>
    </row>
    <row r="97" spans="1:457">
      <c r="A97" s="83"/>
      <c r="C97" s="106"/>
      <c r="D97" s="101"/>
      <c r="E97" s="101"/>
      <c r="F97" s="101"/>
      <c r="G97" s="101"/>
      <c r="H97" s="101"/>
      <c r="I97" s="101"/>
      <c r="J97" s="101"/>
      <c r="K97" s="101"/>
      <c r="L97" s="101"/>
      <c r="M97" s="101"/>
      <c r="N97" s="101"/>
      <c r="O97" s="102"/>
      <c r="P97" s="101"/>
      <c r="Q97" s="92"/>
      <c r="R97" s="92"/>
      <c r="S97" s="92"/>
      <c r="T97" s="318"/>
      <c r="X97" s="92"/>
      <c r="Y97" s="92"/>
      <c r="Z97" s="92"/>
      <c r="AA97" s="92"/>
      <c r="AB97" s="92"/>
      <c r="AC97" s="92"/>
      <c r="AD97" s="92"/>
      <c r="AE97" s="92"/>
      <c r="AO97" s="92"/>
      <c r="AP97" s="92"/>
      <c r="AQ97" s="92"/>
      <c r="AR97" s="92"/>
      <c r="AS97" s="92"/>
      <c r="AT97" s="92"/>
      <c r="AU97" s="92"/>
      <c r="AV97" s="92"/>
      <c r="AW97" s="92"/>
      <c r="AX97" s="92"/>
      <c r="AY97" s="92"/>
      <c r="AZ97" s="92"/>
      <c r="BA97" s="92"/>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2"/>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2"/>
      <c r="CZ97" s="92"/>
      <c r="DA97" s="92"/>
      <c r="DB97" s="92"/>
      <c r="DC97" s="92"/>
      <c r="DD97" s="92"/>
      <c r="DE97" s="92"/>
      <c r="DF97" s="92"/>
      <c r="DG97" s="92"/>
      <c r="DH97" s="92"/>
      <c r="DI97" s="92"/>
      <c r="DJ97" s="92"/>
      <c r="DK97" s="92"/>
      <c r="DL97" s="92"/>
      <c r="DM97" s="92"/>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92"/>
      <c r="EL97" s="92"/>
      <c r="EM97" s="92"/>
      <c r="EN97" s="92"/>
      <c r="EO97" s="92"/>
      <c r="EP97" s="92"/>
      <c r="EQ97" s="92"/>
      <c r="ER97" s="92"/>
      <c r="ES97" s="92"/>
      <c r="ET97" s="92"/>
      <c r="EU97" s="92"/>
      <c r="EV97" s="92"/>
      <c r="EW97" s="92"/>
      <c r="EX97" s="92"/>
      <c r="EY97" s="92"/>
      <c r="EZ97" s="92"/>
      <c r="FA97" s="92"/>
      <c r="FB97" s="92"/>
      <c r="FC97" s="92"/>
      <c r="FD97" s="92"/>
      <c r="FE97" s="92"/>
      <c r="FF97" s="92"/>
      <c r="FG97" s="92"/>
      <c r="FH97" s="92"/>
      <c r="FI97" s="92"/>
      <c r="FJ97" s="92"/>
      <c r="FK97" s="92"/>
      <c r="FL97" s="92"/>
      <c r="FM97" s="92"/>
      <c r="FN97" s="92"/>
      <c r="FO97" s="92"/>
      <c r="FP97" s="92"/>
      <c r="FQ97" s="92"/>
      <c r="FR97" s="92"/>
      <c r="FS97" s="92"/>
      <c r="FT97" s="92"/>
      <c r="FU97" s="92"/>
      <c r="FV97" s="92"/>
      <c r="FW97" s="92"/>
      <c r="FX97" s="92"/>
      <c r="FY97" s="92"/>
      <c r="FZ97" s="92"/>
      <c r="GA97" s="92"/>
      <c r="GB97" s="92"/>
      <c r="GC97" s="92"/>
      <c r="GD97" s="92"/>
      <c r="GE97" s="92"/>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2"/>
      <c r="HE97" s="92"/>
      <c r="HF97" s="92"/>
      <c r="HG97" s="92"/>
      <c r="HH97" s="92"/>
      <c r="HI97" s="92"/>
      <c r="HJ97" s="92"/>
      <c r="HK97" s="92"/>
      <c r="HL97" s="92"/>
      <c r="HM97" s="92"/>
      <c r="HN97" s="92"/>
      <c r="HO97" s="92"/>
      <c r="HP97" s="92"/>
      <c r="HQ97" s="92"/>
      <c r="HR97" s="92"/>
      <c r="HS97" s="92"/>
      <c r="HT97" s="92"/>
      <c r="HU97" s="92"/>
      <c r="HV97" s="92"/>
      <c r="HW97" s="92"/>
      <c r="HX97" s="92"/>
      <c r="HY97" s="92"/>
      <c r="HZ97" s="92"/>
      <c r="IA97" s="92"/>
      <c r="IB97" s="92"/>
      <c r="IC97" s="92"/>
      <c r="ID97" s="92"/>
      <c r="IE97" s="92"/>
      <c r="IF97" s="92"/>
      <c r="IG97" s="92"/>
      <c r="IH97" s="92"/>
      <c r="II97" s="92"/>
      <c r="IJ97" s="92"/>
      <c r="IK97" s="92"/>
      <c r="IL97" s="92"/>
      <c r="IM97" s="92"/>
      <c r="IN97" s="92"/>
      <c r="IO97" s="92"/>
      <c r="IP97" s="92"/>
      <c r="IQ97" s="92"/>
      <c r="IR97" s="92"/>
      <c r="IS97" s="92"/>
      <c r="IT97" s="92"/>
      <c r="IU97" s="92"/>
      <c r="IV97" s="92"/>
      <c r="IW97" s="92"/>
      <c r="IX97" s="92"/>
      <c r="IY97" s="92"/>
      <c r="IZ97" s="92"/>
      <c r="JA97" s="92"/>
      <c r="JB97" s="92"/>
      <c r="JC97" s="92"/>
      <c r="JD97" s="92"/>
      <c r="JE97" s="92"/>
      <c r="JF97" s="92"/>
      <c r="JG97" s="92"/>
      <c r="JH97" s="92"/>
      <c r="JI97" s="92"/>
      <c r="JJ97" s="92"/>
      <c r="JK97" s="92"/>
      <c r="JL97" s="92"/>
      <c r="JM97" s="92"/>
      <c r="JN97" s="92"/>
      <c r="JO97" s="92"/>
      <c r="JP97" s="92"/>
      <c r="JQ97" s="92"/>
      <c r="JR97" s="92"/>
      <c r="JS97" s="92"/>
      <c r="JT97" s="92"/>
      <c r="JU97" s="92"/>
      <c r="JV97" s="92"/>
      <c r="JW97" s="92"/>
      <c r="JX97" s="92"/>
      <c r="JY97" s="92"/>
      <c r="JZ97" s="92"/>
      <c r="KA97" s="92"/>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2"/>
      <c r="LA97" s="92"/>
      <c r="LB97" s="92"/>
      <c r="LC97" s="92"/>
      <c r="LD97" s="92"/>
      <c r="LE97" s="92"/>
      <c r="LF97" s="92"/>
      <c r="LG97" s="92"/>
      <c r="LH97" s="92"/>
      <c r="LI97" s="92"/>
      <c r="LJ97" s="92"/>
      <c r="LK97" s="92"/>
      <c r="LL97" s="92"/>
      <c r="LM97" s="92"/>
      <c r="LN97" s="92"/>
      <c r="LO97" s="92"/>
      <c r="LP97" s="92"/>
      <c r="LQ97" s="92"/>
      <c r="LR97" s="92"/>
      <c r="LS97" s="92"/>
      <c r="LT97" s="92"/>
      <c r="LU97" s="92"/>
      <c r="LV97" s="92"/>
      <c r="LW97" s="92"/>
      <c r="LX97" s="92"/>
      <c r="LY97" s="92"/>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2"/>
      <c r="MY97" s="92"/>
      <c r="MZ97" s="92"/>
      <c r="NA97" s="92"/>
      <c r="NB97" s="92"/>
      <c r="NC97" s="92"/>
      <c r="ND97" s="92"/>
      <c r="NE97" s="92"/>
      <c r="NF97" s="92"/>
      <c r="NG97" s="92"/>
      <c r="NH97" s="92"/>
      <c r="NI97" s="92"/>
      <c r="NJ97" s="92"/>
      <c r="NK97" s="92"/>
      <c r="NL97" s="92"/>
      <c r="NM97" s="92"/>
      <c r="NN97" s="92"/>
      <c r="NO97" s="92"/>
      <c r="NP97" s="92"/>
      <c r="NQ97" s="92"/>
      <c r="NR97" s="92"/>
      <c r="NS97" s="92"/>
      <c r="NT97" s="92"/>
      <c r="NU97" s="92"/>
      <c r="NV97" s="92"/>
      <c r="NW97" s="92"/>
      <c r="NX97" s="92"/>
      <c r="NY97" s="92"/>
      <c r="NZ97" s="92"/>
      <c r="OA97" s="92"/>
      <c r="OB97" s="92"/>
      <c r="OC97" s="92"/>
      <c r="OD97" s="92"/>
      <c r="OE97" s="92"/>
      <c r="OF97" s="92"/>
      <c r="OG97" s="92"/>
      <c r="OH97" s="92"/>
      <c r="OI97" s="92"/>
      <c r="OJ97" s="92"/>
      <c r="OK97" s="92"/>
      <c r="OL97" s="92"/>
      <c r="OM97" s="92"/>
      <c r="ON97" s="92"/>
      <c r="OO97" s="92"/>
      <c r="OP97" s="92"/>
      <c r="OQ97" s="92"/>
      <c r="OR97" s="92"/>
      <c r="OS97" s="92"/>
      <c r="OT97" s="92"/>
      <c r="OU97" s="92"/>
      <c r="OV97" s="92"/>
      <c r="OW97" s="92"/>
      <c r="OX97" s="92"/>
      <c r="OY97" s="92"/>
      <c r="OZ97" s="92"/>
      <c r="PA97" s="92"/>
      <c r="PB97" s="92"/>
      <c r="PC97" s="92"/>
      <c r="PD97" s="92"/>
      <c r="PE97" s="92"/>
      <c r="PF97" s="92"/>
      <c r="PG97" s="92"/>
      <c r="PH97" s="92"/>
      <c r="PI97" s="92"/>
      <c r="PJ97" s="92"/>
      <c r="PK97" s="92"/>
      <c r="PL97" s="92"/>
      <c r="PM97" s="92"/>
      <c r="PN97" s="92"/>
      <c r="PO97" s="92"/>
      <c r="PP97" s="92"/>
      <c r="PQ97" s="92"/>
      <c r="PR97" s="92"/>
      <c r="PS97" s="92"/>
      <c r="PT97" s="92"/>
      <c r="PU97" s="92"/>
      <c r="PV97" s="92"/>
      <c r="PW97" s="92"/>
      <c r="PX97" s="92"/>
      <c r="PY97" s="92"/>
      <c r="PZ97" s="92"/>
      <c r="QA97" s="92"/>
      <c r="QB97" s="92"/>
      <c r="QC97" s="92"/>
      <c r="QD97" s="92"/>
      <c r="QE97" s="92"/>
      <c r="QF97" s="92"/>
      <c r="QG97" s="92"/>
      <c r="QH97" s="92"/>
      <c r="QI97" s="92"/>
      <c r="QJ97" s="92"/>
      <c r="QK97" s="92"/>
      <c r="QL97" s="92"/>
      <c r="QM97" s="92"/>
      <c r="QN97" s="92"/>
      <c r="QO97" s="92"/>
    </row>
    <row r="98" spans="1:457" ht="18.75">
      <c r="A98" s="83"/>
      <c r="C98" s="106"/>
      <c r="D98" s="101"/>
      <c r="E98" s="101"/>
      <c r="F98" s="101"/>
      <c r="G98" s="101"/>
      <c r="H98" s="101"/>
      <c r="I98" s="101"/>
      <c r="J98" s="101"/>
      <c r="K98" s="101"/>
      <c r="L98" s="101"/>
      <c r="M98" s="101"/>
      <c r="N98" s="101"/>
      <c r="O98" s="102"/>
      <c r="P98" s="101"/>
      <c r="Q98" s="92"/>
      <c r="R98" s="92"/>
      <c r="S98" s="92"/>
      <c r="T98" s="713" t="s">
        <v>525</v>
      </c>
      <c r="U98" s="713"/>
      <c r="V98" s="713"/>
      <c r="W98" s="713"/>
      <c r="X98" s="713"/>
      <c r="Y98" s="713"/>
      <c r="Z98" s="713"/>
      <c r="AA98" s="713"/>
      <c r="AB98" s="713"/>
      <c r="AC98" s="713"/>
      <c r="AD98" s="92"/>
      <c r="AE98" s="92"/>
      <c r="AO98" s="92"/>
      <c r="AP98" s="92"/>
      <c r="AQ98" s="92"/>
      <c r="AR98" s="92"/>
      <c r="AS98" s="92"/>
      <c r="AT98" s="92"/>
      <c r="AU98" s="92"/>
      <c r="AV98" s="92"/>
      <c r="AW98" s="92"/>
      <c r="AX98" s="92"/>
      <c r="AY98" s="92"/>
      <c r="AZ98" s="92"/>
      <c r="BA98" s="92"/>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2"/>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2"/>
      <c r="CZ98" s="92"/>
      <c r="DA98" s="92"/>
      <c r="DB98" s="92"/>
      <c r="DC98" s="92"/>
      <c r="DD98" s="92"/>
      <c r="DE98" s="92"/>
      <c r="DF98" s="92"/>
      <c r="DG98" s="92"/>
      <c r="DH98" s="92"/>
      <c r="DI98" s="92"/>
      <c r="DJ98" s="92"/>
      <c r="DK98" s="92"/>
      <c r="DL98" s="92"/>
      <c r="DM98" s="92"/>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2"/>
      <c r="EN98" s="92"/>
      <c r="EO98" s="92"/>
      <c r="EP98" s="92"/>
      <c r="EQ98" s="92"/>
      <c r="ER98" s="92"/>
      <c r="ES98" s="92"/>
      <c r="ET98" s="92"/>
      <c r="EU98" s="92"/>
      <c r="EV98" s="92"/>
      <c r="EW98" s="92"/>
      <c r="EX98" s="92"/>
      <c r="EY98" s="92"/>
      <c r="EZ98" s="92"/>
      <c r="FA98" s="92"/>
      <c r="FB98" s="92"/>
      <c r="FC98" s="92"/>
      <c r="FD98" s="92"/>
      <c r="FE98" s="92"/>
      <c r="FF98" s="92"/>
      <c r="FG98" s="92"/>
      <c r="FH98" s="92"/>
      <c r="FI98" s="92"/>
      <c r="FJ98" s="92"/>
      <c r="FK98" s="92"/>
      <c r="FL98" s="92"/>
      <c r="FM98" s="92"/>
      <c r="FN98" s="92"/>
      <c r="FO98" s="92"/>
      <c r="FP98" s="92"/>
      <c r="FQ98" s="92"/>
      <c r="FR98" s="92"/>
      <c r="FS98" s="92"/>
      <c r="FT98" s="92"/>
      <c r="FU98" s="92"/>
      <c r="FV98" s="92"/>
      <c r="FW98" s="92"/>
      <c r="FX98" s="92"/>
      <c r="FY98" s="92"/>
      <c r="FZ98" s="92"/>
      <c r="GA98" s="92"/>
      <c r="GB98" s="92"/>
      <c r="GC98" s="92"/>
      <c r="GD98" s="92"/>
      <c r="GE98" s="92"/>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2"/>
      <c r="HE98" s="92"/>
      <c r="HF98" s="92"/>
      <c r="HG98" s="92"/>
      <c r="HH98" s="92"/>
      <c r="HI98" s="92"/>
      <c r="HJ98" s="92"/>
      <c r="HK98" s="92"/>
      <c r="HL98" s="92"/>
      <c r="HM98" s="92"/>
      <c r="HN98" s="92"/>
      <c r="HO98" s="92"/>
      <c r="HP98" s="92"/>
      <c r="HQ98" s="92"/>
      <c r="HR98" s="92"/>
      <c r="HS98" s="92"/>
      <c r="HT98" s="92"/>
      <c r="HU98" s="92"/>
      <c r="HV98" s="92"/>
      <c r="HW98" s="92"/>
      <c r="HX98" s="92"/>
      <c r="HY98" s="92"/>
      <c r="HZ98" s="92"/>
      <c r="IA98" s="92"/>
      <c r="IB98" s="92"/>
      <c r="IC98" s="92"/>
      <c r="ID98" s="92"/>
      <c r="IE98" s="92"/>
      <c r="IF98" s="92"/>
      <c r="IG98" s="92"/>
      <c r="IH98" s="92"/>
      <c r="II98" s="92"/>
      <c r="IJ98" s="92"/>
      <c r="IK98" s="92"/>
      <c r="IL98" s="92"/>
      <c r="IM98" s="92"/>
      <c r="IN98" s="92"/>
      <c r="IO98" s="92"/>
      <c r="IP98" s="92"/>
      <c r="IQ98" s="92"/>
      <c r="IR98" s="92"/>
      <c r="IS98" s="92"/>
      <c r="IT98" s="92"/>
      <c r="IU98" s="92"/>
      <c r="IV98" s="92"/>
      <c r="IW98" s="92"/>
      <c r="IX98" s="92"/>
      <c r="IY98" s="92"/>
      <c r="IZ98" s="92"/>
      <c r="JA98" s="92"/>
      <c r="JB98" s="92"/>
      <c r="JC98" s="92"/>
      <c r="JD98" s="92"/>
      <c r="JE98" s="92"/>
      <c r="JF98" s="92"/>
      <c r="JG98" s="92"/>
      <c r="JH98" s="92"/>
      <c r="JI98" s="92"/>
      <c r="JJ98" s="92"/>
      <c r="JK98" s="92"/>
      <c r="JL98" s="92"/>
      <c r="JM98" s="92"/>
      <c r="JN98" s="92"/>
      <c r="JO98" s="92"/>
      <c r="JP98" s="92"/>
      <c r="JQ98" s="92"/>
      <c r="JR98" s="92"/>
      <c r="JS98" s="92"/>
      <c r="JT98" s="92"/>
      <c r="JU98" s="92"/>
      <c r="JV98" s="92"/>
      <c r="JW98" s="92"/>
      <c r="JX98" s="92"/>
      <c r="JY98" s="92"/>
      <c r="JZ98" s="92"/>
      <c r="KA98" s="92"/>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2"/>
      <c r="LA98" s="92"/>
      <c r="LB98" s="92"/>
      <c r="LC98" s="92"/>
      <c r="LD98" s="92"/>
      <c r="LE98" s="92"/>
      <c r="LF98" s="92"/>
      <c r="LG98" s="92"/>
      <c r="LH98" s="92"/>
      <c r="LI98" s="92"/>
      <c r="LJ98" s="92"/>
      <c r="LK98" s="92"/>
      <c r="LL98" s="92"/>
      <c r="LM98" s="92"/>
      <c r="LN98" s="92"/>
      <c r="LO98" s="92"/>
      <c r="LP98" s="92"/>
      <c r="LQ98" s="92"/>
      <c r="LR98" s="92"/>
      <c r="LS98" s="92"/>
      <c r="LT98" s="92"/>
      <c r="LU98" s="92"/>
      <c r="LV98" s="92"/>
      <c r="LW98" s="92"/>
      <c r="LX98" s="92"/>
      <c r="LY98" s="92"/>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2"/>
      <c r="MY98" s="92"/>
      <c r="MZ98" s="92"/>
      <c r="NA98" s="92"/>
      <c r="NB98" s="92"/>
      <c r="NC98" s="92"/>
      <c r="ND98" s="92"/>
      <c r="NE98" s="92"/>
      <c r="NF98" s="92"/>
      <c r="NG98" s="92"/>
      <c r="NH98" s="92"/>
      <c r="NI98" s="92"/>
      <c r="NJ98" s="92"/>
      <c r="NK98" s="92"/>
      <c r="NL98" s="92"/>
      <c r="NM98" s="92"/>
      <c r="NN98" s="92"/>
      <c r="NO98" s="92"/>
      <c r="NP98" s="92"/>
      <c r="NQ98" s="92"/>
      <c r="NR98" s="92"/>
      <c r="NS98" s="92"/>
      <c r="NT98" s="92"/>
      <c r="NU98" s="92"/>
      <c r="NV98" s="92"/>
      <c r="NW98" s="92"/>
      <c r="NX98" s="92"/>
      <c r="NY98" s="92"/>
      <c r="NZ98" s="92"/>
      <c r="OA98" s="92"/>
      <c r="OB98" s="92"/>
      <c r="OC98" s="92"/>
      <c r="OD98" s="92"/>
      <c r="OE98" s="92"/>
      <c r="OF98" s="92"/>
      <c r="OG98" s="92"/>
      <c r="OH98" s="92"/>
      <c r="OI98" s="92"/>
      <c r="OJ98" s="92"/>
      <c r="OK98" s="92"/>
      <c r="OL98" s="92"/>
      <c r="OM98" s="92"/>
      <c r="ON98" s="92"/>
      <c r="OO98" s="92"/>
      <c r="OP98" s="92"/>
      <c r="OQ98" s="92"/>
      <c r="OR98" s="92"/>
      <c r="OS98" s="92"/>
      <c r="OT98" s="92"/>
      <c r="OU98" s="92"/>
      <c r="OV98" s="92"/>
      <c r="OW98" s="92"/>
      <c r="OX98" s="92"/>
      <c r="OY98" s="92"/>
      <c r="OZ98" s="92"/>
      <c r="PA98" s="92"/>
      <c r="PB98" s="92"/>
      <c r="PC98" s="92"/>
      <c r="PD98" s="92"/>
      <c r="PE98" s="92"/>
      <c r="PF98" s="92"/>
      <c r="PG98" s="92"/>
      <c r="PH98" s="92"/>
      <c r="PI98" s="92"/>
      <c r="PJ98" s="92"/>
      <c r="PK98" s="92"/>
      <c r="PL98" s="92"/>
      <c r="PM98" s="92"/>
      <c r="PN98" s="92"/>
      <c r="PO98" s="92"/>
      <c r="PP98" s="92"/>
      <c r="PQ98" s="92"/>
      <c r="PR98" s="92"/>
      <c r="PS98" s="92"/>
      <c r="PT98" s="92"/>
      <c r="PU98" s="92"/>
      <c r="PV98" s="92"/>
      <c r="PW98" s="92"/>
      <c r="PX98" s="92"/>
      <c r="PY98" s="92"/>
      <c r="PZ98" s="92"/>
      <c r="QA98" s="92"/>
      <c r="QB98" s="92"/>
      <c r="QC98" s="92"/>
      <c r="QD98" s="92"/>
      <c r="QE98" s="92"/>
      <c r="QF98" s="92"/>
      <c r="QG98" s="92"/>
      <c r="QH98" s="92"/>
      <c r="QI98" s="92"/>
      <c r="QJ98" s="92"/>
      <c r="QK98" s="92"/>
      <c r="QL98" s="92"/>
      <c r="QM98" s="92"/>
      <c r="QN98" s="92"/>
      <c r="QO98" s="92"/>
    </row>
    <row r="99" spans="1:457">
      <c r="A99" s="83"/>
      <c r="C99" s="106"/>
      <c r="D99" s="79"/>
      <c r="E99" s="79"/>
      <c r="F99" s="79"/>
      <c r="G99" s="79"/>
      <c r="H99" s="79"/>
      <c r="I99" s="79"/>
      <c r="J99" s="79"/>
      <c r="K99" s="79"/>
      <c r="L99" s="79"/>
      <c r="M99" s="79"/>
      <c r="N99" s="79"/>
      <c r="O99" s="102"/>
      <c r="P99" s="52"/>
      <c r="Q99" s="92"/>
      <c r="R99" s="92"/>
      <c r="S99" s="92"/>
      <c r="X99" s="92"/>
      <c r="Y99" s="92"/>
      <c r="Z99" s="92"/>
      <c r="AA99" s="92"/>
      <c r="AB99" s="92"/>
      <c r="AC99" s="92"/>
      <c r="AD99" s="92"/>
      <c r="AE99" s="92"/>
      <c r="AO99" s="92"/>
      <c r="AP99" s="92"/>
      <c r="AQ99" s="92"/>
      <c r="AR99" s="92"/>
      <c r="AS99" s="92"/>
      <c r="AT99" s="92"/>
      <c r="AU99" s="92"/>
      <c r="AV99" s="92"/>
      <c r="AW99" s="92"/>
      <c r="AX99" s="92"/>
      <c r="AY99" s="92"/>
      <c r="AZ99" s="92"/>
      <c r="BA99" s="92"/>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2"/>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2"/>
      <c r="CZ99" s="92"/>
      <c r="DA99" s="92"/>
      <c r="DB99" s="92"/>
      <c r="DC99" s="92"/>
      <c r="DD99" s="92"/>
      <c r="DE99" s="92"/>
      <c r="DF99" s="92"/>
      <c r="DG99" s="92"/>
      <c r="DH99" s="92"/>
      <c r="DI99" s="92"/>
      <c r="DJ99" s="92"/>
      <c r="DK99" s="92"/>
      <c r="DL99" s="92"/>
      <c r="DM99" s="92"/>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92"/>
      <c r="EL99" s="92"/>
      <c r="EM99" s="92"/>
      <c r="EN99" s="92"/>
      <c r="EO99" s="92"/>
      <c r="EP99" s="92"/>
      <c r="EQ99" s="92"/>
      <c r="ER99" s="92"/>
      <c r="ES99" s="92"/>
      <c r="ET99" s="92"/>
      <c r="EU99" s="92"/>
      <c r="EV99" s="92"/>
      <c r="EW99" s="92"/>
      <c r="EX99" s="92"/>
      <c r="EY99" s="92"/>
      <c r="EZ99" s="92"/>
      <c r="FA99" s="92"/>
      <c r="FB99" s="92"/>
      <c r="FC99" s="92"/>
      <c r="FD99" s="92"/>
      <c r="FE99" s="92"/>
      <c r="FF99" s="92"/>
      <c r="FG99" s="92"/>
      <c r="FH99" s="92"/>
      <c r="FI99" s="92"/>
      <c r="FJ99" s="92"/>
      <c r="FK99" s="92"/>
      <c r="FL99" s="92"/>
      <c r="FM99" s="92"/>
      <c r="FN99" s="92"/>
      <c r="FO99" s="92"/>
      <c r="FP99" s="92"/>
      <c r="FQ99" s="92"/>
      <c r="FR99" s="92"/>
      <c r="FS99" s="92"/>
      <c r="FT99" s="92"/>
      <c r="FU99" s="92"/>
      <c r="FV99" s="92"/>
      <c r="FW99" s="92"/>
      <c r="FX99" s="92"/>
      <c r="FY99" s="92"/>
      <c r="FZ99" s="92"/>
      <c r="GA99" s="92"/>
      <c r="GB99" s="92"/>
      <c r="GC99" s="92"/>
      <c r="GD99" s="92"/>
      <c r="GE99" s="92"/>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2"/>
      <c r="HE99" s="92"/>
      <c r="HF99" s="92"/>
      <c r="HG99" s="92"/>
      <c r="HH99" s="92"/>
      <c r="HI99" s="92"/>
      <c r="HJ99" s="92"/>
      <c r="HK99" s="92"/>
      <c r="HL99" s="92"/>
      <c r="HM99" s="92"/>
      <c r="HN99" s="92"/>
      <c r="HO99" s="92"/>
      <c r="HP99" s="92"/>
      <c r="HQ99" s="92"/>
      <c r="HR99" s="92"/>
      <c r="HS99" s="92"/>
      <c r="HT99" s="92"/>
      <c r="HU99" s="92"/>
      <c r="HV99" s="92"/>
      <c r="HW99" s="92"/>
      <c r="HX99" s="92"/>
      <c r="HY99" s="92"/>
      <c r="HZ99" s="92"/>
      <c r="IA99" s="92"/>
      <c r="IB99" s="92"/>
      <c r="IC99" s="92"/>
      <c r="ID99" s="92"/>
      <c r="IE99" s="92"/>
      <c r="IF99" s="92"/>
      <c r="IG99" s="92"/>
      <c r="IH99" s="92"/>
      <c r="II99" s="92"/>
      <c r="IJ99" s="92"/>
      <c r="IK99" s="92"/>
      <c r="IL99" s="92"/>
      <c r="IM99" s="92"/>
      <c r="IN99" s="92"/>
      <c r="IO99" s="92"/>
      <c r="IP99" s="92"/>
      <c r="IQ99" s="92"/>
      <c r="IR99" s="92"/>
      <c r="IS99" s="92"/>
      <c r="IT99" s="92"/>
      <c r="IU99" s="92"/>
      <c r="IV99" s="92"/>
      <c r="IW99" s="92"/>
      <c r="IX99" s="92"/>
      <c r="IY99" s="92"/>
      <c r="IZ99" s="92"/>
      <c r="JA99" s="92"/>
      <c r="JB99" s="92"/>
      <c r="JC99" s="92"/>
      <c r="JD99" s="92"/>
      <c r="JE99" s="92"/>
      <c r="JF99" s="92"/>
      <c r="JG99" s="92"/>
      <c r="JH99" s="92"/>
      <c r="JI99" s="92"/>
      <c r="JJ99" s="92"/>
      <c r="JK99" s="92"/>
      <c r="JL99" s="92"/>
      <c r="JM99" s="92"/>
      <c r="JN99" s="92"/>
      <c r="JO99" s="92"/>
      <c r="JP99" s="92"/>
      <c r="JQ99" s="92"/>
      <c r="JR99" s="92"/>
      <c r="JS99" s="92"/>
      <c r="JT99" s="92"/>
      <c r="JU99" s="92"/>
      <c r="JV99" s="92"/>
      <c r="JW99" s="92"/>
      <c r="JX99" s="92"/>
      <c r="JY99" s="92"/>
      <c r="JZ99" s="92"/>
      <c r="KA99" s="92"/>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2"/>
      <c r="LA99" s="92"/>
      <c r="LB99" s="92"/>
      <c r="LC99" s="92"/>
      <c r="LD99" s="92"/>
      <c r="LE99" s="92"/>
      <c r="LF99" s="92"/>
      <c r="LG99" s="92"/>
      <c r="LH99" s="92"/>
      <c r="LI99" s="92"/>
      <c r="LJ99" s="92"/>
      <c r="LK99" s="92"/>
      <c r="LL99" s="92"/>
      <c r="LM99" s="92"/>
      <c r="LN99" s="92"/>
      <c r="LO99" s="92"/>
      <c r="LP99" s="92"/>
      <c r="LQ99" s="92"/>
      <c r="LR99" s="92"/>
      <c r="LS99" s="92"/>
      <c r="LT99" s="92"/>
      <c r="LU99" s="92"/>
      <c r="LV99" s="92"/>
      <c r="LW99" s="92"/>
      <c r="LX99" s="92"/>
      <c r="LY99" s="92"/>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2"/>
      <c r="MY99" s="92"/>
      <c r="MZ99" s="92"/>
      <c r="NA99" s="92"/>
      <c r="NB99" s="92"/>
      <c r="NC99" s="92"/>
      <c r="ND99" s="92"/>
      <c r="NE99" s="92"/>
      <c r="NF99" s="92"/>
      <c r="NG99" s="92"/>
      <c r="NH99" s="92"/>
      <c r="NI99" s="92"/>
      <c r="NJ99" s="92"/>
      <c r="NK99" s="92"/>
      <c r="NL99" s="92"/>
      <c r="NM99" s="92"/>
      <c r="NN99" s="92"/>
      <c r="NO99" s="92"/>
      <c r="NP99" s="92"/>
      <c r="NQ99" s="92"/>
      <c r="NR99" s="92"/>
      <c r="NS99" s="92"/>
      <c r="NT99" s="92"/>
      <c r="NU99" s="92"/>
      <c r="NV99" s="92"/>
      <c r="NW99" s="92"/>
      <c r="NX99" s="92"/>
      <c r="NY99" s="92"/>
      <c r="NZ99" s="92"/>
      <c r="OA99" s="92"/>
      <c r="OB99" s="92"/>
      <c r="OC99" s="92"/>
      <c r="OD99" s="92"/>
      <c r="OE99" s="92"/>
      <c r="OF99" s="92"/>
      <c r="OG99" s="92"/>
      <c r="OH99" s="92"/>
      <c r="OI99" s="92"/>
      <c r="OJ99" s="92"/>
      <c r="OK99" s="92"/>
      <c r="OL99" s="92"/>
      <c r="OM99" s="92"/>
      <c r="ON99" s="92"/>
      <c r="OO99" s="92"/>
      <c r="OP99" s="92"/>
      <c r="OQ99" s="92"/>
      <c r="OR99" s="92"/>
      <c r="OS99" s="92"/>
      <c r="OT99" s="92"/>
      <c r="OU99" s="92"/>
      <c r="OV99" s="92"/>
      <c r="OW99" s="92"/>
      <c r="OX99" s="92"/>
      <c r="OY99" s="92"/>
      <c r="OZ99" s="92"/>
      <c r="PA99" s="92"/>
      <c r="PB99" s="92"/>
      <c r="PC99" s="92"/>
      <c r="PD99" s="92"/>
      <c r="PE99" s="92"/>
      <c r="PF99" s="92"/>
      <c r="PG99" s="92"/>
      <c r="PH99" s="92"/>
      <c r="PI99" s="92"/>
      <c r="PJ99" s="92"/>
      <c r="PK99" s="92"/>
      <c r="PL99" s="92"/>
      <c r="PM99" s="92"/>
      <c r="PN99" s="92"/>
      <c r="PO99" s="92"/>
      <c r="PP99" s="92"/>
      <c r="PQ99" s="92"/>
      <c r="PR99" s="92"/>
      <c r="PS99" s="92"/>
      <c r="PT99" s="92"/>
      <c r="PU99" s="92"/>
      <c r="PV99" s="92"/>
      <c r="PW99" s="92"/>
      <c r="PX99" s="92"/>
      <c r="PY99" s="92"/>
      <c r="PZ99" s="92"/>
      <c r="QA99" s="92"/>
      <c r="QB99" s="92"/>
      <c r="QC99" s="92"/>
      <c r="QD99" s="92"/>
      <c r="QE99" s="92"/>
      <c r="QF99" s="92"/>
      <c r="QG99" s="92"/>
      <c r="QH99" s="92"/>
      <c r="QI99" s="92"/>
      <c r="QJ99" s="92"/>
      <c r="QK99" s="92"/>
      <c r="QL99" s="92"/>
      <c r="QM99" s="92"/>
      <c r="QN99" s="92"/>
      <c r="QO99" s="92"/>
    </row>
    <row r="100" spans="1:457" ht="30">
      <c r="A100" s="83"/>
      <c r="C100" s="106"/>
      <c r="D100" s="80"/>
      <c r="E100" s="80"/>
      <c r="F100" s="80"/>
      <c r="G100" s="80"/>
      <c r="H100" s="80"/>
      <c r="I100" s="80"/>
      <c r="J100" s="80"/>
      <c r="K100" s="80"/>
      <c r="L100" s="80"/>
      <c r="M100" s="80"/>
      <c r="N100" s="80"/>
      <c r="O100" s="102"/>
      <c r="P100" s="83"/>
      <c r="Q100" s="92"/>
      <c r="R100" s="92"/>
      <c r="S100" s="224" t="s">
        <v>391</v>
      </c>
      <c r="T100" s="224" t="s">
        <v>389</v>
      </c>
      <c r="U100" s="220" t="s">
        <v>383</v>
      </c>
      <c r="V100" s="220" t="s">
        <v>384</v>
      </c>
      <c r="W100" s="221" t="s">
        <v>956</v>
      </c>
      <c r="X100" s="221" t="s">
        <v>560</v>
      </c>
      <c r="Z100" s="92"/>
      <c r="AA100" s="92"/>
      <c r="AB100" s="92"/>
      <c r="AC100" s="92"/>
      <c r="AD100" s="92"/>
      <c r="AE100" s="92"/>
      <c r="AO100" s="92"/>
      <c r="AP100" s="92"/>
      <c r="AQ100" s="92"/>
      <c r="AR100" s="92"/>
      <c r="AS100" s="92"/>
      <c r="AT100" s="92"/>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2"/>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2"/>
      <c r="CZ100" s="92"/>
      <c r="DA100" s="92"/>
      <c r="DB100" s="92"/>
      <c r="DC100" s="92"/>
      <c r="DD100" s="92"/>
      <c r="DE100" s="92"/>
      <c r="DF100" s="92"/>
      <c r="DG100" s="92"/>
      <c r="DH100" s="92"/>
      <c r="DI100" s="92"/>
      <c r="DJ100" s="92"/>
      <c r="DK100" s="92"/>
      <c r="DL100" s="92"/>
      <c r="DM100" s="92"/>
      <c r="DN100" s="92"/>
      <c r="DO100" s="92"/>
      <c r="DP100" s="92"/>
      <c r="DQ100" s="92"/>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2"/>
      <c r="EN100" s="92"/>
      <c r="EO100" s="92"/>
      <c r="EP100" s="92"/>
      <c r="EQ100" s="92"/>
      <c r="ER100" s="92"/>
      <c r="ES100" s="92"/>
      <c r="ET100" s="92"/>
      <c r="EU100" s="92"/>
      <c r="EV100" s="92"/>
      <c r="EW100" s="92"/>
      <c r="EX100" s="92"/>
      <c r="EY100" s="92"/>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2"/>
      <c r="FV100" s="92"/>
      <c r="FW100" s="92"/>
      <c r="FX100" s="92"/>
      <c r="FY100" s="92"/>
      <c r="FZ100" s="92"/>
      <c r="GA100" s="92"/>
      <c r="GB100" s="92"/>
      <c r="GC100" s="92"/>
      <c r="GD100" s="92"/>
      <c r="GE100" s="92"/>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2"/>
      <c r="HN100" s="92"/>
      <c r="HO100" s="92"/>
      <c r="HP100" s="92"/>
      <c r="HQ100" s="92"/>
      <c r="HR100" s="92"/>
      <c r="HS100" s="92"/>
      <c r="HT100" s="92"/>
      <c r="HU100" s="92"/>
      <c r="HV100" s="92"/>
      <c r="HW100" s="92"/>
      <c r="HX100" s="92"/>
      <c r="HY100" s="92"/>
      <c r="HZ100" s="92"/>
      <c r="IA100" s="92"/>
      <c r="IB100" s="92"/>
      <c r="IC100" s="92"/>
      <c r="ID100" s="92"/>
      <c r="IE100" s="92"/>
      <c r="IF100" s="92"/>
      <c r="IG100" s="92"/>
      <c r="IH100" s="92"/>
      <c r="II100" s="92"/>
      <c r="IJ100" s="92"/>
      <c r="IK100" s="92"/>
      <c r="IL100" s="92"/>
      <c r="IM100" s="92"/>
      <c r="IN100" s="92"/>
      <c r="IO100" s="92"/>
      <c r="IP100" s="92"/>
      <c r="IQ100" s="92"/>
      <c r="IR100" s="92"/>
      <c r="IS100" s="92"/>
      <c r="IT100" s="92"/>
      <c r="IU100" s="92"/>
      <c r="IV100" s="92"/>
      <c r="IW100" s="92"/>
      <c r="IX100" s="92"/>
      <c r="IY100" s="92"/>
      <c r="IZ100" s="92"/>
      <c r="JA100" s="92"/>
      <c r="JB100" s="92"/>
      <c r="JC100" s="92"/>
      <c r="JD100" s="92"/>
      <c r="JE100" s="92"/>
      <c r="JF100" s="92"/>
      <c r="JG100" s="92"/>
      <c r="JH100" s="92"/>
      <c r="JI100" s="92"/>
      <c r="JJ100" s="92"/>
      <c r="JK100" s="92"/>
      <c r="JL100" s="92"/>
      <c r="JM100" s="92"/>
      <c r="JN100" s="92"/>
      <c r="JO100" s="92"/>
      <c r="JP100" s="92"/>
      <c r="JQ100" s="92"/>
      <c r="JR100" s="92"/>
      <c r="JS100" s="92"/>
      <c r="JT100" s="92"/>
      <c r="JU100" s="92"/>
      <c r="JV100" s="92"/>
      <c r="JW100" s="92"/>
      <c r="JX100" s="92"/>
      <c r="JY100" s="92"/>
      <c r="JZ100" s="92"/>
      <c r="KA100" s="92"/>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2"/>
      <c r="LA100" s="92"/>
      <c r="LB100" s="92"/>
      <c r="LC100" s="92"/>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2"/>
      <c r="LZ100" s="92"/>
      <c r="MA100" s="92"/>
      <c r="MB100" s="92"/>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2"/>
      <c r="MY100" s="92"/>
      <c r="MZ100" s="92"/>
      <c r="NA100" s="92"/>
      <c r="NB100" s="92"/>
      <c r="NC100" s="92"/>
      <c r="ND100" s="92"/>
      <c r="NE100" s="92"/>
      <c r="NF100" s="92"/>
      <c r="NG100" s="92"/>
      <c r="NH100" s="92"/>
      <c r="NI100" s="92"/>
      <c r="NJ100" s="92"/>
      <c r="NK100" s="92"/>
      <c r="NL100" s="92"/>
      <c r="NM100" s="92"/>
      <c r="NN100" s="92"/>
      <c r="NO100" s="92"/>
      <c r="NP100" s="92"/>
      <c r="NQ100" s="92"/>
      <c r="NR100" s="92"/>
      <c r="NS100" s="92"/>
      <c r="NT100" s="92"/>
      <c r="NU100" s="92"/>
      <c r="NV100" s="92"/>
      <c r="NW100" s="92"/>
      <c r="NX100" s="92"/>
      <c r="NY100" s="92"/>
      <c r="NZ100" s="92"/>
      <c r="OA100" s="92"/>
      <c r="OB100" s="92"/>
      <c r="OC100" s="92"/>
      <c r="OD100" s="92"/>
      <c r="OE100" s="92"/>
      <c r="OF100" s="92"/>
      <c r="OG100" s="92"/>
      <c r="OH100" s="92"/>
      <c r="OI100" s="92"/>
      <c r="OJ100" s="92"/>
      <c r="OK100" s="92"/>
      <c r="OL100" s="92"/>
      <c r="OM100" s="92"/>
      <c r="ON100" s="92"/>
      <c r="OO100" s="92"/>
      <c r="OP100" s="92"/>
      <c r="OQ100" s="92"/>
      <c r="OR100" s="92"/>
      <c r="OS100" s="92"/>
      <c r="OT100" s="92"/>
      <c r="OU100" s="92"/>
      <c r="OV100" s="92"/>
      <c r="OW100" s="92"/>
      <c r="OX100" s="92"/>
      <c r="OY100" s="92"/>
      <c r="OZ100" s="92"/>
      <c r="PA100" s="92"/>
      <c r="PB100" s="92"/>
      <c r="PC100" s="92"/>
      <c r="PD100" s="92"/>
      <c r="PE100" s="92"/>
      <c r="PF100" s="92"/>
      <c r="PG100" s="92"/>
      <c r="PH100" s="92"/>
      <c r="PI100" s="92"/>
      <c r="PJ100" s="92"/>
      <c r="PK100" s="92"/>
      <c r="PL100" s="92"/>
      <c r="PM100" s="92"/>
      <c r="PN100" s="92"/>
      <c r="PO100" s="92"/>
      <c r="PP100" s="92"/>
      <c r="PQ100" s="92"/>
      <c r="PR100" s="92"/>
      <c r="PS100" s="92"/>
      <c r="PT100" s="92"/>
      <c r="PU100" s="92"/>
      <c r="PV100" s="92"/>
      <c r="PW100" s="92"/>
      <c r="PX100" s="92"/>
      <c r="PY100" s="92"/>
      <c r="PZ100" s="92"/>
      <c r="QA100" s="92"/>
      <c r="QB100" s="92"/>
      <c r="QC100" s="92"/>
      <c r="QD100" s="92"/>
      <c r="QE100" s="92"/>
      <c r="QF100" s="92"/>
      <c r="QG100" s="92"/>
      <c r="QH100" s="92"/>
      <c r="QI100" s="92"/>
      <c r="QJ100" s="92"/>
      <c r="QK100" s="92"/>
      <c r="QL100" s="92"/>
      <c r="QM100" s="92"/>
      <c r="QN100" s="92"/>
      <c r="QO100" s="92"/>
    </row>
    <row r="101" spans="1:457">
      <c r="A101" s="83"/>
      <c r="C101" s="106"/>
      <c r="D101" s="81"/>
      <c r="E101" s="81"/>
      <c r="F101" s="81"/>
      <c r="G101" s="81"/>
      <c r="H101" s="81"/>
      <c r="I101" s="81"/>
      <c r="J101" s="81"/>
      <c r="K101" s="81"/>
      <c r="L101" s="81"/>
      <c r="M101" s="81"/>
      <c r="N101" s="81"/>
      <c r="O101" s="102"/>
      <c r="P101" s="83"/>
      <c r="Q101" s="92"/>
      <c r="R101" s="92"/>
      <c r="S101" s="57"/>
      <c r="T101" s="722" t="s">
        <v>540</v>
      </c>
      <c r="U101" s="94">
        <f>IF(D3&lt;=0,0,SUM(AA4:AA5)/D3)</f>
        <v>138.65227005558231</v>
      </c>
      <c r="V101" s="94">
        <f t="shared" ref="V101:W101" si="70">IF(E3&lt;=0,0,SUM(AB4:AB5)/E3)</f>
        <v>0</v>
      </c>
      <c r="W101" s="94">
        <f t="shared" si="70"/>
        <v>81.260964675380791</v>
      </c>
      <c r="X101" s="94">
        <f>AVERAGE(U101:W101)</f>
        <v>73.304411576987704</v>
      </c>
      <c r="Z101" s="92"/>
      <c r="AA101" s="92"/>
      <c r="AB101" s="92"/>
      <c r="AC101" s="92"/>
      <c r="AD101" s="92"/>
      <c r="AE101" s="92"/>
      <c r="AO101" s="92"/>
      <c r="AP101" s="92"/>
      <c r="AQ101" s="92"/>
      <c r="AR101" s="92"/>
      <c r="AS101" s="92"/>
      <c r="AT101" s="92"/>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2"/>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2"/>
      <c r="CZ101" s="92"/>
      <c r="DA101" s="92"/>
      <c r="DB101" s="92"/>
      <c r="DC101" s="92"/>
      <c r="DD101" s="92"/>
      <c r="DE101" s="92"/>
      <c r="DF101" s="92"/>
      <c r="DG101" s="92"/>
      <c r="DH101" s="92"/>
      <c r="DI101" s="92"/>
      <c r="DJ101" s="92"/>
      <c r="DK101" s="92"/>
      <c r="DL101" s="92"/>
      <c r="DM101" s="92"/>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2"/>
      <c r="EN101" s="92"/>
      <c r="EO101" s="92"/>
      <c r="EP101" s="92"/>
      <c r="EQ101" s="92"/>
      <c r="ER101" s="92"/>
      <c r="ES101" s="92"/>
      <c r="ET101" s="92"/>
      <c r="EU101" s="92"/>
      <c r="EV101" s="92"/>
      <c r="EW101" s="92"/>
      <c r="EX101" s="92"/>
      <c r="EY101" s="92"/>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2"/>
      <c r="FV101" s="92"/>
      <c r="FW101" s="92"/>
      <c r="FX101" s="92"/>
      <c r="FY101" s="92"/>
      <c r="FZ101" s="92"/>
      <c r="GA101" s="92"/>
      <c r="GB101" s="92"/>
      <c r="GC101" s="92"/>
      <c r="GD101" s="92"/>
      <c r="GE101" s="92"/>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2"/>
      <c r="HN101" s="92"/>
      <c r="HO101" s="92"/>
      <c r="HP101" s="92"/>
      <c r="HQ101" s="92"/>
      <c r="HR101" s="92"/>
      <c r="HS101" s="92"/>
      <c r="HT101" s="92"/>
      <c r="HU101" s="92"/>
      <c r="HV101" s="92"/>
      <c r="HW101" s="92"/>
      <c r="HX101" s="92"/>
      <c r="HY101" s="92"/>
      <c r="HZ101" s="92"/>
      <c r="IA101" s="92"/>
      <c r="IB101" s="92"/>
      <c r="IC101" s="92"/>
      <c r="ID101" s="92"/>
      <c r="IE101" s="92"/>
      <c r="IF101" s="92"/>
      <c r="IG101" s="92"/>
      <c r="IH101" s="92"/>
      <c r="II101" s="92"/>
      <c r="IJ101" s="92"/>
      <c r="IK101" s="92"/>
      <c r="IL101" s="92"/>
      <c r="IM101" s="92"/>
      <c r="IN101" s="92"/>
      <c r="IO101" s="92"/>
      <c r="IP101" s="92"/>
      <c r="IQ101" s="92"/>
      <c r="IR101" s="92"/>
      <c r="IS101" s="92"/>
      <c r="IT101" s="92"/>
      <c r="IU101" s="92"/>
      <c r="IV101" s="92"/>
      <c r="IW101" s="92"/>
      <c r="IX101" s="92"/>
      <c r="IY101" s="92"/>
      <c r="IZ101" s="92"/>
      <c r="JA101" s="92"/>
      <c r="JB101" s="92"/>
      <c r="JC101" s="92"/>
      <c r="JD101" s="92"/>
      <c r="JE101" s="92"/>
      <c r="JF101" s="92"/>
      <c r="JG101" s="92"/>
      <c r="JH101" s="92"/>
      <c r="JI101" s="92"/>
      <c r="JJ101" s="92"/>
      <c r="JK101" s="92"/>
      <c r="JL101" s="92"/>
      <c r="JM101" s="92"/>
      <c r="JN101" s="92"/>
      <c r="JO101" s="92"/>
      <c r="JP101" s="92"/>
      <c r="JQ101" s="92"/>
      <c r="JR101" s="92"/>
      <c r="JS101" s="92"/>
      <c r="JT101" s="92"/>
      <c r="JU101" s="92"/>
      <c r="JV101" s="92"/>
      <c r="JW101" s="92"/>
      <c r="JX101" s="92"/>
      <c r="JY101" s="92"/>
      <c r="JZ101" s="92"/>
      <c r="KA101" s="92"/>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2"/>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2"/>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2"/>
      <c r="MY101" s="92"/>
      <c r="MZ101" s="92"/>
      <c r="NA101" s="92"/>
      <c r="NB101" s="92"/>
      <c r="NC101" s="92"/>
      <c r="ND101" s="92"/>
      <c r="NE101" s="92"/>
      <c r="NF101" s="92"/>
      <c r="NG101" s="92"/>
      <c r="NH101" s="92"/>
      <c r="NI101" s="92"/>
      <c r="NJ101" s="92"/>
      <c r="NK101" s="92"/>
      <c r="NL101" s="92"/>
      <c r="NM101" s="92"/>
      <c r="NN101" s="92"/>
      <c r="NO101" s="92"/>
      <c r="NP101" s="92"/>
      <c r="NQ101" s="92"/>
      <c r="NR101" s="92"/>
      <c r="NS101" s="92"/>
      <c r="NT101" s="92"/>
      <c r="NU101" s="92"/>
      <c r="NV101" s="92"/>
      <c r="NW101" s="92"/>
      <c r="NX101" s="92"/>
      <c r="NY101" s="92"/>
      <c r="NZ101" s="92"/>
      <c r="OA101" s="92"/>
      <c r="OB101" s="92"/>
      <c r="OC101" s="92"/>
      <c r="OD101" s="92"/>
      <c r="OE101" s="92"/>
      <c r="OF101" s="92"/>
      <c r="OG101" s="92"/>
      <c r="OH101" s="92"/>
      <c r="OI101" s="92"/>
      <c r="OJ101" s="92"/>
      <c r="OK101" s="92"/>
      <c r="OL101" s="92"/>
      <c r="OM101" s="92"/>
      <c r="ON101" s="92"/>
      <c r="OO101" s="92"/>
      <c r="OP101" s="92"/>
      <c r="OQ101" s="92"/>
      <c r="OR101" s="92"/>
      <c r="OS101" s="92"/>
      <c r="OT101" s="92"/>
      <c r="OU101" s="92"/>
      <c r="OV101" s="92"/>
      <c r="OW101" s="92"/>
      <c r="OX101" s="92"/>
      <c r="OY101" s="92"/>
      <c r="OZ101" s="92"/>
      <c r="PA101" s="92"/>
      <c r="PB101" s="92"/>
      <c r="PC101" s="92"/>
      <c r="PD101" s="92"/>
      <c r="PE101" s="92"/>
      <c r="PF101" s="92"/>
      <c r="PG101" s="92"/>
      <c r="PH101" s="92"/>
      <c r="PI101" s="92"/>
      <c r="PJ101" s="92"/>
      <c r="PK101" s="92"/>
      <c r="PL101" s="92"/>
      <c r="PM101" s="92"/>
      <c r="PN101" s="92"/>
      <c r="PO101" s="92"/>
      <c r="PP101" s="92"/>
      <c r="PQ101" s="92"/>
      <c r="PR101" s="92"/>
      <c r="PS101" s="92"/>
      <c r="PT101" s="92"/>
      <c r="PU101" s="92"/>
      <c r="PV101" s="92"/>
      <c r="PW101" s="92"/>
      <c r="PX101" s="92"/>
      <c r="PY101" s="92"/>
      <c r="PZ101" s="92"/>
      <c r="QA101" s="92"/>
      <c r="QB101" s="92"/>
      <c r="QC101" s="92"/>
      <c r="QD101" s="92"/>
      <c r="QE101" s="92"/>
      <c r="QF101" s="92"/>
      <c r="QG101" s="92"/>
      <c r="QH101" s="92"/>
      <c r="QI101" s="92"/>
      <c r="QJ101" s="92"/>
      <c r="QK101" s="92"/>
      <c r="QL101" s="92"/>
      <c r="QM101" s="92"/>
      <c r="QN101" s="92"/>
      <c r="QO101" s="92"/>
    </row>
    <row r="102" spans="1:457">
      <c r="A102" s="83"/>
      <c r="C102" s="106"/>
      <c r="D102" s="82"/>
      <c r="E102" s="82"/>
      <c r="F102" s="82"/>
      <c r="G102" s="82"/>
      <c r="H102" s="82"/>
      <c r="I102" s="82"/>
      <c r="J102" s="82"/>
      <c r="K102" s="82"/>
      <c r="L102" s="82"/>
      <c r="M102" s="82"/>
      <c r="N102" s="82"/>
      <c r="O102" s="102"/>
      <c r="P102" s="83"/>
      <c r="Q102" s="92"/>
      <c r="R102" s="92"/>
      <c r="T102" s="101" t="s">
        <v>199</v>
      </c>
      <c r="U102" s="94">
        <f>IF(D4&lt;=0,0,AA6/D4)</f>
        <v>1120.3304163355863</v>
      </c>
      <c r="V102" s="94">
        <f t="shared" ref="V102:W102" si="71">IF(E4&lt;=0,0,AB6/E4)</f>
        <v>1029.487554949578</v>
      </c>
      <c r="W102" s="94">
        <f t="shared" si="71"/>
        <v>2413.1404958677685</v>
      </c>
      <c r="X102" s="94">
        <f>AVERAGE(U102:W102)</f>
        <v>1520.9861557176444</v>
      </c>
      <c r="Z102" s="92"/>
      <c r="AA102" s="92"/>
      <c r="AB102" s="92"/>
      <c r="AC102" s="92"/>
      <c r="AD102" s="92"/>
      <c r="AE102" s="92"/>
      <c r="AO102" s="92"/>
      <c r="AP102" s="92"/>
      <c r="AQ102" s="92"/>
      <c r="AR102" s="92"/>
      <c r="AS102" s="92"/>
      <c r="AT102" s="92"/>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2"/>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2"/>
      <c r="CZ102" s="92"/>
      <c r="DA102" s="92"/>
      <c r="DB102" s="92"/>
      <c r="DC102" s="92"/>
      <c r="DD102" s="92"/>
      <c r="DE102" s="92"/>
      <c r="DF102" s="92"/>
      <c r="DG102" s="92"/>
      <c r="DH102" s="92"/>
      <c r="DI102" s="92"/>
      <c r="DJ102" s="92"/>
      <c r="DK102" s="92"/>
      <c r="DL102" s="92"/>
      <c r="DM102" s="92"/>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2"/>
      <c r="EN102" s="92"/>
      <c r="EO102" s="92"/>
      <c r="EP102" s="92"/>
      <c r="EQ102" s="92"/>
      <c r="ER102" s="92"/>
      <c r="ES102" s="92"/>
      <c r="ET102" s="92"/>
      <c r="EU102" s="92"/>
      <c r="EV102" s="92"/>
      <c r="EW102" s="92"/>
      <c r="EX102" s="92"/>
      <c r="EY102" s="92"/>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2"/>
      <c r="FV102" s="92"/>
      <c r="FW102" s="92"/>
      <c r="FX102" s="92"/>
      <c r="FY102" s="92"/>
      <c r="FZ102" s="92"/>
      <c r="GA102" s="92"/>
      <c r="GB102" s="92"/>
      <c r="GC102" s="92"/>
      <c r="GD102" s="92"/>
      <c r="GE102" s="92"/>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2"/>
      <c r="HN102" s="92"/>
      <c r="HO102" s="92"/>
      <c r="HP102" s="92"/>
      <c r="HQ102" s="92"/>
      <c r="HR102" s="92"/>
      <c r="HS102" s="92"/>
      <c r="HT102" s="92"/>
      <c r="HU102" s="92"/>
      <c r="HV102" s="92"/>
      <c r="HW102" s="92"/>
      <c r="HX102" s="92"/>
      <c r="HY102" s="92"/>
      <c r="HZ102" s="92"/>
      <c r="IA102" s="92"/>
      <c r="IB102" s="92"/>
      <c r="IC102" s="92"/>
      <c r="ID102" s="92"/>
      <c r="IE102" s="92"/>
      <c r="IF102" s="92"/>
      <c r="IG102" s="92"/>
      <c r="IH102" s="92"/>
      <c r="II102" s="92"/>
      <c r="IJ102" s="92"/>
      <c r="IK102" s="92"/>
      <c r="IL102" s="92"/>
      <c r="IM102" s="92"/>
      <c r="IN102" s="92"/>
      <c r="IO102" s="92"/>
      <c r="IP102" s="92"/>
      <c r="IQ102" s="92"/>
      <c r="IR102" s="92"/>
      <c r="IS102" s="92"/>
      <c r="IT102" s="92"/>
      <c r="IU102" s="92"/>
      <c r="IV102" s="92"/>
      <c r="IW102" s="92"/>
      <c r="IX102" s="92"/>
      <c r="IY102" s="92"/>
      <c r="IZ102" s="92"/>
      <c r="JA102" s="92"/>
      <c r="JB102" s="92"/>
      <c r="JC102" s="92"/>
      <c r="JD102" s="92"/>
      <c r="JE102" s="92"/>
      <c r="JF102" s="92"/>
      <c r="JG102" s="92"/>
      <c r="JH102" s="92"/>
      <c r="JI102" s="92"/>
      <c r="JJ102" s="92"/>
      <c r="JK102" s="92"/>
      <c r="JL102" s="92"/>
      <c r="JM102" s="92"/>
      <c r="JN102" s="92"/>
      <c r="JO102" s="92"/>
      <c r="JP102" s="92"/>
      <c r="JQ102" s="92"/>
      <c r="JR102" s="92"/>
      <c r="JS102" s="92"/>
      <c r="JT102" s="92"/>
      <c r="JU102" s="92"/>
      <c r="JV102" s="92"/>
      <c r="JW102" s="92"/>
      <c r="JX102" s="92"/>
      <c r="JY102" s="92"/>
      <c r="JZ102" s="92"/>
      <c r="KA102" s="92"/>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2"/>
      <c r="LA102" s="92"/>
      <c r="LB102" s="92"/>
      <c r="LC102" s="92"/>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2"/>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2"/>
      <c r="MY102" s="92"/>
      <c r="MZ102" s="92"/>
      <c r="NA102" s="92"/>
      <c r="NB102" s="92"/>
      <c r="NC102" s="92"/>
      <c r="ND102" s="92"/>
      <c r="NE102" s="92"/>
      <c r="NF102" s="92"/>
      <c r="NG102" s="92"/>
      <c r="NH102" s="92"/>
      <c r="NI102" s="92"/>
      <c r="NJ102" s="92"/>
      <c r="NK102" s="92"/>
      <c r="NL102" s="92"/>
      <c r="NM102" s="92"/>
      <c r="NN102" s="92"/>
      <c r="NO102" s="92"/>
      <c r="NP102" s="92"/>
      <c r="NQ102" s="92"/>
      <c r="NR102" s="92"/>
      <c r="NS102" s="92"/>
      <c r="NT102" s="92"/>
      <c r="NU102" s="92"/>
      <c r="NV102" s="92"/>
      <c r="NW102" s="92"/>
      <c r="NX102" s="92"/>
      <c r="NY102" s="92"/>
      <c r="NZ102" s="92"/>
      <c r="OA102" s="92"/>
      <c r="OB102" s="92"/>
      <c r="OC102" s="92"/>
      <c r="OD102" s="92"/>
      <c r="OE102" s="92"/>
      <c r="OF102" s="92"/>
      <c r="OG102" s="92"/>
      <c r="OH102" s="92"/>
      <c r="OI102" s="92"/>
      <c r="OJ102" s="92"/>
      <c r="OK102" s="92"/>
      <c r="OL102" s="92"/>
      <c r="OM102" s="92"/>
      <c r="ON102" s="92"/>
      <c r="OO102" s="92"/>
      <c r="OP102" s="92"/>
      <c r="OQ102" s="92"/>
      <c r="OR102" s="92"/>
      <c r="OS102" s="92"/>
      <c r="OT102" s="92"/>
      <c r="OU102" s="92"/>
      <c r="OV102" s="92"/>
      <c r="OW102" s="92"/>
      <c r="OX102" s="92"/>
      <c r="OY102" s="92"/>
      <c r="OZ102" s="92"/>
      <c r="PA102" s="92"/>
      <c r="PB102" s="92"/>
      <c r="PC102" s="92"/>
      <c r="PD102" s="92"/>
      <c r="PE102" s="92"/>
      <c r="PF102" s="92"/>
      <c r="PG102" s="92"/>
      <c r="PH102" s="92"/>
      <c r="PI102" s="92"/>
      <c r="PJ102" s="92"/>
      <c r="PK102" s="92"/>
      <c r="PL102" s="92"/>
      <c r="PM102" s="92"/>
      <c r="PN102" s="92"/>
      <c r="PO102" s="92"/>
      <c r="PP102" s="92"/>
      <c r="PQ102" s="92"/>
      <c r="PR102" s="92"/>
      <c r="PS102" s="92"/>
      <c r="PT102" s="92"/>
      <c r="PU102" s="92"/>
      <c r="PV102" s="92"/>
      <c r="PW102" s="92"/>
      <c r="PX102" s="92"/>
      <c r="PY102" s="92"/>
      <c r="PZ102" s="92"/>
      <c r="QA102" s="92"/>
      <c r="QB102" s="92"/>
      <c r="QC102" s="92"/>
      <c r="QD102" s="92"/>
      <c r="QE102" s="92"/>
      <c r="QF102" s="92"/>
      <c r="QG102" s="92"/>
      <c r="QH102" s="92"/>
      <c r="QI102" s="92"/>
      <c r="QJ102" s="92"/>
      <c r="QK102" s="92"/>
      <c r="QL102" s="92"/>
      <c r="QM102" s="92"/>
      <c r="QN102" s="92"/>
      <c r="QO102" s="92"/>
    </row>
    <row r="103" spans="1:457">
      <c r="A103" s="83"/>
      <c r="C103" s="106"/>
      <c r="D103" s="82"/>
      <c r="E103" s="82"/>
      <c r="F103" s="82"/>
      <c r="G103" s="82"/>
      <c r="H103" s="82"/>
      <c r="I103" s="82"/>
      <c r="J103" s="82"/>
      <c r="K103" s="82"/>
      <c r="L103" s="82"/>
      <c r="M103" s="82"/>
      <c r="N103" s="82"/>
      <c r="O103" s="102"/>
      <c r="P103" s="83"/>
      <c r="Q103" s="92"/>
      <c r="R103" s="92"/>
      <c r="T103" s="101" t="s">
        <v>200</v>
      </c>
      <c r="U103" s="94">
        <f>IF(D5&lt;=0,0,AA7/D5)</f>
        <v>369.03713274862844</v>
      </c>
      <c r="V103" s="94">
        <f t="shared" ref="V103:W103" si="72">IF(E5&lt;=0,0,AB7/E5)</f>
        <v>128.67052026873878</v>
      </c>
      <c r="W103" s="94">
        <f t="shared" si="72"/>
        <v>561.37004662004654</v>
      </c>
      <c r="X103" s="94">
        <f t="shared" ref="X103:X107" si="73">AVERAGE(U103:W103)</f>
        <v>353.02589987913797</v>
      </c>
      <c r="Z103" s="92"/>
      <c r="AA103" s="92"/>
      <c r="AB103" s="92"/>
      <c r="AC103" s="92"/>
      <c r="AD103" s="92"/>
      <c r="AE103" s="92"/>
      <c r="AO103" s="92"/>
      <c r="AP103" s="92"/>
      <c r="AQ103" s="92"/>
      <c r="AR103" s="92"/>
      <c r="AS103" s="92"/>
      <c r="AT103" s="92"/>
      <c r="AU103" s="92"/>
      <c r="AV103" s="92"/>
      <c r="AW103" s="92"/>
      <c r="AX103" s="92"/>
      <c r="AY103" s="92"/>
      <c r="AZ103" s="92"/>
      <c r="BA103" s="92"/>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2"/>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2"/>
      <c r="CZ103" s="92"/>
      <c r="DA103" s="92"/>
      <c r="DB103" s="92"/>
      <c r="DC103" s="92"/>
      <c r="DD103" s="92"/>
      <c r="DE103" s="92"/>
      <c r="DF103" s="92"/>
      <c r="DG103" s="92"/>
      <c r="DH103" s="92"/>
      <c r="DI103" s="92"/>
      <c r="DJ103" s="92"/>
      <c r="DK103" s="92"/>
      <c r="DL103" s="92"/>
      <c r="DM103" s="92"/>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2"/>
      <c r="EN103" s="92"/>
      <c r="EO103" s="92"/>
      <c r="EP103" s="92"/>
      <c r="EQ103" s="92"/>
      <c r="ER103" s="92"/>
      <c r="ES103" s="92"/>
      <c r="ET103" s="92"/>
      <c r="EU103" s="92"/>
      <c r="EV103" s="92"/>
      <c r="EW103" s="92"/>
      <c r="EX103" s="92"/>
      <c r="EY103" s="92"/>
      <c r="EZ103" s="92"/>
      <c r="FA103" s="92"/>
      <c r="FB103" s="92"/>
      <c r="FC103" s="92"/>
      <c r="FD103" s="92"/>
      <c r="FE103" s="92"/>
      <c r="FF103" s="92"/>
      <c r="FG103" s="92"/>
      <c r="FH103" s="92"/>
      <c r="FI103" s="92"/>
      <c r="FJ103" s="92"/>
      <c r="FK103" s="92"/>
      <c r="FL103" s="92"/>
      <c r="FM103" s="92"/>
      <c r="FN103" s="92"/>
      <c r="FO103" s="92"/>
      <c r="FP103" s="92"/>
      <c r="FQ103" s="92"/>
      <c r="FR103" s="92"/>
      <c r="FS103" s="92"/>
      <c r="FT103" s="92"/>
      <c r="FU103" s="92"/>
      <c r="FV103" s="92"/>
      <c r="FW103" s="92"/>
      <c r="FX103" s="92"/>
      <c r="FY103" s="92"/>
      <c r="FZ103" s="92"/>
      <c r="GA103" s="92"/>
      <c r="GB103" s="92"/>
      <c r="GC103" s="92"/>
      <c r="GD103" s="92"/>
      <c r="GE103" s="92"/>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2"/>
      <c r="HN103" s="92"/>
      <c r="HO103" s="92"/>
      <c r="HP103" s="92"/>
      <c r="HQ103" s="92"/>
      <c r="HR103" s="92"/>
      <c r="HS103" s="92"/>
      <c r="HT103" s="92"/>
      <c r="HU103" s="92"/>
      <c r="HV103" s="92"/>
      <c r="HW103" s="92"/>
      <c r="HX103" s="92"/>
      <c r="HY103" s="92"/>
      <c r="HZ103" s="92"/>
      <c r="IA103" s="92"/>
      <c r="IB103" s="92"/>
      <c r="IC103" s="92"/>
      <c r="ID103" s="92"/>
      <c r="IE103" s="92"/>
      <c r="IF103" s="92"/>
      <c r="IG103" s="92"/>
      <c r="IH103" s="92"/>
      <c r="II103" s="92"/>
      <c r="IJ103" s="92"/>
      <c r="IK103" s="92"/>
      <c r="IL103" s="92"/>
      <c r="IM103" s="92"/>
      <c r="IN103" s="92"/>
      <c r="IO103" s="92"/>
      <c r="IP103" s="92"/>
      <c r="IQ103" s="92"/>
      <c r="IR103" s="92"/>
      <c r="IS103" s="92"/>
      <c r="IT103" s="92"/>
      <c r="IU103" s="92"/>
      <c r="IV103" s="92"/>
      <c r="IW103" s="92"/>
      <c r="IX103" s="92"/>
      <c r="IY103" s="92"/>
      <c r="IZ103" s="92"/>
      <c r="JA103" s="92"/>
      <c r="JB103" s="92"/>
      <c r="JC103" s="92"/>
      <c r="JD103" s="92"/>
      <c r="JE103" s="92"/>
      <c r="JF103" s="92"/>
      <c r="JG103" s="92"/>
      <c r="JH103" s="92"/>
      <c r="JI103" s="92"/>
      <c r="JJ103" s="92"/>
      <c r="JK103" s="92"/>
      <c r="JL103" s="92"/>
      <c r="JM103" s="92"/>
      <c r="JN103" s="92"/>
      <c r="JO103" s="92"/>
      <c r="JP103" s="92"/>
      <c r="JQ103" s="92"/>
      <c r="JR103" s="92"/>
      <c r="JS103" s="92"/>
      <c r="JT103" s="92"/>
      <c r="JU103" s="92"/>
      <c r="JV103" s="92"/>
      <c r="JW103" s="92"/>
      <c r="JX103" s="92"/>
      <c r="JY103" s="92"/>
      <c r="JZ103" s="92"/>
      <c r="KA103" s="92"/>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2"/>
      <c r="LA103" s="92"/>
      <c r="LB103" s="92"/>
      <c r="LC103" s="92"/>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2"/>
      <c r="LZ103" s="92"/>
      <c r="MA103" s="92"/>
      <c r="MB103" s="92"/>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2"/>
      <c r="MY103" s="92"/>
      <c r="MZ103" s="92"/>
      <c r="NA103" s="92"/>
      <c r="NB103" s="92"/>
      <c r="NC103" s="92"/>
      <c r="ND103" s="92"/>
      <c r="NE103" s="92"/>
      <c r="NF103" s="92"/>
      <c r="NG103" s="92"/>
      <c r="NH103" s="92"/>
      <c r="NI103" s="92"/>
      <c r="NJ103" s="92"/>
      <c r="NK103" s="92"/>
      <c r="NL103" s="92"/>
      <c r="NM103" s="92"/>
      <c r="NN103" s="92"/>
      <c r="NO103" s="92"/>
      <c r="NP103" s="92"/>
      <c r="NQ103" s="92"/>
      <c r="NR103" s="92"/>
      <c r="NS103" s="92"/>
      <c r="NT103" s="92"/>
      <c r="NU103" s="92"/>
      <c r="NV103" s="92"/>
      <c r="NW103" s="92"/>
      <c r="NX103" s="92"/>
      <c r="NY103" s="92"/>
      <c r="NZ103" s="92"/>
      <c r="OA103" s="92"/>
      <c r="OB103" s="92"/>
      <c r="OC103" s="92"/>
      <c r="OD103" s="92"/>
      <c r="OE103" s="92"/>
      <c r="OF103" s="92"/>
      <c r="OG103" s="92"/>
      <c r="OH103" s="92"/>
      <c r="OI103" s="92"/>
      <c r="OJ103" s="92"/>
      <c r="OK103" s="92"/>
      <c r="OL103" s="92"/>
      <c r="OM103" s="92"/>
      <c r="ON103" s="92"/>
      <c r="OO103" s="92"/>
      <c r="OP103" s="92"/>
      <c r="OQ103" s="92"/>
      <c r="OR103" s="92"/>
      <c r="OS103" s="92"/>
      <c r="OT103" s="92"/>
      <c r="OU103" s="92"/>
      <c r="OV103" s="92"/>
      <c r="OW103" s="92"/>
      <c r="OX103" s="92"/>
      <c r="OY103" s="92"/>
      <c r="OZ103" s="92"/>
      <c r="PA103" s="92"/>
      <c r="PB103" s="92"/>
      <c r="PC103" s="92"/>
      <c r="PD103" s="92"/>
      <c r="PE103" s="92"/>
      <c r="PF103" s="92"/>
      <c r="PG103" s="92"/>
      <c r="PH103" s="92"/>
      <c r="PI103" s="92"/>
      <c r="PJ103" s="92"/>
      <c r="PK103" s="92"/>
      <c r="PL103" s="92"/>
      <c r="PM103" s="92"/>
      <c r="PN103" s="92"/>
      <c r="PO103" s="92"/>
      <c r="PP103" s="92"/>
      <c r="PQ103" s="92"/>
      <c r="PR103" s="92"/>
      <c r="PS103" s="92"/>
      <c r="PT103" s="92"/>
      <c r="PU103" s="92"/>
      <c r="PV103" s="92"/>
      <c r="PW103" s="92"/>
      <c r="PX103" s="92"/>
      <c r="PY103" s="92"/>
      <c r="PZ103" s="92"/>
      <c r="QA103" s="92"/>
      <c r="QB103" s="92"/>
      <c r="QC103" s="92"/>
      <c r="QD103" s="92"/>
      <c r="QE103" s="92"/>
      <c r="QF103" s="92"/>
      <c r="QG103" s="92"/>
      <c r="QH103" s="92"/>
      <c r="QI103" s="92"/>
      <c r="QJ103" s="92"/>
      <c r="QK103" s="92"/>
      <c r="QL103" s="92"/>
      <c r="QM103" s="92"/>
      <c r="QN103" s="92"/>
      <c r="QO103" s="92"/>
    </row>
    <row r="104" spans="1:457">
      <c r="A104" s="83"/>
      <c r="C104" s="106"/>
      <c r="D104" s="82"/>
      <c r="E104" s="82"/>
      <c r="F104" s="82"/>
      <c r="G104" s="82"/>
      <c r="H104" s="82"/>
      <c r="I104" s="82"/>
      <c r="J104" s="82"/>
      <c r="K104" s="82"/>
      <c r="L104" s="82"/>
      <c r="M104" s="82"/>
      <c r="N104" s="82"/>
      <c r="O104" s="102"/>
      <c r="P104" s="83"/>
      <c r="Q104" s="92"/>
      <c r="R104" s="92"/>
      <c r="T104" s="101" t="s">
        <v>201</v>
      </c>
      <c r="U104" s="94">
        <f>IF(D6&lt;=0,0,AA8/D6)</f>
        <v>3775.429237118045</v>
      </c>
      <c r="V104" s="94">
        <f t="shared" ref="V104" si="74">IF(E6&lt;=0,0,AB8/E6)</f>
        <v>244.09519355315877</v>
      </c>
      <c r="W104" s="94">
        <f t="shared" ref="W104" si="75">IF(F6&lt;=0,0,AC8/F6)</f>
        <v>317.58883476610379</v>
      </c>
      <c r="X104" s="94">
        <f t="shared" si="73"/>
        <v>1445.7044218124358</v>
      </c>
      <c r="Z104" s="92"/>
      <c r="AA104" s="92"/>
      <c r="AB104" s="92"/>
      <c r="AC104" s="92"/>
      <c r="AD104" s="92"/>
      <c r="AE104" s="92"/>
      <c r="AO104" s="92"/>
      <c r="AP104" s="92"/>
      <c r="AQ104" s="92"/>
      <c r="AR104" s="92"/>
      <c r="AS104" s="92"/>
      <c r="AT104" s="92"/>
      <c r="AU104" s="92"/>
      <c r="AV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2"/>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2"/>
      <c r="CZ104" s="92"/>
      <c r="DA104" s="92"/>
      <c r="DB104" s="92"/>
      <c r="DC104" s="92"/>
      <c r="DD104" s="92"/>
      <c r="DE104" s="92"/>
      <c r="DF104" s="92"/>
      <c r="DG104" s="92"/>
      <c r="DH104" s="92"/>
      <c r="DI104" s="92"/>
      <c r="DJ104" s="92"/>
      <c r="DK104" s="92"/>
      <c r="DL104" s="92"/>
      <c r="DM104" s="92"/>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2"/>
      <c r="EN104" s="92"/>
      <c r="EO104" s="92"/>
      <c r="EP104" s="92"/>
      <c r="EQ104" s="92"/>
      <c r="ER104" s="92"/>
      <c r="ES104" s="92"/>
      <c r="ET104" s="92"/>
      <c r="EU104" s="92"/>
      <c r="EV104" s="92"/>
      <c r="EW104" s="92"/>
      <c r="EX104" s="92"/>
      <c r="EY104" s="92"/>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2"/>
      <c r="FV104" s="92"/>
      <c r="FW104" s="92"/>
      <c r="FX104" s="92"/>
      <c r="FY104" s="92"/>
      <c r="FZ104" s="92"/>
      <c r="GA104" s="92"/>
      <c r="GB104" s="92"/>
      <c r="GC104" s="92"/>
      <c r="GD104" s="92"/>
      <c r="GE104" s="92"/>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2"/>
      <c r="HN104" s="92"/>
      <c r="HO104" s="92"/>
      <c r="HP104" s="92"/>
      <c r="HQ104" s="92"/>
      <c r="HR104" s="92"/>
      <c r="HS104" s="92"/>
      <c r="HT104" s="92"/>
      <c r="HU104" s="92"/>
      <c r="HV104" s="92"/>
      <c r="HW104" s="92"/>
      <c r="HX104" s="92"/>
      <c r="HY104" s="92"/>
      <c r="HZ104" s="92"/>
      <c r="IA104" s="92"/>
      <c r="IB104" s="92"/>
      <c r="IC104" s="92"/>
      <c r="ID104" s="92"/>
      <c r="IE104" s="92"/>
      <c r="IF104" s="92"/>
      <c r="IG104" s="92"/>
      <c r="IH104" s="92"/>
      <c r="II104" s="92"/>
      <c r="IJ104" s="92"/>
      <c r="IK104" s="92"/>
      <c r="IL104" s="92"/>
      <c r="IM104" s="92"/>
      <c r="IN104" s="92"/>
      <c r="IO104" s="92"/>
      <c r="IP104" s="92"/>
      <c r="IQ104" s="92"/>
      <c r="IR104" s="92"/>
      <c r="IS104" s="92"/>
      <c r="IT104" s="92"/>
      <c r="IU104" s="92"/>
      <c r="IV104" s="92"/>
      <c r="IW104" s="92"/>
      <c r="IX104" s="92"/>
      <c r="IY104" s="92"/>
      <c r="IZ104" s="92"/>
      <c r="JA104" s="92"/>
      <c r="JB104" s="92"/>
      <c r="JC104" s="92"/>
      <c r="JD104" s="92"/>
      <c r="JE104" s="92"/>
      <c r="JF104" s="92"/>
      <c r="JG104" s="92"/>
      <c r="JH104" s="92"/>
      <c r="JI104" s="92"/>
      <c r="JJ104" s="92"/>
      <c r="JK104" s="92"/>
      <c r="JL104" s="92"/>
      <c r="JM104" s="92"/>
      <c r="JN104" s="92"/>
      <c r="JO104" s="92"/>
      <c r="JP104" s="92"/>
      <c r="JQ104" s="92"/>
      <c r="JR104" s="92"/>
      <c r="JS104" s="92"/>
      <c r="JT104" s="92"/>
      <c r="JU104" s="92"/>
      <c r="JV104" s="92"/>
      <c r="JW104" s="92"/>
      <c r="JX104" s="92"/>
      <c r="JY104" s="92"/>
      <c r="JZ104" s="92"/>
      <c r="KA104" s="92"/>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2"/>
      <c r="LA104" s="92"/>
      <c r="LB104" s="92"/>
      <c r="LC104" s="92"/>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2"/>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2"/>
      <c r="MY104" s="92"/>
      <c r="MZ104" s="92"/>
      <c r="NA104" s="92"/>
      <c r="NB104" s="92"/>
      <c r="NC104" s="92"/>
      <c r="ND104" s="92"/>
      <c r="NE104" s="92"/>
      <c r="NF104" s="92"/>
      <c r="NG104" s="92"/>
      <c r="NH104" s="92"/>
      <c r="NI104" s="92"/>
      <c r="NJ104" s="92"/>
      <c r="NK104" s="92"/>
      <c r="NL104" s="92"/>
      <c r="NM104" s="92"/>
      <c r="NN104" s="92"/>
      <c r="NO104" s="92"/>
      <c r="NP104" s="92"/>
      <c r="NQ104" s="92"/>
      <c r="NR104" s="92"/>
      <c r="NS104" s="92"/>
      <c r="NT104" s="92"/>
      <c r="NU104" s="92"/>
      <c r="NV104" s="92"/>
      <c r="NW104" s="92"/>
      <c r="NX104" s="92"/>
      <c r="NY104" s="92"/>
      <c r="NZ104" s="92"/>
      <c r="OA104" s="92"/>
      <c r="OB104" s="92"/>
      <c r="OC104" s="92"/>
      <c r="OD104" s="92"/>
      <c r="OE104" s="92"/>
      <c r="OF104" s="92"/>
      <c r="OG104" s="92"/>
      <c r="OH104" s="92"/>
      <c r="OI104" s="92"/>
      <c r="OJ104" s="92"/>
      <c r="OK104" s="92"/>
      <c r="OL104" s="92"/>
      <c r="OM104" s="92"/>
      <c r="ON104" s="92"/>
      <c r="OO104" s="92"/>
      <c r="OP104" s="92"/>
      <c r="OQ104" s="92"/>
      <c r="OR104" s="92"/>
      <c r="OS104" s="92"/>
      <c r="OT104" s="92"/>
      <c r="OU104" s="92"/>
      <c r="OV104" s="92"/>
      <c r="OW104" s="92"/>
      <c r="OX104" s="92"/>
      <c r="OY104" s="92"/>
      <c r="OZ104" s="92"/>
      <c r="PA104" s="92"/>
      <c r="PB104" s="92"/>
      <c r="PC104" s="92"/>
      <c r="PD104" s="92"/>
      <c r="PE104" s="92"/>
      <c r="PF104" s="92"/>
      <c r="PG104" s="92"/>
      <c r="PH104" s="92"/>
      <c r="PI104" s="92"/>
      <c r="PJ104" s="92"/>
      <c r="PK104" s="92"/>
      <c r="PL104" s="92"/>
      <c r="PM104" s="92"/>
      <c r="PN104" s="92"/>
      <c r="PO104" s="92"/>
      <c r="PP104" s="92"/>
      <c r="PQ104" s="92"/>
      <c r="PR104" s="92"/>
      <c r="PS104" s="92"/>
      <c r="PT104" s="92"/>
      <c r="PU104" s="92"/>
      <c r="PV104" s="92"/>
      <c r="PW104" s="92"/>
      <c r="PX104" s="92"/>
      <c r="PY104" s="92"/>
      <c r="PZ104" s="92"/>
      <c r="QA104" s="92"/>
      <c r="QB104" s="92"/>
      <c r="QC104" s="92"/>
      <c r="QD104" s="92"/>
      <c r="QE104" s="92"/>
      <c r="QF104" s="92"/>
      <c r="QG104" s="92"/>
      <c r="QH104" s="92"/>
      <c r="QI104" s="92"/>
      <c r="QJ104" s="92"/>
      <c r="QK104" s="92"/>
      <c r="QL104" s="92"/>
      <c r="QM104" s="92"/>
      <c r="QN104" s="92"/>
      <c r="QO104" s="92"/>
    </row>
    <row r="105" spans="1:457">
      <c r="A105" s="83"/>
      <c r="C105" s="106"/>
      <c r="D105" s="82"/>
      <c r="E105" s="82"/>
      <c r="F105" s="82"/>
      <c r="G105" s="82"/>
      <c r="H105" s="82"/>
      <c r="I105" s="82"/>
      <c r="J105" s="82"/>
      <c r="K105" s="82"/>
      <c r="L105" s="82"/>
      <c r="M105" s="82"/>
      <c r="N105" s="82"/>
      <c r="O105" s="102"/>
      <c r="P105" s="83"/>
      <c r="Q105" s="92"/>
      <c r="R105" s="92"/>
      <c r="T105" s="101" t="s">
        <v>202</v>
      </c>
      <c r="U105" s="94">
        <f>IF(D7&lt;=0,0,AA9/D7)</f>
        <v>33.849088517827589</v>
      </c>
      <c r="V105" s="94">
        <f t="shared" ref="V105" si="76">IF(E7&lt;=0,0,AB9/E7)</f>
        <v>19.882727696847542</v>
      </c>
      <c r="W105" s="94">
        <f t="shared" ref="W105" si="77">IF(F7&lt;=0,0,AC9/F7)</f>
        <v>317.86319984501699</v>
      </c>
      <c r="X105" s="94">
        <f t="shared" si="73"/>
        <v>123.8650053532307</v>
      </c>
      <c r="Z105" s="92"/>
      <c r="AA105" s="92"/>
      <c r="AB105" s="92"/>
      <c r="AC105" s="92"/>
      <c r="AD105" s="92"/>
      <c r="AE105" s="92"/>
      <c r="AO105" s="92"/>
      <c r="AP105" s="92"/>
      <c r="AQ105" s="92"/>
      <c r="AR105" s="92"/>
      <c r="AS105" s="92"/>
      <c r="AT105" s="92"/>
      <c r="AU105" s="92"/>
      <c r="AV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2"/>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2"/>
      <c r="CZ105" s="92"/>
      <c r="DA105" s="92"/>
      <c r="DB105" s="92"/>
      <c r="DC105" s="92"/>
      <c r="DD105" s="92"/>
      <c r="DE105" s="92"/>
      <c r="DF105" s="92"/>
      <c r="DG105" s="92"/>
      <c r="DH105" s="92"/>
      <c r="DI105" s="92"/>
      <c r="DJ105" s="92"/>
      <c r="DK105" s="92"/>
      <c r="DL105" s="92"/>
      <c r="DM105" s="92"/>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2"/>
      <c r="EN105" s="92"/>
      <c r="EO105" s="92"/>
      <c r="EP105" s="92"/>
      <c r="EQ105" s="92"/>
      <c r="ER105" s="92"/>
      <c r="ES105" s="92"/>
      <c r="ET105" s="92"/>
      <c r="EU105" s="92"/>
      <c r="EV105" s="92"/>
      <c r="EW105" s="92"/>
      <c r="EX105" s="92"/>
      <c r="EY105" s="92"/>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2"/>
      <c r="FV105" s="92"/>
      <c r="FW105" s="92"/>
      <c r="FX105" s="92"/>
      <c r="FY105" s="92"/>
      <c r="FZ105" s="92"/>
      <c r="GA105" s="92"/>
      <c r="GB105" s="92"/>
      <c r="GC105" s="92"/>
      <c r="GD105" s="92"/>
      <c r="GE105" s="92"/>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2"/>
      <c r="HN105" s="92"/>
      <c r="HO105" s="92"/>
      <c r="HP105" s="92"/>
      <c r="HQ105" s="92"/>
      <c r="HR105" s="92"/>
      <c r="HS105" s="92"/>
      <c r="HT105" s="92"/>
      <c r="HU105" s="92"/>
      <c r="HV105" s="92"/>
      <c r="HW105" s="92"/>
      <c r="HX105" s="92"/>
      <c r="HY105" s="92"/>
      <c r="HZ105" s="92"/>
      <c r="IA105" s="92"/>
      <c r="IB105" s="92"/>
      <c r="IC105" s="92"/>
      <c r="ID105" s="92"/>
      <c r="IE105" s="92"/>
      <c r="IF105" s="92"/>
      <c r="IG105" s="92"/>
      <c r="IH105" s="92"/>
      <c r="II105" s="92"/>
      <c r="IJ105" s="92"/>
      <c r="IK105" s="92"/>
      <c r="IL105" s="92"/>
      <c r="IM105" s="92"/>
      <c r="IN105" s="92"/>
      <c r="IO105" s="92"/>
      <c r="IP105" s="92"/>
      <c r="IQ105" s="92"/>
      <c r="IR105" s="92"/>
      <c r="IS105" s="92"/>
      <c r="IT105" s="92"/>
      <c r="IU105" s="92"/>
      <c r="IV105" s="92"/>
      <c r="IW105" s="92"/>
      <c r="IX105" s="92"/>
      <c r="IY105" s="92"/>
      <c r="IZ105" s="92"/>
      <c r="JA105" s="92"/>
      <c r="JB105" s="92"/>
      <c r="JC105" s="92"/>
      <c r="JD105" s="92"/>
      <c r="JE105" s="92"/>
      <c r="JF105" s="92"/>
      <c r="JG105" s="92"/>
      <c r="JH105" s="92"/>
      <c r="JI105" s="92"/>
      <c r="JJ105" s="92"/>
      <c r="JK105" s="92"/>
      <c r="JL105" s="92"/>
      <c r="JM105" s="92"/>
      <c r="JN105" s="92"/>
      <c r="JO105" s="92"/>
      <c r="JP105" s="92"/>
      <c r="JQ105" s="92"/>
      <c r="JR105" s="92"/>
      <c r="JS105" s="92"/>
      <c r="JT105" s="92"/>
      <c r="JU105" s="92"/>
      <c r="JV105" s="92"/>
      <c r="JW105" s="92"/>
      <c r="JX105" s="92"/>
      <c r="JY105" s="92"/>
      <c r="JZ105" s="92"/>
      <c r="KA105" s="92"/>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2"/>
      <c r="LA105" s="92"/>
      <c r="LB105" s="92"/>
      <c r="LC105" s="92"/>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2"/>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2"/>
      <c r="MY105" s="92"/>
      <c r="MZ105" s="92"/>
      <c r="NA105" s="92"/>
      <c r="NB105" s="92"/>
      <c r="NC105" s="92"/>
      <c r="ND105" s="92"/>
      <c r="NE105" s="92"/>
      <c r="NF105" s="92"/>
      <c r="NG105" s="92"/>
      <c r="NH105" s="92"/>
      <c r="NI105" s="92"/>
      <c r="NJ105" s="92"/>
      <c r="NK105" s="92"/>
      <c r="NL105" s="92"/>
      <c r="NM105" s="92"/>
      <c r="NN105" s="92"/>
      <c r="NO105" s="92"/>
      <c r="NP105" s="92"/>
      <c r="NQ105" s="92"/>
      <c r="NR105" s="92"/>
      <c r="NS105" s="92"/>
      <c r="NT105" s="92"/>
      <c r="NU105" s="92"/>
      <c r="NV105" s="92"/>
      <c r="NW105" s="92"/>
      <c r="NX105" s="92"/>
      <c r="NY105" s="92"/>
      <c r="NZ105" s="92"/>
      <c r="OA105" s="92"/>
      <c r="OB105" s="92"/>
      <c r="OC105" s="92"/>
      <c r="OD105" s="92"/>
      <c r="OE105" s="92"/>
      <c r="OF105" s="92"/>
      <c r="OG105" s="92"/>
      <c r="OH105" s="92"/>
      <c r="OI105" s="92"/>
      <c r="OJ105" s="92"/>
      <c r="OK105" s="92"/>
      <c r="OL105" s="92"/>
      <c r="OM105" s="92"/>
      <c r="ON105" s="92"/>
      <c r="OO105" s="92"/>
      <c r="OP105" s="92"/>
      <c r="OQ105" s="92"/>
      <c r="OR105" s="92"/>
      <c r="OS105" s="92"/>
      <c r="OT105" s="92"/>
      <c r="OU105" s="92"/>
      <c r="OV105" s="92"/>
      <c r="OW105" s="92"/>
      <c r="OX105" s="92"/>
      <c r="OY105" s="92"/>
      <c r="OZ105" s="92"/>
      <c r="PA105" s="92"/>
      <c r="PB105" s="92"/>
      <c r="PC105" s="92"/>
      <c r="PD105" s="92"/>
      <c r="PE105" s="92"/>
      <c r="PF105" s="92"/>
      <c r="PG105" s="92"/>
      <c r="PH105" s="92"/>
      <c r="PI105" s="92"/>
      <c r="PJ105" s="92"/>
      <c r="PK105" s="92"/>
      <c r="PL105" s="92"/>
      <c r="PM105" s="92"/>
      <c r="PN105" s="92"/>
      <c r="PO105" s="92"/>
      <c r="PP105" s="92"/>
      <c r="PQ105" s="92"/>
      <c r="PR105" s="92"/>
      <c r="PS105" s="92"/>
      <c r="PT105" s="92"/>
      <c r="PU105" s="92"/>
      <c r="PV105" s="92"/>
      <c r="PW105" s="92"/>
      <c r="PX105" s="92"/>
      <c r="PY105" s="92"/>
      <c r="PZ105" s="92"/>
      <c r="QA105" s="92"/>
      <c r="QB105" s="92"/>
      <c r="QC105" s="92"/>
      <c r="QD105" s="92"/>
      <c r="QE105" s="92"/>
      <c r="QF105" s="92"/>
      <c r="QG105" s="92"/>
      <c r="QH105" s="92"/>
      <c r="QI105" s="92"/>
      <c r="QJ105" s="92"/>
      <c r="QK105" s="92"/>
      <c r="QL105" s="92"/>
      <c r="QM105" s="92"/>
      <c r="QN105" s="92"/>
      <c r="QO105" s="92"/>
    </row>
    <row r="106" spans="1:457">
      <c r="A106" s="83"/>
      <c r="C106" s="106"/>
      <c r="D106" s="82"/>
      <c r="E106" s="82"/>
      <c r="F106" s="82"/>
      <c r="G106" s="82"/>
      <c r="H106" s="82"/>
      <c r="I106" s="82"/>
      <c r="J106" s="82"/>
      <c r="K106" s="82"/>
      <c r="L106" s="82"/>
      <c r="M106" s="82"/>
      <c r="N106" s="82"/>
      <c r="O106" s="102"/>
      <c r="P106" s="83"/>
      <c r="Q106" s="54"/>
      <c r="R106" s="83"/>
      <c r="T106" s="101" t="s">
        <v>203</v>
      </c>
      <c r="U106" s="94">
        <f>IF(D8&lt;=0,0,AA10/D8)</f>
        <v>99.327593980089645</v>
      </c>
      <c r="V106" s="94">
        <f t="shared" ref="V106" si="78">IF(E8&lt;=0,0,AB10/E8)</f>
        <v>25.912605202679515</v>
      </c>
      <c r="W106" s="94">
        <f t="shared" ref="W106" si="79">IF(F8&lt;=0,0,AC10/F8)</f>
        <v>297.63872671670833</v>
      </c>
      <c r="X106" s="94">
        <f t="shared" si="73"/>
        <v>140.95964196649251</v>
      </c>
      <c r="Z106" s="92"/>
      <c r="AA106" s="92"/>
      <c r="AB106" s="92"/>
      <c r="AC106" s="92"/>
      <c r="AD106" s="92"/>
      <c r="AE106" s="92"/>
      <c r="AO106" s="92"/>
      <c r="AP106" s="92"/>
      <c r="AQ106" s="92"/>
      <c r="AR106" s="92"/>
      <c r="AS106" s="92"/>
      <c r="AT106" s="92"/>
      <c r="AU106" s="92"/>
      <c r="AV106" s="92"/>
    </row>
    <row r="107" spans="1:457" ht="15.75" customHeight="1">
      <c r="A107" s="83"/>
      <c r="C107" s="106"/>
      <c r="D107" s="82"/>
      <c r="E107" s="82"/>
      <c r="F107" s="82"/>
      <c r="G107" s="82"/>
      <c r="H107" s="82"/>
      <c r="I107" s="82"/>
      <c r="J107" s="82"/>
      <c r="K107" s="82"/>
      <c r="L107" s="82"/>
      <c r="M107" s="82"/>
      <c r="N107" s="82"/>
      <c r="O107" s="102"/>
      <c r="P107" s="83"/>
      <c r="Q107" s="54"/>
      <c r="R107" s="83"/>
      <c r="T107" s="101" t="s">
        <v>206</v>
      </c>
      <c r="U107" s="94">
        <f>IF(D9&lt;=0,0,AA13/D9)</f>
        <v>2901.9562923051426</v>
      </c>
      <c r="V107" s="94">
        <f t="shared" ref="V107:W107" si="80">IF(E9&lt;=0,0,AB13/E9)</f>
        <v>0</v>
      </c>
      <c r="W107" s="94">
        <f t="shared" si="80"/>
        <v>923.95036661026518</v>
      </c>
      <c r="X107" s="94">
        <f>AVERAGE(U107:W107)</f>
        <v>1275.3022196384693</v>
      </c>
      <c r="Z107" s="92"/>
      <c r="AA107" s="92"/>
      <c r="AB107" s="92"/>
      <c r="AC107" s="92"/>
      <c r="AD107" s="92"/>
      <c r="AE107" s="92"/>
      <c r="AO107" s="92"/>
      <c r="AP107" s="92"/>
      <c r="AQ107" s="92"/>
      <c r="AR107" s="92"/>
      <c r="AS107" s="92"/>
      <c r="AT107" s="92"/>
      <c r="AU107" s="92"/>
      <c r="AV107" s="92"/>
    </row>
    <row r="108" spans="1:457">
      <c r="A108" s="83"/>
      <c r="C108" s="106"/>
      <c r="D108" s="82"/>
      <c r="E108" s="82"/>
      <c r="F108" s="82"/>
      <c r="G108" s="82"/>
      <c r="H108" s="82"/>
      <c r="I108" s="82"/>
      <c r="J108" s="82"/>
      <c r="K108" s="82"/>
      <c r="L108" s="82"/>
      <c r="M108" s="82"/>
      <c r="N108" s="82"/>
      <c r="O108" s="102"/>
      <c r="P108" s="83"/>
      <c r="Q108" s="54"/>
      <c r="R108" s="83"/>
      <c r="S108" s="721" t="s">
        <v>387</v>
      </c>
      <c r="T108" s="101" t="s">
        <v>204</v>
      </c>
      <c r="U108" s="735">
        <f>IF(D10&lt;=0,0,SUM(AA11,AA14)/D10)</f>
        <v>307.37683140814295</v>
      </c>
      <c r="V108" s="735">
        <f t="shared" ref="V108:W108" si="81">IF(E10&lt;=0,0,SUM(AB11,AB14)/E10)</f>
        <v>75.790268980171078</v>
      </c>
      <c r="W108" s="735">
        <f t="shared" si="81"/>
        <v>252.09050408343572</v>
      </c>
      <c r="X108" s="735">
        <f>AVERAGE(U108:W109)</f>
        <v>211.75253482391656</v>
      </c>
      <c r="Z108" s="92"/>
      <c r="AA108" s="92"/>
      <c r="AB108" s="92"/>
      <c r="AC108" s="92"/>
      <c r="AD108" s="92"/>
      <c r="AE108" s="92"/>
      <c r="AO108" s="92"/>
      <c r="AP108" s="92"/>
      <c r="AQ108" s="92"/>
      <c r="AR108" s="92"/>
      <c r="AS108" s="92"/>
      <c r="AT108" s="92"/>
      <c r="AU108" s="92"/>
      <c r="AV108" s="92"/>
    </row>
    <row r="109" spans="1:457">
      <c r="A109" s="83"/>
      <c r="C109" s="106"/>
      <c r="D109" s="82"/>
      <c r="E109" s="82"/>
      <c r="F109" s="82"/>
      <c r="G109" s="82"/>
      <c r="H109" s="82"/>
      <c r="I109" s="82"/>
      <c r="J109" s="82"/>
      <c r="K109" s="82"/>
      <c r="L109" s="82"/>
      <c r="M109" s="82"/>
      <c r="N109" s="82"/>
      <c r="O109" s="102"/>
      <c r="P109" s="83"/>
      <c r="Q109" s="54"/>
      <c r="R109" s="83"/>
      <c r="S109" s="721"/>
      <c r="T109" s="101" t="s">
        <v>207</v>
      </c>
      <c r="U109" s="735"/>
      <c r="V109" s="735"/>
      <c r="W109" s="735"/>
      <c r="X109" s="735"/>
      <c r="Z109" s="92"/>
      <c r="AA109" s="92"/>
      <c r="AB109" s="92"/>
      <c r="AC109" s="92"/>
      <c r="AD109" s="92"/>
      <c r="AE109" s="92"/>
    </row>
    <row r="110" spans="1:457">
      <c r="A110" s="83"/>
      <c r="C110" s="106"/>
      <c r="D110" s="82"/>
      <c r="E110" s="82"/>
      <c r="F110" s="82"/>
      <c r="G110" s="82"/>
      <c r="H110" s="82"/>
      <c r="I110" s="82"/>
      <c r="J110" s="82"/>
      <c r="K110" s="82"/>
      <c r="L110" s="82"/>
      <c r="M110" s="82"/>
      <c r="N110" s="82"/>
      <c r="O110" s="102"/>
      <c r="P110" s="83"/>
      <c r="Q110" s="54"/>
      <c r="R110" s="83"/>
      <c r="T110" s="101" t="s">
        <v>208</v>
      </c>
      <c r="U110" s="94">
        <f>IF(D12&lt;=0,0,AA15/D12)</f>
        <v>272.42428231804877</v>
      </c>
      <c r="V110" s="723">
        <f>IF(E12&lt;=0,0,AB15/E12)</f>
        <v>0</v>
      </c>
      <c r="W110" s="723">
        <f t="shared" ref="V110:W110" si="82">IF(F12&lt;=0,0,AC15/F12)</f>
        <v>0</v>
      </c>
      <c r="X110" s="94">
        <f>AVERAGE(U110:W110)</f>
        <v>90.808094106016256</v>
      </c>
      <c r="Z110" s="92"/>
      <c r="AA110" s="92"/>
      <c r="AB110" s="92"/>
      <c r="AC110" s="92"/>
      <c r="AD110" s="92"/>
      <c r="AE110" s="92"/>
    </row>
    <row r="111" spans="1:457">
      <c r="A111" s="83"/>
      <c r="C111" s="106"/>
      <c r="D111" s="82"/>
      <c r="E111" s="82"/>
      <c r="F111" s="82"/>
      <c r="G111" s="82"/>
      <c r="H111" s="82"/>
      <c r="I111" s="82"/>
      <c r="J111" s="82"/>
      <c r="K111" s="82"/>
      <c r="L111" s="82"/>
      <c r="M111" s="82"/>
      <c r="N111" s="82"/>
      <c r="O111" s="102"/>
      <c r="P111" s="83"/>
      <c r="Q111" s="54"/>
      <c r="R111" s="83"/>
      <c r="T111" s="190" t="s">
        <v>541</v>
      </c>
      <c r="U111" s="94">
        <f>IF(D13&lt;=0,0,AA16/D13)</f>
        <v>291.31280181487529</v>
      </c>
      <c r="V111" s="94">
        <f t="shared" ref="V111:W111" si="83">IF(E13&lt;=0,0,AB16/E13)</f>
        <v>0</v>
      </c>
      <c r="W111" s="94">
        <f t="shared" si="83"/>
        <v>9.3359356517624814</v>
      </c>
      <c r="X111" s="94">
        <f>AVERAGE(U111:W111)</f>
        <v>100.2162458222126</v>
      </c>
      <c r="Z111" s="92"/>
      <c r="AA111" s="92"/>
      <c r="AB111" s="92"/>
      <c r="AC111" s="92"/>
      <c r="AD111" s="92"/>
      <c r="AE111" s="92"/>
    </row>
    <row r="112" spans="1:457" ht="15" customHeight="1">
      <c r="A112" s="83"/>
      <c r="C112" s="106"/>
      <c r="D112" s="82"/>
      <c r="E112" s="82"/>
      <c r="F112" s="82"/>
      <c r="G112" s="82"/>
      <c r="H112" s="82"/>
      <c r="I112" s="82"/>
      <c r="J112" s="82"/>
      <c r="K112" s="82"/>
      <c r="L112" s="82"/>
      <c r="M112" s="82"/>
      <c r="N112" s="82"/>
      <c r="O112" s="102"/>
      <c r="P112" s="83"/>
      <c r="Q112" s="54"/>
      <c r="R112" s="83"/>
      <c r="T112" s="101" t="s">
        <v>210</v>
      </c>
      <c r="U112" s="94">
        <f>IF(D14&lt;=0,0,AA17/D14)</f>
        <v>39.925625661240382</v>
      </c>
      <c r="V112" s="94">
        <f t="shared" ref="V112:W112" si="84">IF(E14&lt;=0,0,AB17/E14)</f>
        <v>0</v>
      </c>
      <c r="W112" s="94">
        <f t="shared" si="84"/>
        <v>0</v>
      </c>
      <c r="X112" s="94">
        <f t="shared" ref="X111:X116" si="85">AVERAGE(U112:W112)</f>
        <v>13.308541887080127</v>
      </c>
    </row>
    <row r="113" spans="1:24">
      <c r="A113" s="83"/>
      <c r="C113" s="106"/>
      <c r="D113" s="82"/>
      <c r="E113" s="82"/>
      <c r="F113" s="82"/>
      <c r="G113" s="82"/>
      <c r="H113" s="82"/>
      <c r="I113" s="82"/>
      <c r="J113" s="82"/>
      <c r="K113" s="82"/>
      <c r="L113" s="82"/>
      <c r="M113" s="82"/>
      <c r="N113" s="82"/>
      <c r="O113" s="102"/>
      <c r="P113" s="83"/>
      <c r="Q113" s="54"/>
      <c r="R113" s="83"/>
      <c r="T113" s="722" t="s">
        <v>544</v>
      </c>
      <c r="U113" s="94">
        <f>IF(D15&lt;=0,0,SUM(AA18:AA19)/D15)</f>
        <v>110.46621851763238</v>
      </c>
      <c r="V113" s="94">
        <f t="shared" ref="V113:W113" si="86">IF(E15&lt;=0,0,SUM(AB18:AB19)/E15)</f>
        <v>321.38095732410613</v>
      </c>
      <c r="W113" s="94">
        <f t="shared" si="86"/>
        <v>0</v>
      </c>
      <c r="X113" s="94">
        <f t="shared" si="85"/>
        <v>143.94905861391285</v>
      </c>
    </row>
    <row r="114" spans="1:24">
      <c r="A114" s="83"/>
      <c r="C114" s="106"/>
      <c r="D114" s="82"/>
      <c r="E114" s="82"/>
      <c r="F114" s="82"/>
      <c r="G114" s="82"/>
      <c r="H114" s="82"/>
      <c r="I114" s="82"/>
      <c r="J114" s="82"/>
      <c r="K114" s="82"/>
      <c r="L114" s="82"/>
      <c r="M114" s="82"/>
      <c r="N114" s="82"/>
      <c r="O114" s="102"/>
      <c r="P114" s="83"/>
      <c r="Q114" s="54"/>
      <c r="R114" s="83"/>
      <c r="T114" s="101" t="s">
        <v>214</v>
      </c>
      <c r="U114" s="94" t="e">
        <f>IF(D16:D17&lt;=0,0,SUM(AA21:AA22)/SUM(D16:D17))</f>
        <v>#VALUE!</v>
      </c>
      <c r="V114" s="94"/>
      <c r="W114" s="94"/>
      <c r="X114" s="94" t="e">
        <f t="shared" si="85"/>
        <v>#VALUE!</v>
      </c>
    </row>
    <row r="115" spans="1:24">
      <c r="A115" s="83"/>
      <c r="C115" s="106"/>
      <c r="D115" s="82"/>
      <c r="E115" s="82"/>
      <c r="F115" s="82"/>
      <c r="G115" s="82"/>
      <c r="H115" s="82"/>
      <c r="I115" s="82"/>
      <c r="J115" s="82"/>
      <c r="K115" s="82"/>
      <c r="L115" s="82"/>
      <c r="M115" s="82"/>
      <c r="N115" s="82"/>
      <c r="O115" s="102"/>
      <c r="P115" s="83"/>
      <c r="Q115" s="54"/>
      <c r="R115" s="83"/>
      <c r="T115" s="190" t="s">
        <v>542</v>
      </c>
      <c r="U115" s="94"/>
      <c r="V115" s="94"/>
      <c r="W115" s="94"/>
      <c r="X115" s="94" t="e">
        <f t="shared" si="85"/>
        <v>#DIV/0!</v>
      </c>
    </row>
    <row r="116" spans="1:24">
      <c r="A116" s="83"/>
      <c r="C116" s="106"/>
      <c r="D116" s="82"/>
      <c r="E116" s="82"/>
      <c r="F116" s="82"/>
      <c r="G116" s="82"/>
      <c r="H116" s="82"/>
      <c r="I116" s="82"/>
      <c r="J116" s="82"/>
      <c r="K116" s="82"/>
      <c r="L116" s="82"/>
      <c r="M116" s="82"/>
      <c r="N116" s="82"/>
      <c r="O116" s="102"/>
      <c r="P116" s="83"/>
      <c r="Q116" s="54"/>
      <c r="R116" s="83"/>
      <c r="T116" s="718" t="s">
        <v>955</v>
      </c>
      <c r="U116" s="94"/>
      <c r="V116" s="94"/>
      <c r="W116" s="94"/>
      <c r="X116" s="94" t="e">
        <f t="shared" si="85"/>
        <v>#DIV/0!</v>
      </c>
    </row>
    <row r="117" spans="1:24">
      <c r="A117" s="83"/>
      <c r="C117" s="106"/>
      <c r="D117" s="82"/>
      <c r="E117" s="82"/>
      <c r="F117" s="82"/>
      <c r="G117" s="82"/>
      <c r="H117" s="82"/>
      <c r="I117" s="82"/>
      <c r="J117" s="82"/>
      <c r="K117" s="82"/>
      <c r="L117" s="82"/>
      <c r="M117" s="82"/>
      <c r="N117" s="82"/>
      <c r="O117" s="102"/>
      <c r="P117" s="83"/>
      <c r="Q117" s="54"/>
      <c r="R117" s="83"/>
      <c r="S117" s="83"/>
      <c r="T117" s="83"/>
      <c r="U117" s="83"/>
      <c r="V117" s="83"/>
      <c r="W117" s="83"/>
      <c r="X117" s="83"/>
    </row>
    <row r="118" spans="1:24">
      <c r="A118" s="83"/>
      <c r="C118" s="106"/>
      <c r="D118" s="82"/>
      <c r="E118" s="82"/>
      <c r="F118" s="82"/>
      <c r="G118" s="82"/>
      <c r="H118" s="82"/>
      <c r="I118" s="82"/>
      <c r="J118" s="82"/>
      <c r="K118" s="82"/>
      <c r="L118" s="82"/>
      <c r="M118" s="82"/>
      <c r="N118" s="82"/>
      <c r="O118" s="102"/>
      <c r="P118" s="83"/>
      <c r="Q118" s="54"/>
      <c r="R118" s="83"/>
      <c r="S118" s="83"/>
      <c r="T118" s="83"/>
      <c r="U118" s="83"/>
      <c r="V118" s="83"/>
      <c r="W118" s="83"/>
      <c r="X118" s="83"/>
    </row>
    <row r="119" spans="1:24">
      <c r="A119" s="83"/>
      <c r="C119" s="106"/>
      <c r="D119" s="82"/>
      <c r="E119" s="82"/>
      <c r="F119" s="82"/>
      <c r="G119" s="82"/>
      <c r="H119" s="82"/>
      <c r="I119" s="82"/>
      <c r="J119" s="82"/>
      <c r="K119" s="82"/>
      <c r="L119" s="82"/>
      <c r="M119" s="82"/>
      <c r="N119" s="82"/>
      <c r="O119" s="102"/>
      <c r="P119" s="83"/>
      <c r="Q119" s="54"/>
      <c r="R119" s="83"/>
      <c r="S119" s="83"/>
      <c r="T119" s="83"/>
      <c r="U119" s="83"/>
      <c r="V119" s="83"/>
      <c r="W119" s="83"/>
      <c r="X119" s="83"/>
    </row>
    <row r="120" spans="1:24">
      <c r="A120" s="83"/>
      <c r="C120" s="106"/>
      <c r="D120" s="82"/>
      <c r="E120" s="82"/>
      <c r="F120" s="82"/>
      <c r="G120" s="82"/>
      <c r="H120" s="82"/>
      <c r="I120" s="82"/>
      <c r="J120" s="82"/>
      <c r="K120" s="82"/>
      <c r="L120" s="82"/>
      <c r="M120" s="82"/>
      <c r="N120" s="82"/>
      <c r="O120" s="102"/>
      <c r="P120" s="83"/>
      <c r="Q120" s="54"/>
      <c r="R120" s="83"/>
      <c r="S120" s="83"/>
      <c r="T120" s="83"/>
      <c r="U120" s="83"/>
      <c r="V120" s="83"/>
      <c r="W120" s="83"/>
      <c r="X120" s="83"/>
    </row>
    <row r="121" spans="1:24">
      <c r="A121" s="83"/>
      <c r="C121" s="106"/>
      <c r="D121" s="82"/>
      <c r="E121" s="82"/>
      <c r="F121" s="82"/>
      <c r="G121" s="82"/>
      <c r="H121" s="82"/>
      <c r="I121" s="82"/>
      <c r="J121" s="82"/>
      <c r="K121" s="82"/>
      <c r="L121" s="82"/>
      <c r="M121" s="82"/>
      <c r="N121" s="82"/>
      <c r="O121" s="102"/>
      <c r="P121" s="83"/>
      <c r="Q121" s="54"/>
      <c r="R121" s="83"/>
      <c r="S121" s="83"/>
      <c r="T121" s="83"/>
      <c r="U121" s="83"/>
      <c r="V121" s="83"/>
      <c r="W121" s="83"/>
      <c r="X121" s="83"/>
    </row>
    <row r="122" spans="1:24">
      <c r="A122" s="83"/>
      <c r="C122" s="106"/>
      <c r="D122" s="82"/>
      <c r="E122" s="82"/>
      <c r="F122" s="82"/>
      <c r="G122" s="82"/>
      <c r="H122" s="82"/>
      <c r="I122" s="82"/>
      <c r="J122" s="82"/>
      <c r="K122" s="82"/>
      <c r="L122" s="82"/>
      <c r="M122" s="82"/>
      <c r="N122" s="82"/>
      <c r="O122" s="102"/>
      <c r="P122" s="83"/>
      <c r="Q122" s="54"/>
      <c r="R122" s="83"/>
      <c r="S122" s="83"/>
      <c r="T122" s="83"/>
      <c r="U122" s="83"/>
      <c r="V122" s="83"/>
      <c r="W122" s="83"/>
      <c r="X122" s="83"/>
    </row>
    <row r="123" spans="1:24">
      <c r="A123" s="83"/>
      <c r="C123" s="106"/>
      <c r="D123" s="82"/>
      <c r="E123" s="82"/>
      <c r="F123" s="82"/>
      <c r="G123" s="82"/>
      <c r="H123" s="82"/>
      <c r="I123" s="82"/>
      <c r="J123" s="82"/>
      <c r="K123" s="82"/>
      <c r="L123" s="82"/>
      <c r="M123" s="82"/>
      <c r="N123" s="82"/>
      <c r="O123" s="102"/>
      <c r="P123" s="83"/>
      <c r="Q123" s="54"/>
      <c r="R123" s="83"/>
      <c r="S123" s="83"/>
      <c r="T123" s="83"/>
      <c r="U123" s="83"/>
      <c r="V123" s="83"/>
      <c r="W123" s="83"/>
      <c r="X123" s="83"/>
    </row>
    <row r="124" spans="1:24">
      <c r="A124" s="83"/>
      <c r="C124" s="106"/>
      <c r="D124" s="82"/>
      <c r="E124" s="82"/>
      <c r="F124" s="82"/>
      <c r="G124" s="82"/>
      <c r="H124" s="82"/>
      <c r="I124" s="82"/>
      <c r="J124" s="82"/>
      <c r="K124" s="82"/>
      <c r="L124" s="82"/>
      <c r="M124" s="82"/>
      <c r="N124" s="82"/>
      <c r="O124" s="102"/>
      <c r="P124" s="83"/>
      <c r="Q124" s="54"/>
      <c r="R124" s="83"/>
      <c r="S124" s="83"/>
      <c r="T124" s="83"/>
      <c r="U124" s="83"/>
      <c r="V124" s="83"/>
      <c r="W124" s="83"/>
      <c r="X124" s="83"/>
    </row>
    <row r="125" spans="1:24" ht="24" customHeight="1">
      <c r="A125" s="83"/>
      <c r="C125" s="106"/>
      <c r="D125" s="82"/>
      <c r="E125" s="82"/>
      <c r="F125" s="82"/>
      <c r="G125" s="82"/>
      <c r="H125" s="82"/>
      <c r="I125" s="82"/>
      <c r="J125" s="82"/>
      <c r="K125" s="82"/>
      <c r="L125" s="82"/>
      <c r="M125" s="82"/>
      <c r="N125" s="82"/>
      <c r="O125" s="102"/>
      <c r="P125" s="83"/>
      <c r="Q125" s="54"/>
      <c r="R125" s="83"/>
      <c r="S125" s="83"/>
      <c r="T125" s="83"/>
      <c r="U125" s="83"/>
      <c r="V125" s="83"/>
      <c r="W125" s="83"/>
      <c r="X125" s="83"/>
    </row>
    <row r="126" spans="1:24">
      <c r="A126" s="83"/>
      <c r="C126" s="106"/>
      <c r="D126" s="82"/>
      <c r="E126" s="82"/>
      <c r="F126" s="82"/>
      <c r="G126" s="82"/>
      <c r="H126" s="82"/>
      <c r="I126" s="82"/>
      <c r="J126" s="82"/>
      <c r="K126" s="82"/>
      <c r="L126" s="82"/>
      <c r="M126" s="82"/>
      <c r="N126" s="82"/>
      <c r="O126" s="102"/>
      <c r="P126" s="83"/>
      <c r="Q126" s="54"/>
      <c r="R126" s="83"/>
      <c r="S126" s="83"/>
      <c r="T126" s="83"/>
      <c r="U126" s="83"/>
      <c r="V126" s="83"/>
      <c r="W126" s="83"/>
      <c r="X126" s="83"/>
    </row>
    <row r="127" spans="1:24">
      <c r="A127" s="83"/>
      <c r="B127" s="83"/>
      <c r="C127" s="54"/>
      <c r="D127" s="54"/>
      <c r="E127" s="54"/>
      <c r="F127" s="54"/>
      <c r="G127" s="54"/>
      <c r="H127" s="54"/>
      <c r="I127" s="54"/>
      <c r="J127" s="54"/>
      <c r="K127" s="54"/>
      <c r="L127" s="54"/>
      <c r="M127" s="54"/>
      <c r="N127" s="54"/>
      <c r="O127" s="102"/>
      <c r="P127" s="83"/>
      <c r="Q127" s="54"/>
      <c r="R127" s="83"/>
      <c r="S127" s="83"/>
      <c r="T127" s="83"/>
      <c r="U127" s="83"/>
      <c r="V127" s="83"/>
      <c r="W127" s="83"/>
      <c r="X127" s="83"/>
    </row>
    <row r="128" spans="1:24">
      <c r="A128" s="83"/>
      <c r="B128" s="83"/>
      <c r="C128" s="82"/>
      <c r="D128" s="82"/>
      <c r="E128" s="82"/>
      <c r="F128" s="82"/>
      <c r="G128" s="82"/>
      <c r="H128" s="82"/>
      <c r="I128" s="82"/>
      <c r="J128" s="82"/>
      <c r="K128" s="54"/>
      <c r="L128" s="83"/>
      <c r="M128" s="83"/>
      <c r="N128" s="83"/>
      <c r="O128" s="83"/>
      <c r="P128" s="83"/>
      <c r="Q128" s="54"/>
      <c r="R128" s="83"/>
      <c r="S128" s="83"/>
      <c r="T128" s="83"/>
      <c r="U128" s="83"/>
      <c r="V128" s="83"/>
      <c r="W128" s="83"/>
      <c r="X128" s="83"/>
    </row>
    <row r="129" spans="1:24">
      <c r="A129" s="317"/>
      <c r="B129" s="317"/>
      <c r="C129" s="223"/>
      <c r="D129" s="223"/>
      <c r="E129" s="223"/>
      <c r="F129" s="223"/>
      <c r="G129" s="223"/>
      <c r="H129" s="223"/>
      <c r="I129" s="223"/>
      <c r="J129" s="223"/>
      <c r="K129" s="223"/>
      <c r="L129" s="223"/>
      <c r="M129" s="223"/>
      <c r="N129" s="223"/>
      <c r="O129" s="223"/>
      <c r="P129" s="223"/>
      <c r="Q129" s="54"/>
      <c r="R129" s="83"/>
      <c r="S129" s="83"/>
      <c r="T129" s="83"/>
      <c r="U129" s="83"/>
      <c r="V129" s="83"/>
      <c r="W129" s="83"/>
      <c r="X129" s="83"/>
    </row>
    <row r="130" spans="1:24">
      <c r="A130" s="83"/>
      <c r="B130" s="83"/>
      <c r="C130" s="82"/>
      <c r="D130" s="82"/>
      <c r="E130" s="82"/>
      <c r="F130" s="82"/>
      <c r="G130" s="82"/>
      <c r="H130" s="82"/>
      <c r="I130" s="82"/>
      <c r="J130" s="82"/>
      <c r="K130" s="54"/>
      <c r="L130" s="83"/>
      <c r="M130" s="83"/>
      <c r="N130" s="83"/>
      <c r="O130" s="83"/>
      <c r="P130" s="83"/>
      <c r="Q130" s="54"/>
      <c r="R130" s="83"/>
      <c r="S130" s="83"/>
      <c r="T130" s="83"/>
      <c r="U130" s="83"/>
      <c r="V130" s="83"/>
      <c r="W130" s="83"/>
      <c r="X130" s="83"/>
    </row>
    <row r="131" spans="1:24">
      <c r="A131" s="124"/>
      <c r="C131" s="127"/>
      <c r="D131" s="128"/>
      <c r="E131" s="128"/>
      <c r="F131" s="129"/>
      <c r="G131" s="128"/>
      <c r="H131" s="128"/>
      <c r="I131" s="128"/>
      <c r="J131" s="128"/>
      <c r="K131" s="128"/>
      <c r="L131" s="83"/>
      <c r="M131" s="83"/>
      <c r="N131" s="83"/>
      <c r="O131" s="83"/>
      <c r="P131" s="83"/>
      <c r="Q131" s="54"/>
      <c r="R131" s="83"/>
      <c r="S131" s="83"/>
      <c r="T131" s="83"/>
      <c r="U131" s="83"/>
      <c r="V131" s="83"/>
      <c r="W131" s="83"/>
      <c r="X131" s="83"/>
    </row>
    <row r="132" spans="1:24">
      <c r="A132" s="124"/>
      <c r="C132" s="109"/>
      <c r="D132" s="125"/>
      <c r="E132" s="126"/>
      <c r="F132" s="126"/>
      <c r="G132" s="126"/>
      <c r="H132" s="126"/>
      <c r="I132" s="126"/>
      <c r="J132" s="126"/>
      <c r="K132" s="130"/>
      <c r="L132" s="83"/>
      <c r="M132" s="83"/>
      <c r="N132" s="83"/>
      <c r="O132" s="83"/>
      <c r="P132" s="83"/>
      <c r="Q132" s="83"/>
      <c r="R132" s="83"/>
      <c r="S132" s="83"/>
      <c r="T132" s="83"/>
      <c r="U132" s="83"/>
      <c r="V132" s="83"/>
      <c r="W132" s="83"/>
      <c r="X132" s="83"/>
    </row>
    <row r="133" spans="1:24">
      <c r="A133" s="124"/>
      <c r="C133" s="109"/>
      <c r="D133" s="125"/>
      <c r="E133" s="126"/>
      <c r="F133" s="126"/>
      <c r="G133" s="126"/>
      <c r="H133" s="126"/>
      <c r="I133" s="126"/>
      <c r="J133" s="126"/>
      <c r="K133" s="130"/>
      <c r="L133" s="83"/>
      <c r="M133" s="83"/>
      <c r="N133" s="83"/>
      <c r="O133" s="83"/>
      <c r="P133" s="83"/>
      <c r="Q133" s="55"/>
      <c r="R133" s="83"/>
      <c r="S133" s="83"/>
      <c r="T133" s="83"/>
      <c r="U133" s="83"/>
      <c r="V133" s="83"/>
      <c r="W133" s="83"/>
      <c r="X133" s="83"/>
    </row>
    <row r="134" spans="1:24">
      <c r="A134" s="124"/>
      <c r="C134" s="109"/>
      <c r="D134" s="125"/>
      <c r="E134" s="126"/>
      <c r="F134" s="126"/>
      <c r="G134" s="126"/>
      <c r="H134" s="126"/>
      <c r="I134" s="126"/>
      <c r="J134" s="126"/>
      <c r="K134" s="130"/>
      <c r="L134" s="51"/>
      <c r="M134" s="51"/>
      <c r="N134" s="51"/>
      <c r="O134" s="51"/>
      <c r="P134" s="51"/>
      <c r="Q134" s="54"/>
      <c r="R134" s="51"/>
      <c r="S134" s="51"/>
      <c r="T134" s="83"/>
      <c r="U134" s="83"/>
      <c r="V134" s="83"/>
      <c r="W134" s="83"/>
      <c r="X134" s="83"/>
    </row>
    <row r="135" spans="1:24">
      <c r="A135" s="124"/>
      <c r="C135" s="109"/>
      <c r="D135" s="125"/>
      <c r="E135" s="126"/>
      <c r="F135" s="126"/>
      <c r="G135" s="126"/>
      <c r="H135" s="126"/>
      <c r="I135" s="126"/>
      <c r="J135" s="126"/>
      <c r="K135" s="130"/>
      <c r="L135" s="83"/>
      <c r="M135" s="83"/>
      <c r="N135" s="83"/>
      <c r="O135" s="83"/>
      <c r="P135" s="83"/>
      <c r="Q135" s="54"/>
      <c r="R135" s="83"/>
      <c r="S135" s="83"/>
      <c r="T135" s="83"/>
      <c r="U135" s="83"/>
      <c r="V135" s="83"/>
      <c r="W135" s="83"/>
      <c r="X135" s="83"/>
    </row>
    <row r="136" spans="1:24">
      <c r="A136" s="124"/>
      <c r="C136" s="109"/>
      <c r="D136" s="125"/>
      <c r="E136" s="126"/>
      <c r="F136" s="126"/>
      <c r="G136" s="126"/>
      <c r="H136" s="126"/>
      <c r="I136" s="126"/>
      <c r="J136" s="126"/>
      <c r="K136" s="130"/>
      <c r="L136" s="83"/>
      <c r="M136" s="83"/>
      <c r="N136" s="83"/>
      <c r="O136" s="83"/>
      <c r="P136" s="83"/>
      <c r="Q136" s="54"/>
      <c r="R136" s="83"/>
      <c r="S136" s="83"/>
      <c r="T136" s="83"/>
      <c r="U136" s="83"/>
      <c r="V136" s="83"/>
      <c r="W136" s="83"/>
      <c r="X136" s="83"/>
    </row>
    <row r="137" spans="1:24">
      <c r="A137" s="124"/>
      <c r="C137" s="109"/>
      <c r="D137" s="125"/>
      <c r="E137" s="126"/>
      <c r="F137" s="126"/>
      <c r="G137" s="126"/>
      <c r="H137" s="126"/>
      <c r="I137" s="126"/>
      <c r="J137" s="126"/>
      <c r="K137" s="130"/>
      <c r="L137" s="83"/>
      <c r="M137" s="83"/>
      <c r="N137" s="83"/>
      <c r="O137" s="83"/>
      <c r="P137" s="83"/>
      <c r="Q137" s="54"/>
      <c r="R137" s="83"/>
      <c r="S137" s="83"/>
      <c r="T137" s="83"/>
      <c r="U137" s="83"/>
      <c r="V137" s="83"/>
      <c r="W137" s="83"/>
      <c r="X137" s="83"/>
    </row>
    <row r="138" spans="1:24">
      <c r="A138" s="124"/>
      <c r="C138" s="109"/>
      <c r="D138" s="125"/>
      <c r="E138" s="126"/>
      <c r="F138" s="126"/>
      <c r="G138" s="126"/>
      <c r="H138" s="126"/>
      <c r="I138" s="126"/>
      <c r="J138" s="126"/>
      <c r="K138" s="130"/>
      <c r="L138" s="83"/>
      <c r="M138" s="83"/>
      <c r="N138" s="83"/>
      <c r="O138" s="83"/>
      <c r="P138" s="83"/>
      <c r="Q138" s="54"/>
      <c r="R138" s="83"/>
      <c r="S138" s="83"/>
      <c r="T138" s="83"/>
      <c r="U138" s="83"/>
      <c r="V138" s="83"/>
      <c r="W138" s="83"/>
      <c r="X138" s="83"/>
    </row>
    <row r="139" spans="1:24">
      <c r="A139" s="124"/>
      <c r="C139" s="109"/>
      <c r="D139" s="125"/>
      <c r="E139" s="126"/>
      <c r="F139" s="126"/>
      <c r="G139" s="126"/>
      <c r="H139" s="126"/>
      <c r="I139" s="126"/>
      <c r="J139" s="126"/>
      <c r="K139" s="130"/>
      <c r="L139" s="83"/>
      <c r="M139" s="83"/>
      <c r="N139" s="83"/>
      <c r="O139" s="83"/>
      <c r="P139" s="83"/>
      <c r="Q139" s="54"/>
      <c r="R139" s="83"/>
      <c r="S139" s="83"/>
      <c r="T139" s="83"/>
      <c r="U139" s="83"/>
      <c r="V139" s="83"/>
      <c r="W139" s="83"/>
      <c r="X139" s="83"/>
    </row>
    <row r="140" spans="1:24">
      <c r="A140" s="124"/>
      <c r="C140" s="109"/>
      <c r="D140" s="125"/>
      <c r="E140" s="126"/>
      <c r="F140" s="126"/>
      <c r="G140" s="126"/>
      <c r="H140" s="126"/>
      <c r="I140" s="126"/>
      <c r="J140" s="126"/>
      <c r="K140" s="130"/>
      <c r="L140" s="83"/>
      <c r="M140" s="83"/>
      <c r="N140" s="83"/>
      <c r="O140" s="83"/>
      <c r="P140" s="83"/>
      <c r="Q140" s="54"/>
      <c r="R140" s="83"/>
      <c r="S140" s="83"/>
      <c r="T140" s="83"/>
      <c r="U140" s="83"/>
      <c r="V140" s="83"/>
      <c r="W140" s="83"/>
      <c r="X140" s="83"/>
    </row>
    <row r="141" spans="1:24">
      <c r="A141" s="124"/>
      <c r="C141" s="109"/>
      <c r="D141" s="125"/>
      <c r="E141" s="126"/>
      <c r="F141" s="126"/>
      <c r="G141" s="126"/>
      <c r="H141" s="126"/>
      <c r="I141" s="126"/>
      <c r="J141" s="126"/>
      <c r="K141" s="130"/>
      <c r="L141" s="83"/>
      <c r="M141" s="83"/>
      <c r="N141" s="83"/>
      <c r="O141" s="83"/>
      <c r="P141" s="83"/>
      <c r="Q141" s="54"/>
      <c r="R141" s="83"/>
      <c r="S141" s="83"/>
      <c r="T141" s="83"/>
      <c r="U141" s="83"/>
      <c r="V141" s="83"/>
      <c r="W141" s="83"/>
      <c r="X141" s="83"/>
    </row>
    <row r="142" spans="1:24">
      <c r="A142" s="124"/>
      <c r="C142" s="109"/>
      <c r="D142" s="125"/>
      <c r="E142" s="126"/>
      <c r="F142" s="126"/>
      <c r="G142" s="126"/>
      <c r="H142" s="126"/>
      <c r="I142" s="126"/>
      <c r="J142" s="126"/>
      <c r="K142" s="130"/>
      <c r="L142" s="83"/>
      <c r="M142" s="83"/>
      <c r="N142" s="83"/>
      <c r="O142" s="83"/>
      <c r="P142" s="83"/>
      <c r="Q142" s="54"/>
      <c r="R142" s="83"/>
      <c r="S142" s="83"/>
      <c r="T142" s="83"/>
      <c r="U142" s="83"/>
      <c r="V142" s="83"/>
      <c r="W142" s="83"/>
      <c r="X142" s="83"/>
    </row>
    <row r="143" spans="1:24">
      <c r="A143" s="124"/>
      <c r="C143" s="109"/>
      <c r="D143" s="125"/>
      <c r="E143" s="126"/>
      <c r="F143" s="126"/>
      <c r="G143" s="126"/>
      <c r="H143" s="126"/>
      <c r="I143" s="126"/>
      <c r="J143" s="126"/>
      <c r="K143" s="130"/>
      <c r="L143" s="83"/>
      <c r="M143" s="83"/>
      <c r="N143" s="83"/>
      <c r="O143" s="83"/>
      <c r="P143" s="83"/>
      <c r="Q143" s="54"/>
      <c r="R143" s="83"/>
      <c r="S143" s="83"/>
      <c r="T143" s="83"/>
      <c r="U143" s="83"/>
      <c r="V143" s="83"/>
      <c r="W143" s="83"/>
      <c r="X143" s="83"/>
    </row>
    <row r="144" spans="1:24">
      <c r="A144" s="124"/>
      <c r="C144" s="90"/>
      <c r="D144" s="115"/>
      <c r="E144" s="125"/>
      <c r="F144" s="125"/>
      <c r="G144" s="131"/>
      <c r="H144" s="131"/>
      <c r="I144" s="131"/>
      <c r="J144" s="131"/>
      <c r="K144" s="132"/>
      <c r="L144" s="83"/>
      <c r="M144" s="83"/>
      <c r="N144" s="83"/>
      <c r="O144" s="83"/>
      <c r="P144" s="83"/>
      <c r="Q144" s="54"/>
      <c r="R144" s="83"/>
      <c r="S144" s="83"/>
      <c r="T144" s="83"/>
      <c r="U144" s="83"/>
      <c r="V144" s="83"/>
      <c r="W144" s="83"/>
      <c r="X144" s="83"/>
    </row>
    <row r="145" spans="1:24">
      <c r="A145" s="83"/>
      <c r="B145" s="83"/>
      <c r="C145" s="82"/>
      <c r="D145" s="82"/>
      <c r="E145" s="82"/>
      <c r="F145" s="82"/>
      <c r="G145" s="82"/>
      <c r="H145" s="82"/>
      <c r="I145" s="82"/>
      <c r="J145" s="82"/>
      <c r="K145" s="54"/>
      <c r="L145" s="83"/>
      <c r="M145" s="83"/>
      <c r="N145" s="83"/>
      <c r="O145" s="83"/>
      <c r="P145" s="83"/>
      <c r="Q145" s="54"/>
      <c r="R145" s="83"/>
      <c r="S145" s="83"/>
      <c r="T145" s="83"/>
      <c r="U145" s="83"/>
      <c r="V145" s="83"/>
      <c r="W145" s="83"/>
      <c r="X145" s="83"/>
    </row>
    <row r="146" spans="1:24">
      <c r="A146" s="83"/>
      <c r="B146" s="83"/>
      <c r="C146" s="82"/>
      <c r="D146" s="82"/>
      <c r="E146" s="82"/>
      <c r="F146" s="82"/>
      <c r="G146" s="82"/>
      <c r="H146" s="82"/>
      <c r="I146" s="82"/>
      <c r="J146" s="82"/>
      <c r="K146" s="54"/>
      <c r="L146" s="83"/>
      <c r="M146" s="83"/>
      <c r="N146" s="83"/>
      <c r="O146" s="83"/>
      <c r="P146" s="83"/>
      <c r="Q146" s="54"/>
      <c r="R146" s="83"/>
      <c r="S146" s="83"/>
      <c r="T146" s="83"/>
      <c r="U146" s="83"/>
      <c r="V146" s="83"/>
      <c r="W146" s="83"/>
      <c r="X146" s="83"/>
    </row>
    <row r="147" spans="1:24">
      <c r="A147" s="83"/>
      <c r="B147" s="83"/>
      <c r="C147" s="82"/>
      <c r="D147" s="82"/>
      <c r="E147" s="82"/>
      <c r="F147" s="82"/>
      <c r="G147" s="82"/>
      <c r="H147" s="82"/>
      <c r="I147" s="82"/>
      <c r="J147" s="82"/>
      <c r="K147" s="54"/>
      <c r="L147" s="83"/>
      <c r="M147" s="83"/>
      <c r="N147" s="83"/>
      <c r="O147" s="83"/>
      <c r="P147" s="83"/>
      <c r="Q147" s="54"/>
      <c r="R147" s="83"/>
      <c r="S147" s="83"/>
      <c r="T147" s="83"/>
      <c r="U147" s="83"/>
      <c r="V147" s="83"/>
      <c r="W147" s="83"/>
      <c r="X147" s="83"/>
    </row>
    <row r="148" spans="1:24">
      <c r="A148" s="83"/>
      <c r="B148" s="83"/>
      <c r="C148" s="82"/>
      <c r="D148" s="82"/>
      <c r="E148" s="82"/>
      <c r="F148" s="82"/>
      <c r="G148" s="82"/>
      <c r="H148" s="82"/>
      <c r="I148" s="82"/>
      <c r="J148" s="82"/>
      <c r="K148" s="54"/>
      <c r="L148" s="83"/>
      <c r="M148" s="83"/>
      <c r="N148" s="83"/>
      <c r="O148" s="83"/>
      <c r="P148" s="83"/>
      <c r="Q148" s="54"/>
      <c r="R148" s="83"/>
      <c r="S148" s="83"/>
      <c r="T148" s="83"/>
      <c r="U148" s="83"/>
      <c r="V148" s="83"/>
      <c r="W148" s="83"/>
      <c r="X148" s="83"/>
    </row>
    <row r="149" spans="1:24">
      <c r="A149" s="83"/>
      <c r="B149" s="83"/>
      <c r="C149" s="82"/>
      <c r="D149" s="82"/>
      <c r="E149" s="82"/>
      <c r="F149" s="82"/>
      <c r="G149" s="82"/>
      <c r="H149" s="82"/>
      <c r="I149" s="82"/>
      <c r="J149" s="82"/>
      <c r="K149" s="54"/>
      <c r="L149" s="83"/>
      <c r="M149" s="83"/>
      <c r="N149" s="83"/>
      <c r="O149" s="83"/>
      <c r="P149" s="83"/>
      <c r="Q149" s="54"/>
      <c r="R149" s="83"/>
      <c r="S149" s="83"/>
      <c r="T149" s="83"/>
      <c r="U149" s="83"/>
      <c r="V149" s="83"/>
      <c r="W149" s="83"/>
      <c r="X149" s="83"/>
    </row>
    <row r="150" spans="1:24">
      <c r="A150" s="83"/>
      <c r="B150" s="83"/>
      <c r="C150" s="82"/>
      <c r="D150" s="82"/>
      <c r="E150" s="82"/>
      <c r="F150" s="82"/>
      <c r="G150" s="82"/>
      <c r="H150" s="82"/>
      <c r="I150" s="82"/>
      <c r="J150" s="82"/>
      <c r="K150" s="54"/>
      <c r="L150" s="83"/>
      <c r="M150" s="83"/>
      <c r="N150" s="83"/>
      <c r="O150" s="83"/>
      <c r="P150" s="83"/>
      <c r="Q150" s="54"/>
      <c r="R150" s="83"/>
      <c r="S150" s="83"/>
      <c r="T150" s="83"/>
      <c r="U150" s="83"/>
      <c r="V150" s="83"/>
      <c r="W150" s="83"/>
      <c r="X150" s="83"/>
    </row>
    <row r="151" spans="1:24">
      <c r="A151" s="83"/>
      <c r="B151" s="51"/>
      <c r="C151" s="54"/>
      <c r="D151" s="54"/>
      <c r="E151" s="54"/>
      <c r="F151" s="54"/>
      <c r="G151" s="54"/>
      <c r="H151" s="54"/>
      <c r="I151" s="54"/>
      <c r="J151" s="54"/>
      <c r="K151" s="54"/>
      <c r="L151" s="83"/>
      <c r="M151" s="83"/>
      <c r="N151" s="83"/>
      <c r="O151" s="83"/>
      <c r="P151" s="83"/>
      <c r="Q151" s="54"/>
      <c r="R151" s="83"/>
      <c r="S151" s="83"/>
      <c r="T151" s="83"/>
      <c r="U151" s="83"/>
      <c r="V151" s="83"/>
      <c r="W151" s="83"/>
      <c r="X151" s="83"/>
    </row>
    <row r="152" spans="1:24">
      <c r="A152" s="83"/>
      <c r="B152" s="83"/>
      <c r="C152" s="82"/>
      <c r="D152" s="82"/>
      <c r="E152" s="82"/>
      <c r="F152" s="82"/>
      <c r="G152" s="82"/>
      <c r="H152" s="82"/>
      <c r="I152" s="82"/>
      <c r="J152" s="82"/>
      <c r="K152" s="54"/>
      <c r="L152" s="83"/>
      <c r="M152" s="83"/>
      <c r="N152" s="83"/>
      <c r="O152" s="83"/>
      <c r="P152" s="83"/>
      <c r="Q152" s="54"/>
      <c r="R152" s="83"/>
      <c r="S152" s="83"/>
      <c r="T152" s="83"/>
      <c r="U152" s="83"/>
      <c r="V152" s="83"/>
      <c r="W152" s="83"/>
      <c r="X152" s="83"/>
    </row>
    <row r="153" spans="1:24">
      <c r="A153" s="83"/>
      <c r="B153" s="83"/>
      <c r="C153" s="82"/>
      <c r="D153" s="82"/>
      <c r="E153" s="82"/>
      <c r="F153" s="82"/>
      <c r="G153" s="82"/>
      <c r="H153" s="82"/>
      <c r="I153" s="82"/>
      <c r="J153" s="82"/>
      <c r="K153" s="54"/>
      <c r="L153" s="83"/>
      <c r="M153" s="83"/>
      <c r="N153" s="83"/>
      <c r="O153" s="83"/>
      <c r="P153" s="83"/>
      <c r="Q153" s="54"/>
      <c r="R153" s="83"/>
      <c r="S153" s="83"/>
      <c r="T153" s="83"/>
      <c r="U153" s="83"/>
      <c r="V153" s="83"/>
      <c r="W153" s="83"/>
      <c r="X153" s="83"/>
    </row>
    <row r="154" spans="1:24">
      <c r="A154" s="83"/>
      <c r="B154" s="83"/>
      <c r="C154" s="82"/>
      <c r="D154" s="82"/>
      <c r="E154" s="82"/>
      <c r="F154" s="82"/>
      <c r="G154" s="82"/>
      <c r="H154" s="82"/>
      <c r="I154" s="82"/>
      <c r="J154" s="82"/>
      <c r="K154" s="54"/>
      <c r="L154" s="83"/>
      <c r="M154" s="83"/>
      <c r="N154" s="83"/>
      <c r="O154" s="83"/>
      <c r="P154" s="83"/>
      <c r="Q154" s="54"/>
      <c r="R154" s="83"/>
      <c r="S154" s="83"/>
      <c r="T154" s="83"/>
      <c r="U154" s="83"/>
      <c r="V154" s="83"/>
      <c r="W154" s="83"/>
      <c r="X154" s="83"/>
    </row>
    <row r="155" spans="1:24">
      <c r="A155" s="83"/>
      <c r="B155" s="83"/>
      <c r="C155" s="82"/>
      <c r="D155" s="82"/>
      <c r="E155" s="82"/>
      <c r="F155" s="82"/>
      <c r="G155" s="82"/>
      <c r="H155" s="82"/>
      <c r="I155" s="82"/>
      <c r="J155" s="82"/>
      <c r="K155" s="54"/>
      <c r="L155" s="83"/>
      <c r="M155" s="83"/>
      <c r="N155" s="83"/>
      <c r="O155" s="83"/>
      <c r="P155" s="83"/>
      <c r="Q155" s="54"/>
      <c r="R155" s="83"/>
      <c r="S155" s="83"/>
      <c r="T155" s="83"/>
      <c r="U155" s="83"/>
      <c r="V155" s="83"/>
      <c r="W155" s="83"/>
      <c r="X155" s="83"/>
    </row>
    <row r="156" spans="1:24">
      <c r="A156" s="83"/>
      <c r="B156" s="83"/>
      <c r="C156" s="82"/>
      <c r="D156" s="82"/>
      <c r="E156" s="82"/>
      <c r="F156" s="82"/>
      <c r="G156" s="82"/>
      <c r="H156" s="82"/>
      <c r="I156" s="82"/>
      <c r="J156" s="82"/>
      <c r="K156" s="54"/>
      <c r="L156" s="83"/>
      <c r="M156" s="83"/>
      <c r="N156" s="83"/>
      <c r="O156" s="83"/>
      <c r="P156" s="83"/>
      <c r="Q156" s="54"/>
      <c r="R156" s="83"/>
      <c r="S156" s="83"/>
      <c r="T156" s="83"/>
      <c r="U156" s="83"/>
      <c r="V156" s="83"/>
      <c r="W156" s="83"/>
      <c r="X156" s="83"/>
    </row>
    <row r="157" spans="1:24">
      <c r="A157" s="83"/>
      <c r="B157" s="51"/>
      <c r="C157" s="54"/>
      <c r="D157" s="54"/>
      <c r="E157" s="54"/>
      <c r="F157" s="54"/>
      <c r="G157" s="54"/>
      <c r="H157" s="54"/>
      <c r="I157" s="54"/>
      <c r="J157" s="54"/>
      <c r="K157" s="54"/>
      <c r="L157" s="83"/>
      <c r="M157" s="83"/>
      <c r="N157" s="83"/>
      <c r="O157" s="83"/>
      <c r="P157" s="83"/>
      <c r="Q157" s="54"/>
      <c r="R157" s="83"/>
      <c r="S157" s="83"/>
      <c r="T157" s="83"/>
      <c r="U157" s="83"/>
      <c r="V157" s="83"/>
      <c r="W157" s="83"/>
      <c r="X157" s="83"/>
    </row>
    <row r="158" spans="1:24">
      <c r="A158" s="83"/>
      <c r="B158" s="83"/>
      <c r="C158" s="82"/>
      <c r="D158" s="82"/>
      <c r="E158" s="82"/>
      <c r="F158" s="82"/>
      <c r="G158" s="82"/>
      <c r="H158" s="82"/>
      <c r="I158" s="82"/>
      <c r="J158" s="82"/>
      <c r="K158" s="54"/>
      <c r="L158" s="83"/>
      <c r="M158" s="83"/>
      <c r="N158" s="83"/>
      <c r="O158" s="83"/>
      <c r="P158" s="83"/>
      <c r="Q158" s="54"/>
      <c r="R158" s="83"/>
      <c r="S158" s="83"/>
      <c r="T158" s="83"/>
      <c r="U158" s="83"/>
      <c r="V158" s="83"/>
      <c r="W158" s="83"/>
      <c r="X158" s="83"/>
    </row>
    <row r="159" spans="1:24">
      <c r="A159" s="83"/>
      <c r="B159" s="83"/>
      <c r="C159" s="82"/>
      <c r="D159" s="82"/>
      <c r="E159" s="82"/>
      <c r="F159" s="82"/>
      <c r="G159" s="82"/>
      <c r="H159" s="82"/>
      <c r="I159" s="82"/>
      <c r="J159" s="82"/>
      <c r="K159" s="54"/>
      <c r="L159" s="83"/>
      <c r="M159" s="83"/>
      <c r="N159" s="83"/>
      <c r="O159" s="83"/>
      <c r="P159" s="83"/>
      <c r="Q159" s="54"/>
      <c r="R159" s="83"/>
      <c r="S159" s="83"/>
      <c r="T159" s="83"/>
      <c r="U159" s="83"/>
      <c r="V159" s="83"/>
      <c r="W159" s="83"/>
      <c r="X159" s="83"/>
    </row>
    <row r="160" spans="1:24">
      <c r="A160" s="83"/>
      <c r="B160" s="83"/>
      <c r="C160" s="82"/>
      <c r="D160" s="82"/>
      <c r="E160" s="82"/>
      <c r="F160" s="82"/>
      <c r="G160" s="82"/>
      <c r="H160" s="82"/>
      <c r="I160" s="82"/>
      <c r="J160" s="82"/>
      <c r="K160" s="54"/>
      <c r="L160" s="83"/>
      <c r="M160" s="83"/>
      <c r="N160" s="83"/>
      <c r="O160" s="83"/>
      <c r="P160" s="83"/>
      <c r="Q160" s="54"/>
      <c r="R160" s="83"/>
      <c r="S160" s="83"/>
      <c r="T160" s="83"/>
      <c r="U160" s="83"/>
      <c r="V160" s="83"/>
      <c r="W160" s="83"/>
      <c r="X160" s="83"/>
    </row>
    <row r="161" spans="1:24">
      <c r="A161" s="83"/>
      <c r="B161" s="51"/>
      <c r="C161" s="54"/>
      <c r="D161" s="54"/>
      <c r="E161" s="54"/>
      <c r="F161" s="54"/>
      <c r="G161" s="54"/>
      <c r="H161" s="54"/>
      <c r="I161" s="54"/>
      <c r="J161" s="54"/>
      <c r="K161" s="54"/>
      <c r="L161" s="83"/>
      <c r="M161" s="83"/>
      <c r="N161" s="83"/>
      <c r="O161" s="83"/>
      <c r="P161" s="83"/>
      <c r="Q161" s="54"/>
      <c r="R161" s="83"/>
      <c r="S161" s="83"/>
      <c r="T161" s="83"/>
      <c r="U161" s="83"/>
      <c r="V161" s="83"/>
      <c r="W161" s="83"/>
      <c r="X161" s="83"/>
    </row>
    <row r="162" spans="1:24">
      <c r="A162" s="83"/>
      <c r="B162" s="83"/>
      <c r="C162" s="82"/>
      <c r="D162" s="82"/>
      <c r="E162" s="82"/>
      <c r="F162" s="82"/>
      <c r="G162" s="82"/>
      <c r="H162" s="82"/>
      <c r="I162" s="82"/>
      <c r="J162" s="82"/>
      <c r="K162" s="82"/>
      <c r="L162" s="83"/>
      <c r="M162" s="83"/>
      <c r="N162" s="83"/>
      <c r="O162" s="83"/>
      <c r="P162" s="83"/>
      <c r="Q162" s="82"/>
      <c r="R162" s="83"/>
      <c r="S162" s="83"/>
      <c r="T162" s="83"/>
      <c r="U162" s="83"/>
      <c r="V162" s="83"/>
      <c r="W162" s="83"/>
      <c r="X162" s="83"/>
    </row>
    <row r="163" spans="1:24">
      <c r="A163" s="83"/>
      <c r="B163" s="51"/>
      <c r="C163" s="54"/>
      <c r="D163" s="54"/>
      <c r="E163" s="54"/>
      <c r="F163" s="54"/>
      <c r="G163" s="54"/>
      <c r="H163" s="54"/>
      <c r="I163" s="54"/>
      <c r="J163" s="54"/>
      <c r="K163" s="54"/>
      <c r="L163" s="83"/>
      <c r="M163" s="83"/>
      <c r="N163" s="83"/>
      <c r="O163" s="83"/>
      <c r="P163" s="83"/>
      <c r="Q163" s="54"/>
      <c r="R163" s="83"/>
      <c r="S163" s="83"/>
      <c r="T163" s="83"/>
      <c r="U163" s="83"/>
      <c r="V163" s="83"/>
      <c r="W163" s="83"/>
      <c r="X163" s="83"/>
    </row>
    <row r="164" spans="1:2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row>
    <row r="165" spans="1:24">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row>
    <row r="166" spans="1:24">
      <c r="A166" s="83"/>
      <c r="B166" s="83"/>
      <c r="C166" s="53"/>
      <c r="D166" s="55"/>
      <c r="E166" s="53"/>
      <c r="F166" s="55"/>
      <c r="G166" s="55"/>
      <c r="H166" s="55"/>
      <c r="I166" s="55"/>
      <c r="J166" s="55"/>
      <c r="K166" s="55"/>
      <c r="L166" s="83"/>
      <c r="M166" s="83"/>
      <c r="N166" s="83"/>
      <c r="O166" s="83"/>
      <c r="P166" s="83"/>
      <c r="Q166" s="55"/>
      <c r="R166" s="83"/>
      <c r="S166" s="83"/>
      <c r="T166" s="83"/>
      <c r="U166" s="83"/>
      <c r="V166" s="83"/>
      <c r="W166" s="83"/>
      <c r="X166" s="83"/>
    </row>
    <row r="167" spans="1:24">
      <c r="A167" s="107"/>
      <c r="B167" s="83"/>
      <c r="C167" s="82"/>
      <c r="D167" s="82"/>
      <c r="E167" s="82"/>
      <c r="F167" s="82"/>
      <c r="G167" s="82"/>
      <c r="H167" s="82"/>
      <c r="I167" s="82"/>
      <c r="J167" s="82"/>
      <c r="K167" s="82"/>
      <c r="L167" s="83"/>
      <c r="M167" s="83"/>
      <c r="N167" s="83"/>
      <c r="O167" s="83"/>
      <c r="P167" s="83"/>
      <c r="Q167" s="82"/>
      <c r="R167" s="83"/>
      <c r="S167" s="83"/>
      <c r="T167" s="83"/>
      <c r="U167" s="83"/>
      <c r="V167" s="83"/>
      <c r="W167" s="83"/>
      <c r="X167" s="83"/>
    </row>
    <row r="168" spans="1:24">
      <c r="A168" s="107"/>
      <c r="B168" s="108"/>
      <c r="C168" s="82"/>
      <c r="D168" s="82"/>
      <c r="E168" s="82"/>
      <c r="F168" s="82"/>
      <c r="G168" s="82"/>
      <c r="H168" s="82"/>
      <c r="I168" s="82"/>
      <c r="J168" s="82"/>
      <c r="K168" s="82"/>
      <c r="L168" s="83"/>
      <c r="M168" s="83"/>
      <c r="N168" s="83"/>
      <c r="O168" s="83"/>
      <c r="P168" s="83"/>
      <c r="Q168" s="82"/>
      <c r="R168" s="83"/>
      <c r="S168" s="83"/>
      <c r="T168" s="83"/>
      <c r="U168" s="83"/>
      <c r="V168" s="83"/>
      <c r="W168" s="83"/>
      <c r="X168" s="83"/>
    </row>
    <row r="169" spans="1:24">
      <c r="A169" s="107"/>
      <c r="B169" s="108"/>
      <c r="C169" s="82"/>
      <c r="D169" s="82"/>
      <c r="E169" s="82"/>
      <c r="F169" s="82"/>
      <c r="G169" s="82"/>
      <c r="H169" s="82"/>
      <c r="I169" s="82"/>
      <c r="J169" s="82"/>
      <c r="K169" s="82"/>
      <c r="L169" s="83"/>
      <c r="M169" s="83"/>
      <c r="N169" s="83"/>
      <c r="O169" s="83"/>
      <c r="P169" s="83"/>
      <c r="Q169" s="82"/>
      <c r="R169" s="83"/>
      <c r="S169" s="83"/>
      <c r="T169" s="83"/>
      <c r="U169" s="83"/>
      <c r="V169" s="83"/>
      <c r="W169" s="83"/>
      <c r="X169" s="83"/>
    </row>
    <row r="170" spans="1:24">
      <c r="A170" s="107"/>
      <c r="B170" s="108"/>
      <c r="C170" s="82"/>
      <c r="D170" s="82"/>
      <c r="E170" s="82"/>
      <c r="F170" s="82"/>
      <c r="G170" s="82"/>
      <c r="H170" s="82"/>
      <c r="I170" s="82"/>
      <c r="J170" s="82"/>
      <c r="K170" s="82"/>
      <c r="L170" s="83"/>
      <c r="M170" s="83"/>
      <c r="N170" s="83"/>
      <c r="O170" s="83"/>
      <c r="P170" s="83"/>
      <c r="Q170" s="82"/>
      <c r="R170" s="83"/>
      <c r="S170" s="83"/>
      <c r="T170" s="83"/>
      <c r="U170" s="83"/>
      <c r="V170" s="83"/>
      <c r="W170" s="83"/>
      <c r="X170" s="83"/>
    </row>
    <row r="171" spans="1:24">
      <c r="A171" s="107"/>
      <c r="B171" s="108"/>
      <c r="C171" s="82"/>
      <c r="D171" s="82"/>
      <c r="E171" s="82"/>
      <c r="F171" s="82"/>
      <c r="G171" s="82"/>
      <c r="H171" s="82"/>
      <c r="I171" s="82"/>
      <c r="J171" s="82"/>
      <c r="K171" s="82"/>
      <c r="L171" s="83"/>
      <c r="M171" s="83"/>
      <c r="N171" s="83"/>
      <c r="O171" s="83"/>
      <c r="P171" s="83"/>
      <c r="Q171" s="82"/>
      <c r="R171" s="83"/>
      <c r="S171" s="83"/>
      <c r="T171" s="83"/>
      <c r="U171" s="83"/>
      <c r="V171" s="83"/>
      <c r="W171" s="83"/>
      <c r="X171" s="83"/>
    </row>
    <row r="172" spans="1:24">
      <c r="A172" s="107"/>
      <c r="B172" s="108"/>
      <c r="C172" s="82"/>
      <c r="D172" s="82"/>
      <c r="E172" s="82"/>
      <c r="F172" s="82"/>
      <c r="G172" s="82"/>
      <c r="H172" s="82"/>
      <c r="I172" s="82"/>
      <c r="J172" s="82"/>
      <c r="K172" s="82"/>
      <c r="L172" s="83"/>
      <c r="M172" s="83"/>
      <c r="N172" s="83"/>
      <c r="O172" s="83"/>
      <c r="P172" s="83"/>
      <c r="Q172" s="82"/>
      <c r="R172" s="83"/>
      <c r="S172" s="83"/>
      <c r="T172" s="83"/>
      <c r="U172" s="83"/>
      <c r="V172" s="83"/>
      <c r="W172" s="83"/>
      <c r="X172" s="83"/>
    </row>
    <row r="173" spans="1:24">
      <c r="A173" s="107"/>
      <c r="B173" s="83"/>
      <c r="C173" s="54"/>
      <c r="D173" s="54"/>
      <c r="E173" s="54"/>
      <c r="F173" s="54"/>
      <c r="G173" s="54"/>
      <c r="H173" s="54"/>
      <c r="I173" s="54"/>
      <c r="J173" s="54"/>
      <c r="K173" s="54"/>
      <c r="L173" s="83"/>
      <c r="M173" s="83"/>
      <c r="N173" s="83"/>
      <c r="O173" s="83"/>
      <c r="P173" s="83"/>
      <c r="Q173" s="54"/>
      <c r="R173" s="83"/>
      <c r="S173" s="83"/>
      <c r="T173" s="83"/>
      <c r="U173" s="83"/>
      <c r="V173" s="83"/>
      <c r="W173" s="83"/>
      <c r="X173" s="83"/>
    </row>
    <row r="174" spans="1:24">
      <c r="A174" s="107"/>
      <c r="B174" s="83"/>
      <c r="C174" s="82"/>
      <c r="D174" s="82"/>
      <c r="E174" s="82"/>
      <c r="F174" s="82"/>
      <c r="G174" s="82"/>
      <c r="H174" s="82"/>
      <c r="I174" s="82"/>
      <c r="J174" s="82"/>
      <c r="K174" s="82"/>
      <c r="L174" s="83"/>
      <c r="M174" s="83"/>
      <c r="N174" s="83"/>
      <c r="O174" s="83"/>
      <c r="P174" s="83"/>
      <c r="Q174" s="82"/>
      <c r="R174" s="83"/>
      <c r="S174" s="83"/>
      <c r="T174" s="83"/>
      <c r="U174" s="83"/>
      <c r="V174" s="83"/>
      <c r="W174" s="83"/>
      <c r="X174" s="83"/>
    </row>
    <row r="175" spans="1:24">
      <c r="A175" s="107"/>
      <c r="B175" s="109"/>
      <c r="C175" s="54"/>
      <c r="D175" s="54"/>
      <c r="E175" s="54"/>
      <c r="F175" s="54"/>
      <c r="G175" s="54"/>
      <c r="H175" s="54"/>
      <c r="I175" s="54"/>
      <c r="J175" s="54"/>
      <c r="K175" s="54"/>
      <c r="L175" s="83"/>
      <c r="M175" s="83"/>
      <c r="N175" s="83"/>
      <c r="O175" s="83"/>
      <c r="P175" s="83"/>
      <c r="Q175" s="54"/>
      <c r="R175" s="83"/>
      <c r="S175" s="83"/>
      <c r="T175" s="83"/>
      <c r="U175" s="83"/>
      <c r="V175" s="83"/>
      <c r="W175" s="83"/>
      <c r="X175" s="83"/>
    </row>
    <row r="176" spans="1:24">
      <c r="A176" s="107"/>
      <c r="B176" s="109"/>
      <c r="C176" s="83"/>
      <c r="D176" s="83"/>
      <c r="E176" s="83"/>
      <c r="F176" s="83"/>
      <c r="G176" s="83"/>
      <c r="H176" s="83"/>
      <c r="I176" s="83"/>
      <c r="J176" s="83"/>
      <c r="K176" s="83"/>
      <c r="L176" s="83"/>
      <c r="M176" s="83"/>
      <c r="N176" s="83"/>
      <c r="O176" s="83"/>
      <c r="P176" s="83"/>
      <c r="Q176" s="83"/>
      <c r="R176" s="83"/>
      <c r="S176" s="83"/>
      <c r="T176" s="83"/>
      <c r="U176" s="83"/>
      <c r="V176" s="83"/>
      <c r="W176" s="83"/>
      <c r="X176" s="83"/>
    </row>
    <row r="177" spans="1:24">
      <c r="A177" s="107"/>
      <c r="B177" s="109"/>
      <c r="C177" s="83"/>
      <c r="D177" s="83"/>
      <c r="E177" s="83"/>
      <c r="F177" s="83"/>
      <c r="G177" s="83"/>
      <c r="H177" s="83"/>
      <c r="I177" s="83"/>
      <c r="J177" s="83"/>
      <c r="K177" s="83"/>
      <c r="L177" s="83"/>
      <c r="M177" s="83"/>
      <c r="N177" s="83"/>
      <c r="O177" s="83"/>
      <c r="P177" s="83"/>
      <c r="Q177" s="83"/>
      <c r="R177" s="83"/>
      <c r="S177" s="83"/>
      <c r="T177" s="83"/>
      <c r="U177" s="83"/>
      <c r="V177" s="83"/>
      <c r="W177" s="83"/>
      <c r="X177" s="83"/>
    </row>
    <row r="178" spans="1:24">
      <c r="T178" s="83"/>
      <c r="U178" s="83"/>
      <c r="V178" s="83"/>
      <c r="W178" s="83"/>
      <c r="X178" s="83"/>
    </row>
    <row r="179" spans="1:24">
      <c r="T179" s="83"/>
      <c r="U179" s="83"/>
      <c r="V179" s="83"/>
      <c r="W179" s="83"/>
      <c r="X179" s="83"/>
    </row>
    <row r="180" spans="1:24">
      <c r="T180" s="83"/>
      <c r="U180" s="83"/>
      <c r="V180" s="83"/>
      <c r="W180" s="83"/>
      <c r="X180" s="83"/>
    </row>
    <row r="181" spans="1:24">
      <c r="T181" s="83"/>
      <c r="U181" s="83"/>
      <c r="V181" s="83"/>
      <c r="W181" s="83"/>
      <c r="X181" s="83"/>
    </row>
    <row r="182" spans="1:24">
      <c r="T182" s="83"/>
      <c r="U182" s="83"/>
      <c r="V182" s="83"/>
      <c r="W182" s="83"/>
      <c r="X182" s="83"/>
    </row>
    <row r="183" spans="1:24">
      <c r="T183" s="83"/>
      <c r="U183" s="83"/>
      <c r="V183" s="83"/>
      <c r="W183" s="83"/>
      <c r="X183" s="83"/>
    </row>
  </sheetData>
  <mergeCells count="42">
    <mergeCell ref="S108:S109"/>
    <mergeCell ref="U108:U109"/>
    <mergeCell ref="V108:V109"/>
    <mergeCell ref="W108:W109"/>
    <mergeCell ref="X108:X109"/>
    <mergeCell ref="T98:AC98"/>
    <mergeCell ref="G21:G23"/>
    <mergeCell ref="I21:I23"/>
    <mergeCell ref="J21:J23"/>
    <mergeCell ref="K21:K23"/>
    <mergeCell ref="L21:L23"/>
    <mergeCell ref="M21:M23"/>
    <mergeCell ref="N21:N23"/>
    <mergeCell ref="O21:O23"/>
    <mergeCell ref="D21:D23"/>
    <mergeCell ref="E21:E23"/>
    <mergeCell ref="F21:F23"/>
    <mergeCell ref="B10:B11"/>
    <mergeCell ref="T47:AC47"/>
    <mergeCell ref="D10:D11"/>
    <mergeCell ref="E10:E11"/>
    <mergeCell ref="F10:F11"/>
    <mergeCell ref="G10:G11"/>
    <mergeCell ref="H10:H11"/>
    <mergeCell ref="I10:I11"/>
    <mergeCell ref="J10:J11"/>
    <mergeCell ref="K10:K11"/>
    <mergeCell ref="L10:L11"/>
    <mergeCell ref="M10:M11"/>
    <mergeCell ref="N10:N11"/>
    <mergeCell ref="O10:O11"/>
    <mergeCell ref="P10:P11"/>
    <mergeCell ref="T1:AC1"/>
    <mergeCell ref="U2:W2"/>
    <mergeCell ref="X2:Z2"/>
    <mergeCell ref="AA2:AC2"/>
    <mergeCell ref="T57:AC57"/>
    <mergeCell ref="T81:W82"/>
    <mergeCell ref="X81:X82"/>
    <mergeCell ref="T84:AC84"/>
    <mergeCell ref="T85:X85"/>
    <mergeCell ref="Z85:AD85"/>
  </mergeCells>
  <conditionalFormatting sqref="I31:N51 I62:O67 I69:N69 I72:N72 I74:N87 I70:O71 I54:N58 I60:N60 I52:O52">
    <cfRule type="cellIs" dxfId="13" priority="4" operator="greaterThan">
      <formula>0</formula>
    </cfRule>
  </conditionalFormatting>
  <conditionalFormatting sqref="C92:C113">
    <cfRule type="cellIs" dxfId="12" priority="3" operator="equal">
      <formula>1</formula>
    </cfRule>
  </conditionalFormatting>
  <conditionalFormatting sqref="C132:C143">
    <cfRule type="cellIs" dxfId="11" priority="2" operator="equal">
      <formula>1</formula>
    </cfRule>
  </conditionalFormatting>
  <conditionalFormatting sqref="D76:F85">
    <cfRule type="cellIs" dxfId="10" priority="1" operator="greaterThan">
      <formula>0</formula>
    </cfRule>
  </conditionalFormatting>
  <pageMargins left="0" right="0" top="0" bottom="0" header="0" footer="0"/>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O186"/>
  <sheetViews>
    <sheetView topLeftCell="Q64" zoomScale="80" zoomScaleNormal="80" workbookViewId="0">
      <selection activeCell="AC47" sqref="Y47:AC47"/>
    </sheetView>
  </sheetViews>
  <sheetFormatPr baseColWidth="10" defaultColWidth="11" defaultRowHeight="15"/>
  <cols>
    <col min="1" max="1" width="5.625" style="89" customWidth="1"/>
    <col min="2" max="2" width="22.125" style="89" customWidth="1"/>
    <col min="3" max="3" width="44.125" style="89" customWidth="1"/>
    <col min="4" max="7" width="14.625" style="89" customWidth="1"/>
    <col min="8" max="8" width="8.625" style="89" customWidth="1"/>
    <col min="9" max="9" width="13.125" style="89" bestFit="1" customWidth="1"/>
    <col min="10" max="16" width="10.875" style="89" customWidth="1"/>
    <col min="17" max="17" width="5.875" style="89" customWidth="1"/>
    <col min="18" max="19" width="8.125" style="89" customWidth="1"/>
    <col min="20" max="20" width="42.625" style="89" customWidth="1"/>
    <col min="21" max="22" width="10.875" style="89" customWidth="1"/>
    <col min="23" max="23" width="13.125" style="89" customWidth="1"/>
    <col min="24" max="25" width="10.875" style="89" customWidth="1"/>
    <col min="26" max="26" width="11.125" style="89" customWidth="1"/>
    <col min="27" max="27" width="15.125" style="89" customWidth="1"/>
    <col min="28" max="32" width="10.875" style="89" customWidth="1"/>
    <col min="33" max="33" width="12.125" style="89" customWidth="1"/>
    <col min="34" max="34" width="9.875" style="89" customWidth="1"/>
    <col min="35" max="38" width="8.125" style="89" customWidth="1"/>
    <col min="39" max="40" width="12.125" style="89" customWidth="1"/>
    <col min="41" max="46" width="9.875" style="89" customWidth="1"/>
    <col min="47" max="53" width="10.875" style="89" customWidth="1"/>
    <col min="54" max="54" width="12.125" style="89" customWidth="1"/>
    <col min="55" max="61" width="8.875" style="89" customWidth="1"/>
    <col min="62" max="69" width="11.875" style="89" customWidth="1"/>
    <col min="70" max="77" width="8.875" style="89" customWidth="1"/>
    <col min="78" max="78" width="5.875" style="89" customWidth="1"/>
    <col min="79" max="85" width="8.125" style="89" customWidth="1"/>
    <col min="86" max="93" width="8.875" style="89" customWidth="1"/>
    <col min="94" max="101" width="9.875" style="89" customWidth="1"/>
    <col min="102" max="109" width="11.875" style="89" customWidth="1"/>
    <col min="110" max="125" width="9.875" style="89" customWidth="1"/>
    <col min="126" max="133" width="10.875" style="89" customWidth="1"/>
    <col min="134" max="141" width="9.875" style="89" customWidth="1"/>
    <col min="142" max="148" width="8.875" style="89" customWidth="1"/>
    <col min="149" max="149" width="9.125" style="89" customWidth="1"/>
    <col min="150" max="157" width="9.875" style="89" customWidth="1"/>
    <col min="158" max="165" width="10.875" style="89" customWidth="1"/>
    <col min="166" max="166" width="6.875" style="89" customWidth="1"/>
    <col min="167" max="172" width="8.125" style="89" customWidth="1"/>
    <col min="173" max="173" width="9.125" style="89" customWidth="1"/>
    <col min="174" max="181" width="11.875" style="89" customWidth="1"/>
    <col min="182" max="189" width="10.875" style="89" customWidth="1"/>
    <col min="190" max="197" width="9.875" style="89" customWidth="1"/>
    <col min="198" max="221" width="10.875" style="89" customWidth="1"/>
    <col min="222" max="222" width="12.125" style="89" customWidth="1"/>
    <col min="223" max="229" width="10.875" style="89" customWidth="1"/>
    <col min="230" max="247" width="9.875" style="89" customWidth="1"/>
    <col min="248" max="265" width="11.875" style="89" customWidth="1"/>
    <col min="266" max="274" width="10.875" style="89" customWidth="1"/>
    <col min="275" max="283" width="11.875" style="89" customWidth="1"/>
    <col min="284" max="301" width="10.875" style="89" customWidth="1"/>
    <col min="302" max="328" width="11.875" style="89" customWidth="1"/>
    <col min="329" max="329" width="12.125" style="89" customWidth="1"/>
    <col min="330" max="336" width="11.875" style="89" customWidth="1"/>
    <col min="337" max="416" width="10.875" style="89" customWidth="1"/>
    <col min="417" max="455" width="11.875" style="89" customWidth="1"/>
    <col min="456" max="456" width="11.875" style="89" bestFit="1" customWidth="1"/>
    <col min="457" max="457" width="12.125" style="89" bestFit="1" customWidth="1"/>
    <col min="458" max="16384" width="11" style="89"/>
  </cols>
  <sheetData>
    <row r="1" spans="1:457">
      <c r="B1" s="90" t="s">
        <v>573</v>
      </c>
      <c r="D1" s="89">
        <v>1</v>
      </c>
      <c r="E1" s="89">
        <f>D1+1</f>
        <v>2</v>
      </c>
      <c r="F1" s="89">
        <f t="shared" ref="F1:N1" si="0">E1+1</f>
        <v>3</v>
      </c>
      <c r="I1" s="89">
        <f>G1+1</f>
        <v>1</v>
      </c>
      <c r="J1" s="89">
        <f t="shared" si="0"/>
        <v>2</v>
      </c>
      <c r="K1" s="89">
        <f t="shared" si="0"/>
        <v>3</v>
      </c>
      <c r="L1" s="89">
        <f t="shared" si="0"/>
        <v>4</v>
      </c>
      <c r="M1" s="89">
        <f t="shared" si="0"/>
        <v>5</v>
      </c>
      <c r="N1" s="89">
        <f t="shared" si="0"/>
        <v>6</v>
      </c>
    </row>
    <row r="2" spans="1:457" ht="30">
      <c r="B2" s="224" t="s">
        <v>391</v>
      </c>
      <c r="C2" s="224" t="s">
        <v>389</v>
      </c>
      <c r="D2" s="220" t="s">
        <v>383</v>
      </c>
      <c r="E2" s="220" t="s">
        <v>384</v>
      </c>
      <c r="F2" s="221" t="s">
        <v>172</v>
      </c>
      <c r="G2" s="221" t="s">
        <v>560</v>
      </c>
      <c r="H2" s="149"/>
      <c r="I2" s="149" t="s">
        <v>386</v>
      </c>
      <c r="J2" s="149" t="s">
        <v>385</v>
      </c>
      <c r="K2" s="149" t="s">
        <v>219</v>
      </c>
      <c r="L2" s="149" t="s">
        <v>11</v>
      </c>
      <c r="M2" s="149" t="s">
        <v>218</v>
      </c>
      <c r="N2" s="149" t="s">
        <v>171</v>
      </c>
      <c r="O2" s="149" t="s">
        <v>187</v>
      </c>
      <c r="P2" s="224" t="s">
        <v>7</v>
      </c>
      <c r="Q2" s="92"/>
      <c r="R2" s="92"/>
      <c r="S2" s="92"/>
      <c r="T2" s="713" t="s">
        <v>627</v>
      </c>
      <c r="U2" s="713"/>
      <c r="V2" s="713"/>
      <c r="W2" s="713"/>
      <c r="X2" s="713"/>
      <c r="Y2" s="713"/>
      <c r="Z2" s="713"/>
      <c r="AA2" s="713"/>
      <c r="AB2" s="713"/>
      <c r="AC2" s="713"/>
      <c r="AD2" s="92"/>
      <c r="AE2" s="92"/>
      <c r="AF2" s="713"/>
      <c r="AG2" s="713"/>
      <c r="AH2" s="713"/>
      <c r="AI2" s="713"/>
      <c r="AJ2" s="713"/>
      <c r="AK2" s="713"/>
      <c r="AL2" s="713"/>
      <c r="AM2" s="713"/>
      <c r="AN2" s="713"/>
      <c r="AO2" s="713"/>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92"/>
      <c r="FC2" s="92"/>
      <c r="FD2" s="92"/>
      <c r="FE2" s="92"/>
      <c r="FF2" s="92"/>
      <c r="FG2" s="92"/>
      <c r="FH2" s="92"/>
      <c r="FI2" s="92"/>
      <c r="FJ2" s="92"/>
      <c r="FK2" s="92"/>
      <c r="FL2" s="92"/>
      <c r="FM2" s="92"/>
      <c r="FN2" s="92"/>
      <c r="FO2" s="92"/>
      <c r="FP2" s="92"/>
      <c r="FQ2" s="92"/>
      <c r="FR2" s="92"/>
      <c r="FS2" s="92"/>
      <c r="FT2" s="92"/>
      <c r="FU2" s="92"/>
      <c r="FV2" s="92"/>
      <c r="FW2" s="92"/>
      <c r="FX2" s="92"/>
      <c r="FY2" s="92"/>
      <c r="FZ2" s="92"/>
      <c r="GA2" s="92"/>
      <c r="GB2" s="92"/>
      <c r="GC2" s="92"/>
      <c r="GD2" s="92"/>
      <c r="GE2" s="92"/>
      <c r="GF2" s="92"/>
      <c r="GG2" s="92"/>
      <c r="GH2" s="92"/>
      <c r="GI2" s="92"/>
      <c r="GJ2" s="92"/>
      <c r="GK2" s="92"/>
      <c r="GL2" s="92"/>
      <c r="GM2" s="92"/>
      <c r="GN2" s="92"/>
      <c r="GO2" s="92"/>
      <c r="GP2" s="92"/>
      <c r="GQ2" s="92"/>
      <c r="GR2" s="92"/>
      <c r="GS2" s="92"/>
      <c r="GT2" s="92"/>
      <c r="GU2" s="92"/>
      <c r="GV2" s="92"/>
      <c r="GW2" s="92"/>
      <c r="GX2" s="92"/>
      <c r="GY2" s="92"/>
      <c r="GZ2" s="92"/>
      <c r="HA2" s="92"/>
      <c r="HB2" s="92"/>
      <c r="HC2" s="92"/>
      <c r="HD2" s="92"/>
      <c r="HE2" s="92"/>
      <c r="HF2" s="92"/>
      <c r="HG2" s="92"/>
      <c r="HH2" s="92"/>
      <c r="HI2" s="92"/>
      <c r="HJ2" s="92"/>
      <c r="HK2" s="92"/>
      <c r="HL2" s="92"/>
      <c r="HM2" s="92"/>
      <c r="HN2" s="92"/>
      <c r="HO2" s="92"/>
      <c r="HP2" s="92"/>
      <c r="HQ2" s="92"/>
      <c r="HR2" s="92"/>
      <c r="HS2" s="92"/>
      <c r="HT2" s="92"/>
      <c r="HU2" s="92"/>
      <c r="HV2" s="92"/>
      <c r="HW2" s="92"/>
      <c r="HX2" s="92"/>
      <c r="HY2" s="92"/>
      <c r="HZ2" s="92"/>
      <c r="IA2" s="92"/>
      <c r="IB2" s="92"/>
      <c r="IC2" s="92"/>
      <c r="ID2" s="92"/>
      <c r="IE2" s="92"/>
      <c r="IF2" s="92"/>
      <c r="IG2" s="92"/>
      <c r="IH2" s="92"/>
      <c r="II2" s="92"/>
      <c r="IJ2" s="92"/>
      <c r="IK2" s="92"/>
      <c r="IL2" s="92"/>
      <c r="IM2" s="92"/>
      <c r="IN2" s="92"/>
      <c r="IO2" s="92"/>
      <c r="IP2" s="92"/>
      <c r="IQ2" s="92"/>
      <c r="IR2" s="92"/>
      <c r="IS2" s="92"/>
      <c r="IT2" s="92"/>
      <c r="IU2" s="92"/>
      <c r="IV2" s="92"/>
      <c r="IW2" s="92"/>
      <c r="IX2" s="92"/>
      <c r="IY2" s="92"/>
      <c r="IZ2" s="92"/>
      <c r="JA2" s="92"/>
      <c r="JB2" s="92"/>
      <c r="JC2" s="92"/>
      <c r="JD2" s="92"/>
      <c r="JE2" s="92"/>
      <c r="JF2" s="92"/>
      <c r="JG2" s="92"/>
      <c r="JH2" s="92"/>
      <c r="JI2" s="92"/>
      <c r="JJ2" s="92"/>
      <c r="JK2" s="92"/>
      <c r="JL2" s="92"/>
      <c r="JM2" s="92"/>
      <c r="JN2" s="92"/>
      <c r="JO2" s="92"/>
      <c r="JP2" s="92"/>
      <c r="JQ2" s="92"/>
      <c r="JR2" s="92"/>
      <c r="JS2" s="92"/>
      <c r="JT2" s="92"/>
      <c r="JU2" s="92"/>
      <c r="JV2" s="92"/>
      <c r="JW2" s="92"/>
      <c r="JX2" s="92"/>
      <c r="JY2" s="92"/>
      <c r="JZ2" s="92"/>
      <c r="KA2" s="92"/>
      <c r="KB2" s="92"/>
      <c r="KC2" s="92"/>
      <c r="KD2" s="92"/>
      <c r="KE2" s="92"/>
      <c r="KF2" s="92"/>
      <c r="KG2" s="92"/>
      <c r="KH2" s="92"/>
      <c r="KI2" s="92"/>
      <c r="KJ2" s="92"/>
      <c r="KK2" s="92"/>
      <c r="KL2" s="92"/>
      <c r="KM2" s="92"/>
      <c r="KN2" s="92"/>
      <c r="KO2" s="92"/>
      <c r="KP2" s="92"/>
      <c r="KQ2" s="92"/>
      <c r="KR2" s="92"/>
      <c r="KS2" s="92"/>
      <c r="KT2" s="92"/>
      <c r="KU2" s="92"/>
      <c r="KV2" s="92"/>
      <c r="KW2" s="92"/>
      <c r="KX2" s="92"/>
      <c r="KY2" s="92"/>
      <c r="KZ2" s="92"/>
      <c r="LA2" s="92"/>
      <c r="LB2" s="92"/>
      <c r="LC2" s="92"/>
      <c r="LD2" s="92"/>
      <c r="LE2" s="92"/>
      <c r="LF2" s="92"/>
      <c r="LG2" s="92"/>
      <c r="LH2" s="92"/>
      <c r="LI2" s="92"/>
      <c r="LJ2" s="92"/>
      <c r="LK2" s="92"/>
      <c r="LL2" s="92"/>
      <c r="LM2" s="92"/>
      <c r="LN2" s="92"/>
      <c r="LO2" s="92"/>
      <c r="LP2" s="92"/>
      <c r="LQ2" s="92"/>
      <c r="LR2" s="92"/>
      <c r="LS2" s="92"/>
      <c r="LT2" s="92"/>
      <c r="LU2" s="92"/>
      <c r="LV2" s="92"/>
      <c r="LW2" s="92"/>
      <c r="LX2" s="92"/>
      <c r="LY2" s="92"/>
      <c r="LZ2" s="92"/>
      <c r="MA2" s="92"/>
      <c r="MB2" s="92"/>
      <c r="MC2" s="92"/>
      <c r="MD2" s="92"/>
      <c r="ME2" s="92"/>
      <c r="MF2" s="92"/>
      <c r="MG2" s="92"/>
      <c r="MH2" s="92"/>
      <c r="MI2" s="92"/>
      <c r="MJ2" s="92"/>
      <c r="MK2" s="92"/>
      <c r="ML2" s="92"/>
      <c r="MM2" s="92"/>
      <c r="MN2" s="92"/>
      <c r="MO2" s="92"/>
      <c r="MP2" s="92"/>
      <c r="MQ2" s="92"/>
      <c r="MR2" s="92"/>
      <c r="MS2" s="92"/>
      <c r="MT2" s="92"/>
      <c r="MU2" s="92"/>
      <c r="MV2" s="92"/>
      <c r="MW2" s="92"/>
      <c r="MX2" s="92"/>
      <c r="MY2" s="92"/>
      <c r="MZ2" s="92"/>
      <c r="NA2" s="92"/>
      <c r="NB2" s="92"/>
      <c r="NC2" s="92"/>
      <c r="ND2" s="92"/>
      <c r="NE2" s="92"/>
      <c r="NF2" s="92"/>
      <c r="NG2" s="92"/>
      <c r="NH2" s="92"/>
      <c r="NI2" s="92"/>
      <c r="NJ2" s="92"/>
      <c r="NK2" s="92"/>
      <c r="NL2" s="92"/>
      <c r="NM2" s="92"/>
      <c r="NN2" s="92"/>
      <c r="NO2" s="92"/>
      <c r="NP2" s="92"/>
      <c r="NQ2" s="92"/>
      <c r="NR2" s="92"/>
      <c r="NS2" s="92"/>
      <c r="NT2" s="92"/>
      <c r="NU2" s="92"/>
      <c r="NV2" s="92"/>
      <c r="NW2" s="92"/>
      <c r="NX2" s="92"/>
      <c r="NY2" s="92"/>
      <c r="NZ2" s="92"/>
      <c r="OA2" s="92"/>
      <c r="OB2" s="92"/>
      <c r="OC2" s="92"/>
      <c r="OD2" s="92"/>
      <c r="OE2" s="92"/>
      <c r="OF2" s="92"/>
      <c r="OG2" s="92"/>
      <c r="OH2" s="92"/>
      <c r="OI2" s="92"/>
      <c r="OJ2" s="92"/>
      <c r="OK2" s="92"/>
      <c r="OL2" s="92"/>
      <c r="OM2" s="92"/>
      <c r="ON2" s="92"/>
      <c r="OO2" s="92"/>
      <c r="OP2" s="92"/>
      <c r="OQ2" s="92"/>
      <c r="OR2" s="92"/>
      <c r="OS2" s="92"/>
      <c r="OT2" s="92"/>
      <c r="OU2" s="92"/>
      <c r="OV2" s="92"/>
      <c r="OW2" s="92"/>
      <c r="OX2" s="92"/>
      <c r="OY2" s="92"/>
      <c r="OZ2" s="92"/>
      <c r="PA2" s="92"/>
      <c r="PB2" s="92"/>
      <c r="PC2" s="92"/>
      <c r="PD2" s="92"/>
      <c r="PE2" s="92"/>
      <c r="PF2" s="92"/>
      <c r="PG2" s="92"/>
      <c r="PH2" s="92"/>
      <c r="PI2" s="92"/>
      <c r="PJ2" s="92"/>
      <c r="PK2" s="92"/>
      <c r="PL2" s="92"/>
      <c r="PM2" s="92"/>
      <c r="PN2" s="92"/>
      <c r="PO2" s="92"/>
      <c r="PP2" s="92"/>
      <c r="PQ2" s="92"/>
      <c r="PR2" s="92"/>
      <c r="PS2" s="92"/>
      <c r="PT2" s="92"/>
      <c r="PU2" s="92"/>
      <c r="PV2" s="92"/>
      <c r="PW2" s="92"/>
      <c r="PX2" s="92"/>
      <c r="PY2" s="92"/>
      <c r="PZ2" s="92"/>
      <c r="QA2" s="92"/>
      <c r="QB2" s="92"/>
      <c r="QC2" s="92"/>
      <c r="QD2" s="92"/>
      <c r="QE2" s="92"/>
      <c r="QF2" s="92"/>
      <c r="QG2" s="92"/>
      <c r="QH2" s="92"/>
      <c r="QI2" s="92"/>
      <c r="QJ2" s="92"/>
      <c r="QK2" s="92"/>
      <c r="QL2" s="92"/>
      <c r="QM2" s="92"/>
      <c r="QN2" s="92"/>
      <c r="QO2" s="92"/>
    </row>
    <row r="3" spans="1:457" ht="15.75">
      <c r="A3" s="89">
        <v>1</v>
      </c>
      <c r="B3" s="89" t="s">
        <v>226</v>
      </c>
      <c r="C3" s="101" t="str">
        <f>T5</f>
        <v>Agriculture, livestockand fishing</v>
      </c>
      <c r="D3" s="279">
        <f t="shared" ref="D3:F4" si="1">AA5/U$88</f>
        <v>117.85555327330248</v>
      </c>
      <c r="E3" s="279">
        <f t="shared" si="1"/>
        <v>6.5447287070636406E-2</v>
      </c>
      <c r="F3" s="279">
        <f t="shared" si="1"/>
        <v>35.28284473921137</v>
      </c>
      <c r="G3" s="280">
        <f>SUM(D3:F3)</f>
        <v>153.20384529958449</v>
      </c>
      <c r="H3" s="94"/>
      <c r="I3" s="94"/>
      <c r="J3" s="94"/>
      <c r="K3" s="94"/>
      <c r="L3" s="94"/>
      <c r="M3" s="94"/>
      <c r="N3" s="94"/>
      <c r="P3" s="95">
        <f>SUM(G3,I3:O3)</f>
        <v>153.20384529958449</v>
      </c>
      <c r="Q3" s="92"/>
      <c r="R3" s="92"/>
      <c r="S3" s="92"/>
      <c r="T3" s="138"/>
      <c r="U3" s="707" t="s">
        <v>420</v>
      </c>
      <c r="V3" s="708"/>
      <c r="W3" s="708"/>
      <c r="X3" s="709" t="s">
        <v>536</v>
      </c>
      <c r="Y3" s="710"/>
      <c r="Z3" s="710"/>
      <c r="AA3" s="708" t="s">
        <v>7</v>
      </c>
      <c r="AB3" s="708"/>
      <c r="AC3" s="708"/>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92"/>
      <c r="FC3" s="92"/>
      <c r="FD3" s="92"/>
      <c r="FE3" s="92"/>
      <c r="FF3" s="92"/>
      <c r="FG3" s="92"/>
      <c r="FH3" s="92"/>
      <c r="FI3" s="92"/>
      <c r="FJ3" s="92"/>
      <c r="FK3" s="92"/>
      <c r="FL3" s="92"/>
      <c r="FM3" s="92"/>
      <c r="FN3" s="92"/>
      <c r="FO3" s="92"/>
      <c r="FP3" s="92"/>
      <c r="FQ3" s="92"/>
      <c r="FR3" s="92"/>
      <c r="FS3" s="92"/>
      <c r="FT3" s="92"/>
      <c r="FU3" s="92"/>
      <c r="FV3" s="92"/>
      <c r="FW3" s="92"/>
      <c r="FX3" s="92"/>
      <c r="FY3" s="92"/>
      <c r="FZ3" s="92"/>
      <c r="GA3" s="92"/>
      <c r="GB3" s="92"/>
      <c r="GC3" s="92"/>
      <c r="GD3" s="92"/>
      <c r="GE3" s="92"/>
      <c r="GF3" s="92"/>
      <c r="GG3" s="92"/>
      <c r="GH3" s="92"/>
      <c r="GI3" s="92"/>
      <c r="GJ3" s="92"/>
      <c r="GK3" s="92"/>
      <c r="GL3" s="92"/>
      <c r="GM3" s="92"/>
      <c r="GN3" s="92"/>
      <c r="GO3" s="92"/>
      <c r="GP3" s="92"/>
      <c r="GQ3" s="92"/>
      <c r="GR3" s="92"/>
      <c r="GS3" s="92"/>
      <c r="GT3" s="92"/>
      <c r="GU3" s="92"/>
      <c r="GV3" s="92"/>
      <c r="GW3" s="92"/>
      <c r="GX3" s="92"/>
      <c r="GY3" s="92"/>
      <c r="GZ3" s="92"/>
      <c r="HA3" s="92"/>
      <c r="HB3" s="92"/>
      <c r="HC3" s="92"/>
      <c r="HD3" s="92"/>
      <c r="HE3" s="92"/>
      <c r="HF3" s="92"/>
      <c r="HG3" s="92"/>
      <c r="HH3" s="92"/>
      <c r="HI3" s="92"/>
      <c r="HJ3" s="92"/>
      <c r="HK3" s="92"/>
      <c r="HL3" s="92"/>
      <c r="HM3" s="92"/>
      <c r="HN3" s="92"/>
      <c r="HO3" s="92"/>
      <c r="HP3" s="92"/>
      <c r="HQ3" s="92"/>
      <c r="HR3" s="92"/>
      <c r="HS3" s="92"/>
      <c r="HT3" s="92"/>
      <c r="HU3" s="92"/>
      <c r="HV3" s="92"/>
      <c r="HW3" s="92"/>
      <c r="HX3" s="92"/>
      <c r="HY3" s="92"/>
      <c r="HZ3" s="92"/>
      <c r="IA3" s="92"/>
      <c r="IB3" s="92"/>
      <c r="IC3" s="92"/>
      <c r="ID3" s="92"/>
      <c r="IE3" s="92"/>
      <c r="IF3" s="92"/>
      <c r="IG3" s="92"/>
      <c r="IH3" s="92"/>
      <c r="II3" s="92"/>
      <c r="IJ3" s="92"/>
      <c r="IK3" s="92"/>
      <c r="IL3" s="92"/>
      <c r="IM3" s="92"/>
      <c r="IN3" s="92"/>
      <c r="IO3" s="92"/>
      <c r="IP3" s="92"/>
      <c r="IQ3" s="92"/>
      <c r="IR3" s="92"/>
      <c r="IS3" s="92"/>
      <c r="IT3" s="92"/>
      <c r="IU3" s="92"/>
      <c r="IV3" s="92"/>
      <c r="IW3" s="92"/>
      <c r="IX3" s="92"/>
      <c r="IY3" s="92"/>
      <c r="IZ3" s="92"/>
      <c r="JA3" s="92"/>
      <c r="JB3" s="92"/>
      <c r="JC3" s="92"/>
      <c r="JD3" s="92"/>
      <c r="JE3" s="92"/>
      <c r="JF3" s="92"/>
      <c r="JG3" s="92"/>
      <c r="JH3" s="92"/>
      <c r="JI3" s="92"/>
      <c r="JJ3" s="92"/>
      <c r="JK3" s="92"/>
      <c r="JL3" s="92"/>
      <c r="JM3" s="92"/>
      <c r="JN3" s="92"/>
      <c r="JO3" s="92"/>
      <c r="JP3" s="92"/>
      <c r="JQ3" s="92"/>
      <c r="JR3" s="92"/>
      <c r="JS3" s="92"/>
      <c r="JT3" s="92"/>
      <c r="JU3" s="92"/>
      <c r="JV3" s="92"/>
      <c r="JW3" s="92"/>
      <c r="JX3" s="92"/>
      <c r="JY3" s="92"/>
      <c r="JZ3" s="92"/>
      <c r="KA3" s="92"/>
      <c r="KB3" s="92"/>
      <c r="KC3" s="92"/>
      <c r="KD3" s="92"/>
      <c r="KE3" s="92"/>
      <c r="KF3" s="92"/>
      <c r="KG3" s="92"/>
      <c r="KH3" s="92"/>
      <c r="KI3" s="92"/>
      <c r="KJ3" s="92"/>
      <c r="KK3" s="92"/>
      <c r="KL3" s="92"/>
      <c r="KM3" s="92"/>
      <c r="KN3" s="92"/>
      <c r="KO3" s="92"/>
      <c r="KP3" s="92"/>
      <c r="KQ3" s="92"/>
      <c r="KR3" s="92"/>
      <c r="KS3" s="92"/>
      <c r="KT3" s="92"/>
      <c r="KU3" s="92"/>
      <c r="KV3" s="92"/>
      <c r="KW3" s="92"/>
      <c r="KX3" s="92"/>
      <c r="KY3" s="92"/>
      <c r="KZ3" s="92"/>
      <c r="LA3" s="92"/>
      <c r="LB3" s="92"/>
      <c r="LC3" s="92"/>
      <c r="LD3" s="92"/>
      <c r="LE3" s="92"/>
      <c r="LF3" s="92"/>
      <c r="LG3" s="92"/>
      <c r="LH3" s="92"/>
      <c r="LI3" s="92"/>
      <c r="LJ3" s="92"/>
      <c r="LK3" s="92"/>
      <c r="LL3" s="92"/>
      <c r="LM3" s="92"/>
      <c r="LN3" s="92"/>
      <c r="LO3" s="92"/>
      <c r="LP3" s="92"/>
      <c r="LQ3" s="92"/>
      <c r="LR3" s="92"/>
      <c r="LS3" s="92"/>
      <c r="LT3" s="92"/>
      <c r="LU3" s="92"/>
      <c r="LV3" s="92"/>
      <c r="LW3" s="92"/>
      <c r="LX3" s="92"/>
      <c r="LY3" s="92"/>
      <c r="LZ3" s="92"/>
      <c r="MA3" s="92"/>
      <c r="MB3" s="92"/>
      <c r="MC3" s="92"/>
      <c r="MD3" s="92"/>
      <c r="ME3" s="92"/>
      <c r="MF3" s="92"/>
      <c r="MG3" s="92"/>
      <c r="MH3" s="92"/>
      <c r="MI3" s="92"/>
      <c r="MJ3" s="92"/>
      <c r="MK3" s="92"/>
      <c r="ML3" s="92"/>
      <c r="MM3" s="92"/>
      <c r="MN3" s="92"/>
      <c r="MO3" s="92"/>
      <c r="MP3" s="92"/>
      <c r="MQ3" s="92"/>
      <c r="MR3" s="92"/>
      <c r="MS3" s="92"/>
      <c r="MT3" s="92"/>
      <c r="MU3" s="92"/>
      <c r="MV3" s="92"/>
      <c r="MW3" s="92"/>
      <c r="MX3" s="92"/>
      <c r="MY3" s="92"/>
      <c r="MZ3" s="92"/>
      <c r="NA3" s="92"/>
      <c r="NB3" s="92"/>
      <c r="NC3" s="92"/>
      <c r="ND3" s="92"/>
      <c r="NE3" s="92"/>
      <c r="NF3" s="92"/>
      <c r="NG3" s="92"/>
      <c r="NH3" s="92"/>
      <c r="NI3" s="92"/>
      <c r="NJ3" s="92"/>
      <c r="NK3" s="92"/>
      <c r="NL3" s="92"/>
      <c r="NM3" s="92"/>
      <c r="NN3" s="92"/>
      <c r="NO3" s="92"/>
      <c r="NP3" s="92"/>
      <c r="NQ3" s="92"/>
      <c r="NR3" s="92"/>
      <c r="NS3" s="92"/>
      <c r="NT3" s="92"/>
      <c r="NU3" s="92"/>
      <c r="NV3" s="92"/>
      <c r="NW3" s="92"/>
      <c r="NX3" s="92"/>
      <c r="NY3" s="92"/>
      <c r="NZ3" s="92"/>
      <c r="OA3" s="92"/>
      <c r="OB3" s="92"/>
      <c r="OC3" s="92"/>
      <c r="OD3" s="92"/>
      <c r="OE3" s="92"/>
      <c r="OF3" s="92"/>
      <c r="OG3" s="92"/>
      <c r="OH3" s="92"/>
      <c r="OI3" s="92"/>
      <c r="OJ3" s="92"/>
      <c r="OK3" s="92"/>
      <c r="OL3" s="92"/>
      <c r="OM3" s="92"/>
      <c r="ON3" s="92"/>
      <c r="OO3" s="92"/>
      <c r="OP3" s="92"/>
      <c r="OQ3" s="92"/>
      <c r="OR3" s="92"/>
      <c r="OS3" s="92"/>
      <c r="OT3" s="92"/>
      <c r="OU3" s="92"/>
      <c r="OV3" s="92"/>
      <c r="OW3" s="92"/>
      <c r="OX3" s="92"/>
      <c r="OY3" s="92"/>
      <c r="OZ3" s="92"/>
      <c r="PA3" s="92"/>
      <c r="PB3" s="92"/>
      <c r="PC3" s="92"/>
      <c r="PD3" s="92"/>
      <c r="PE3" s="92"/>
      <c r="PF3" s="92"/>
      <c r="PG3" s="92"/>
      <c r="PH3" s="92"/>
      <c r="PI3" s="92"/>
      <c r="PJ3" s="92"/>
      <c r="PK3" s="92"/>
      <c r="PL3" s="92"/>
      <c r="PM3" s="92"/>
      <c r="PN3" s="92"/>
      <c r="PO3" s="92"/>
      <c r="PP3" s="92"/>
      <c r="PQ3" s="92"/>
      <c r="PR3" s="92"/>
      <c r="PS3" s="92"/>
      <c r="PT3" s="92"/>
      <c r="PU3" s="92"/>
      <c r="PV3" s="92"/>
      <c r="PW3" s="92"/>
      <c r="PX3" s="92"/>
      <c r="PY3" s="92"/>
      <c r="PZ3" s="92"/>
      <c r="QA3" s="92"/>
      <c r="QB3" s="92"/>
      <c r="QC3" s="92"/>
      <c r="QD3" s="92"/>
      <c r="QE3" s="92"/>
      <c r="QF3" s="92"/>
      <c r="QG3" s="92"/>
      <c r="QH3" s="92"/>
      <c r="QI3" s="92"/>
      <c r="QJ3" s="92"/>
      <c r="QK3" s="92"/>
      <c r="QL3" s="92"/>
      <c r="QM3" s="92"/>
      <c r="QN3" s="92"/>
      <c r="QO3" s="92"/>
    </row>
    <row r="4" spans="1:457" ht="15.75">
      <c r="A4" s="89">
        <v>2</v>
      </c>
      <c r="B4" s="89" t="s">
        <v>226</v>
      </c>
      <c r="C4" s="101" t="str">
        <f t="shared" ref="C4:C25" si="2">T6</f>
        <v>Forestry</v>
      </c>
      <c r="D4" s="279">
        <f t="shared" si="1"/>
        <v>3.7315797266975155</v>
      </c>
      <c r="E4" s="279">
        <f t="shared" si="1"/>
        <v>0</v>
      </c>
      <c r="F4" s="279">
        <f t="shared" si="1"/>
        <v>1.7451552607886325</v>
      </c>
      <c r="G4" s="280">
        <f>SUM(D4:F4)</f>
        <v>5.4767349874861484</v>
      </c>
      <c r="H4" s="94"/>
      <c r="I4" s="94"/>
      <c r="J4" s="94"/>
      <c r="K4" s="94"/>
      <c r="L4" s="94"/>
      <c r="M4" s="94"/>
      <c r="N4" s="94"/>
      <c r="P4" s="95">
        <f t="shared" ref="P4:P31" si="3">SUM(G4,I4:O4)</f>
        <v>5.4767349874861484</v>
      </c>
      <c r="Q4" s="92"/>
      <c r="R4" s="92"/>
      <c r="S4" s="92"/>
      <c r="T4" s="67"/>
      <c r="U4" s="53" t="s">
        <v>419</v>
      </c>
      <c r="V4" s="53" t="s">
        <v>384</v>
      </c>
      <c r="W4" s="53" t="s">
        <v>172</v>
      </c>
      <c r="X4" s="53" t="s">
        <v>419</v>
      </c>
      <c r="Y4" s="53" t="s">
        <v>384</v>
      </c>
      <c r="Z4" s="53" t="s">
        <v>172</v>
      </c>
      <c r="AA4" s="53" t="s">
        <v>419</v>
      </c>
      <c r="AB4" s="53" t="s">
        <v>384</v>
      </c>
      <c r="AC4" s="53" t="s">
        <v>172</v>
      </c>
      <c r="AD4" s="98" t="s">
        <v>7</v>
      </c>
      <c r="AF4" s="53"/>
      <c r="AG4" s="53"/>
      <c r="AH4" s="53"/>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92"/>
      <c r="CD4" s="92"/>
      <c r="CE4" s="92"/>
      <c r="CF4" s="92"/>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92"/>
      <c r="FC4" s="92"/>
      <c r="FD4" s="92"/>
      <c r="FE4" s="92"/>
      <c r="FF4" s="92"/>
      <c r="FG4" s="92"/>
      <c r="FH4" s="92"/>
      <c r="FI4" s="92"/>
      <c r="FJ4" s="92"/>
      <c r="FK4" s="92"/>
      <c r="FL4" s="92"/>
      <c r="FM4" s="92"/>
      <c r="FN4" s="92"/>
      <c r="FO4" s="92"/>
      <c r="FP4" s="92"/>
      <c r="FQ4" s="92"/>
      <c r="FR4" s="92"/>
      <c r="FS4" s="92"/>
      <c r="FT4" s="92"/>
      <c r="FU4" s="92"/>
      <c r="FV4" s="92"/>
      <c r="FW4" s="92"/>
      <c r="FX4" s="92"/>
      <c r="FY4" s="92"/>
      <c r="FZ4" s="92"/>
      <c r="GA4" s="92"/>
      <c r="GB4" s="92"/>
      <c r="GC4" s="92"/>
      <c r="GD4" s="92"/>
      <c r="GE4" s="92"/>
      <c r="GF4" s="92"/>
      <c r="GG4" s="92"/>
      <c r="GH4" s="92"/>
      <c r="GI4" s="92"/>
      <c r="GJ4" s="92"/>
      <c r="GK4" s="92"/>
      <c r="GL4" s="92"/>
      <c r="GM4" s="92"/>
      <c r="GN4" s="92"/>
      <c r="GO4" s="92"/>
      <c r="GP4" s="92"/>
      <c r="GQ4" s="92"/>
      <c r="GR4" s="92"/>
      <c r="GS4" s="92"/>
      <c r="GT4" s="92"/>
      <c r="GU4" s="92"/>
      <c r="GV4" s="92"/>
      <c r="GW4" s="92"/>
      <c r="GX4" s="92"/>
      <c r="GY4" s="92"/>
      <c r="GZ4" s="92"/>
      <c r="HA4" s="92"/>
      <c r="HB4" s="92"/>
      <c r="HC4" s="92"/>
      <c r="HD4" s="92"/>
      <c r="HE4" s="92"/>
      <c r="HF4" s="92"/>
      <c r="HG4" s="92"/>
      <c r="HH4" s="92"/>
      <c r="HI4" s="92"/>
      <c r="HJ4" s="92"/>
      <c r="HK4" s="92"/>
      <c r="HL4" s="92"/>
      <c r="HM4" s="92"/>
      <c r="HN4" s="92"/>
      <c r="HO4" s="92"/>
      <c r="HP4" s="92"/>
      <c r="HQ4" s="92"/>
      <c r="HR4" s="92"/>
      <c r="HS4" s="92"/>
      <c r="HT4" s="92"/>
      <c r="HU4" s="92"/>
      <c r="HV4" s="92"/>
      <c r="HW4" s="92"/>
      <c r="HX4" s="92"/>
      <c r="HY4" s="92"/>
      <c r="HZ4" s="92"/>
      <c r="IA4" s="92"/>
      <c r="IB4" s="92"/>
      <c r="IC4" s="92"/>
      <c r="ID4" s="92"/>
      <c r="IE4" s="92"/>
      <c r="IF4" s="92"/>
      <c r="IG4" s="92"/>
      <c r="IH4" s="92"/>
      <c r="II4" s="92"/>
      <c r="IJ4" s="92"/>
      <c r="IK4" s="92"/>
      <c r="IL4" s="92"/>
      <c r="IM4" s="92"/>
      <c r="IN4" s="92"/>
      <c r="IO4" s="92"/>
      <c r="IP4" s="92"/>
      <c r="IQ4" s="92"/>
      <c r="IR4" s="92"/>
      <c r="IS4" s="92"/>
      <c r="IT4" s="92"/>
      <c r="IU4" s="92"/>
      <c r="IV4" s="92"/>
      <c r="IW4" s="92"/>
      <c r="IX4" s="92"/>
      <c r="IY4" s="92"/>
      <c r="IZ4" s="92"/>
      <c r="JA4" s="92"/>
      <c r="JB4" s="92"/>
      <c r="JC4" s="92"/>
      <c r="JD4" s="92"/>
      <c r="JE4" s="92"/>
      <c r="JF4" s="92"/>
      <c r="JG4" s="92"/>
      <c r="JH4" s="92"/>
      <c r="JI4" s="92"/>
      <c r="JJ4" s="92"/>
      <c r="JK4" s="92"/>
      <c r="JL4" s="92"/>
      <c r="JM4" s="92"/>
      <c r="JN4" s="92"/>
      <c r="JO4" s="92"/>
      <c r="JP4" s="92"/>
      <c r="JQ4" s="92"/>
      <c r="JR4" s="92"/>
      <c r="JS4" s="92"/>
      <c r="JT4" s="92"/>
      <c r="JU4" s="92"/>
      <c r="JV4" s="92"/>
      <c r="JW4" s="92"/>
      <c r="JX4" s="92"/>
      <c r="JY4" s="92"/>
      <c r="JZ4" s="92"/>
      <c r="KA4" s="92"/>
      <c r="KB4" s="92"/>
      <c r="KC4" s="92"/>
      <c r="KD4" s="92"/>
      <c r="KE4" s="92"/>
      <c r="KF4" s="92"/>
      <c r="KG4" s="92"/>
      <c r="KH4" s="92"/>
      <c r="KI4" s="92"/>
      <c r="KJ4" s="92"/>
      <c r="KK4" s="92"/>
      <c r="KL4" s="92"/>
      <c r="KM4" s="92"/>
      <c r="KN4" s="92"/>
      <c r="KO4" s="92"/>
      <c r="KP4" s="92"/>
      <c r="KQ4" s="92"/>
      <c r="KR4" s="92"/>
      <c r="KS4" s="92"/>
      <c r="KT4" s="92"/>
      <c r="KU4" s="92"/>
      <c r="KV4" s="92"/>
      <c r="KW4" s="92"/>
      <c r="KX4" s="92"/>
      <c r="KY4" s="92"/>
      <c r="KZ4" s="92"/>
      <c r="LA4" s="92"/>
      <c r="LB4" s="92"/>
      <c r="LC4" s="92"/>
      <c r="LD4" s="92"/>
      <c r="LE4" s="92"/>
      <c r="LF4" s="92"/>
      <c r="LG4" s="92"/>
      <c r="LH4" s="92"/>
      <c r="LI4" s="92"/>
      <c r="LJ4" s="92"/>
      <c r="LK4" s="92"/>
      <c r="LL4" s="92"/>
      <c r="LM4" s="92"/>
      <c r="LN4" s="92"/>
      <c r="LO4" s="92"/>
      <c r="LP4" s="92"/>
      <c r="LQ4" s="92"/>
      <c r="LR4" s="92"/>
      <c r="LS4" s="92"/>
      <c r="LT4" s="92"/>
      <c r="LU4" s="92"/>
      <c r="LV4" s="92"/>
      <c r="LW4" s="92"/>
      <c r="LX4" s="92"/>
      <c r="LY4" s="92"/>
      <c r="LZ4" s="92"/>
      <c r="MA4" s="92"/>
      <c r="MB4" s="92"/>
      <c r="MC4" s="92"/>
      <c r="MD4" s="92"/>
      <c r="ME4" s="92"/>
      <c r="MF4" s="92"/>
      <c r="MG4" s="92"/>
      <c r="MH4" s="92"/>
      <c r="MI4" s="92"/>
      <c r="MJ4" s="92"/>
      <c r="MK4" s="92"/>
      <c r="ML4" s="92"/>
      <c r="MM4" s="92"/>
      <c r="MN4" s="92"/>
      <c r="MO4" s="92"/>
      <c r="MP4" s="92"/>
      <c r="MQ4" s="92"/>
      <c r="MR4" s="92"/>
      <c r="MS4" s="92"/>
      <c r="MT4" s="92"/>
      <c r="MU4" s="92"/>
      <c r="MV4" s="92"/>
      <c r="MW4" s="92"/>
      <c r="MX4" s="92"/>
      <c r="MY4" s="92"/>
      <c r="MZ4" s="92"/>
      <c r="NA4" s="92"/>
      <c r="NB4" s="92"/>
      <c r="NC4" s="92"/>
      <c r="ND4" s="92"/>
      <c r="NE4" s="92"/>
      <c r="NF4" s="92"/>
      <c r="NG4" s="92"/>
      <c r="NH4" s="92"/>
      <c r="NI4" s="92"/>
      <c r="NJ4" s="92"/>
      <c r="NK4" s="92"/>
      <c r="NL4" s="92"/>
      <c r="NM4" s="92"/>
      <c r="NN4" s="92"/>
      <c r="NO4" s="92"/>
      <c r="NP4" s="92"/>
      <c r="NQ4" s="92"/>
      <c r="NR4" s="92"/>
      <c r="NS4" s="92"/>
      <c r="NT4" s="92"/>
      <c r="NU4" s="92"/>
      <c r="NV4" s="92"/>
      <c r="NW4" s="92"/>
      <c r="NX4" s="92"/>
      <c r="NY4" s="92"/>
      <c r="NZ4" s="92"/>
      <c r="OA4" s="92"/>
      <c r="OB4" s="92"/>
      <c r="OC4" s="92"/>
      <c r="OD4" s="92"/>
      <c r="OE4" s="92"/>
      <c r="OF4" s="92"/>
      <c r="OG4" s="92"/>
      <c r="OH4" s="92"/>
      <c r="OI4" s="92"/>
      <c r="OJ4" s="92"/>
      <c r="OK4" s="92"/>
      <c r="OL4" s="92"/>
      <c r="OM4" s="92"/>
      <c r="ON4" s="92"/>
      <c r="OO4" s="92"/>
      <c r="OP4" s="92"/>
      <c r="OQ4" s="92"/>
      <c r="OR4" s="92"/>
      <c r="OS4" s="92"/>
      <c r="OT4" s="92"/>
      <c r="OU4" s="92"/>
      <c r="OV4" s="92"/>
      <c r="OW4" s="92"/>
      <c r="OX4" s="92"/>
      <c r="OY4" s="92"/>
      <c r="OZ4" s="92"/>
      <c r="PA4" s="92"/>
      <c r="PB4" s="92"/>
      <c r="PC4" s="92"/>
      <c r="PD4" s="92"/>
      <c r="PE4" s="92"/>
      <c r="PF4" s="92"/>
      <c r="PG4" s="92"/>
      <c r="PH4" s="92"/>
      <c r="PI4" s="92"/>
      <c r="PJ4" s="92"/>
      <c r="PK4" s="92"/>
      <c r="PL4" s="92"/>
      <c r="PM4" s="92"/>
      <c r="PN4" s="92"/>
      <c r="PO4" s="92"/>
      <c r="PP4" s="92"/>
      <c r="PQ4" s="92"/>
      <c r="PR4" s="92"/>
      <c r="PS4" s="92"/>
      <c r="PT4" s="92"/>
      <c r="PU4" s="92"/>
      <c r="PV4" s="92"/>
      <c r="PW4" s="92"/>
      <c r="PX4" s="92"/>
      <c r="PY4" s="92"/>
      <c r="PZ4" s="92"/>
      <c r="QA4" s="92"/>
      <c r="QB4" s="92"/>
      <c r="QC4" s="92"/>
      <c r="QD4" s="92"/>
      <c r="QE4" s="92"/>
      <c r="QF4" s="92"/>
      <c r="QG4" s="92"/>
      <c r="QH4" s="92"/>
      <c r="QI4" s="92"/>
      <c r="QJ4" s="92"/>
      <c r="QK4" s="92"/>
      <c r="QL4" s="92"/>
      <c r="QM4" s="92"/>
      <c r="QN4" s="92"/>
      <c r="QO4" s="92"/>
    </row>
    <row r="5" spans="1:457" ht="15.75">
      <c r="A5" s="89">
        <v>3</v>
      </c>
      <c r="B5" s="89" t="s">
        <v>387</v>
      </c>
      <c r="C5" s="101" t="str">
        <f t="shared" si="2"/>
        <v>Manufacture of food, beverages and snuff</v>
      </c>
      <c r="D5" s="281">
        <f t="shared" ref="D5:F10" si="4">AA7/U$89</f>
        <v>35.061462074223648</v>
      </c>
      <c r="E5" s="281">
        <f t="shared" si="4"/>
        <v>114.56665185367522</v>
      </c>
      <c r="F5" s="281">
        <f t="shared" si="4"/>
        <v>85.297563558890204</v>
      </c>
      <c r="G5" s="280">
        <f t="shared" ref="G5:G31" si="5">SUM(D5:F5)</f>
        <v>234.92567748678908</v>
      </c>
      <c r="H5" s="94"/>
      <c r="I5" s="94">
        <f>'AggrStep1-energy'!I59</f>
        <v>59.526828000000002</v>
      </c>
      <c r="J5" s="94"/>
      <c r="K5" s="94"/>
      <c r="L5" s="94"/>
      <c r="M5" s="94"/>
      <c r="N5" s="94"/>
      <c r="O5" s="95"/>
      <c r="P5" s="95">
        <f t="shared" si="3"/>
        <v>294.45250548678911</v>
      </c>
      <c r="Q5" s="92"/>
      <c r="R5" s="92"/>
      <c r="S5" s="92"/>
      <c r="T5" s="66" t="s">
        <v>197</v>
      </c>
      <c r="U5" s="139">
        <f t="array" ref="U5:W26">TRANSPOSE([2]Step8!$AM$25:$BH$27)</f>
        <v>16281.629000000003</v>
      </c>
      <c r="V5" s="139">
        <v>5.9706494829678478</v>
      </c>
      <c r="W5" s="139">
        <v>2860.46</v>
      </c>
      <c r="X5" s="139">
        <f t="array" ref="X5:Z26">TRANSPOSE([2]Step8!$Q$70:$AL$72)</f>
        <v>59.310999999999986</v>
      </c>
      <c r="Y5" s="139">
        <v>3.7266061988958232</v>
      </c>
      <c r="Z5" s="139">
        <v>6.6579999999999977</v>
      </c>
      <c r="AA5" s="139">
        <f t="shared" ref="AA5:AC27" si="6">U5+X5</f>
        <v>16340.940000000002</v>
      </c>
      <c r="AB5" s="143">
        <f t="shared" si="6"/>
        <v>9.6972556818636715</v>
      </c>
      <c r="AC5" s="139">
        <f t="shared" si="6"/>
        <v>2867.1179999999999</v>
      </c>
      <c r="AD5" s="144">
        <f>SUM(AA5:AC5)</f>
        <v>19217.755255681866</v>
      </c>
      <c r="AF5" s="145"/>
      <c r="AG5" s="145"/>
      <c r="AH5" s="145"/>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c r="IW5" s="92"/>
      <c r="IX5" s="92"/>
      <c r="IY5" s="92"/>
      <c r="IZ5" s="92"/>
      <c r="JA5" s="92"/>
      <c r="JB5" s="92"/>
      <c r="JC5" s="92"/>
      <c r="JD5" s="92"/>
      <c r="JE5" s="92"/>
      <c r="JF5" s="92"/>
      <c r="JG5" s="92"/>
      <c r="JH5" s="92"/>
      <c r="JI5" s="92"/>
      <c r="JJ5" s="92"/>
      <c r="JK5" s="92"/>
      <c r="JL5" s="92"/>
      <c r="JM5" s="92"/>
      <c r="JN5" s="92"/>
      <c r="JO5" s="92"/>
      <c r="JP5" s="92"/>
      <c r="JQ5" s="92"/>
      <c r="JR5" s="92"/>
      <c r="JS5" s="92"/>
      <c r="JT5" s="92"/>
      <c r="JU5" s="92"/>
      <c r="JV5" s="92"/>
      <c r="JW5" s="92"/>
      <c r="JX5" s="92"/>
      <c r="JY5" s="92"/>
      <c r="JZ5" s="92"/>
      <c r="KA5" s="92"/>
      <c r="KB5" s="92"/>
      <c r="KC5" s="92"/>
      <c r="KD5" s="92"/>
      <c r="KE5" s="92"/>
      <c r="KF5" s="92"/>
      <c r="KG5" s="92"/>
      <c r="KH5" s="92"/>
      <c r="KI5" s="92"/>
      <c r="KJ5" s="92"/>
      <c r="KK5" s="92"/>
      <c r="KL5" s="92"/>
      <c r="KM5" s="92"/>
      <c r="KN5" s="92"/>
      <c r="KO5" s="92"/>
      <c r="KP5" s="92"/>
      <c r="KQ5" s="92"/>
      <c r="KR5" s="92"/>
      <c r="KS5" s="92"/>
      <c r="KT5" s="92"/>
      <c r="KU5" s="92"/>
      <c r="KV5" s="92"/>
      <c r="KW5" s="92"/>
      <c r="KX5" s="92"/>
      <c r="KY5" s="92"/>
      <c r="KZ5" s="92"/>
      <c r="LA5" s="92"/>
      <c r="LB5" s="92"/>
      <c r="LC5" s="92"/>
      <c r="LD5" s="92"/>
      <c r="LE5" s="92"/>
      <c r="LF5" s="92"/>
      <c r="LG5" s="92"/>
      <c r="LH5" s="92"/>
      <c r="LI5" s="92"/>
      <c r="LJ5" s="92"/>
      <c r="LK5" s="92"/>
      <c r="LL5" s="92"/>
      <c r="LM5" s="92"/>
      <c r="LN5" s="92"/>
      <c r="LO5" s="92"/>
      <c r="LP5" s="92"/>
      <c r="LQ5" s="92"/>
      <c r="LR5" s="92"/>
      <c r="LS5" s="92"/>
      <c r="LT5" s="92"/>
      <c r="LU5" s="92"/>
      <c r="LV5" s="92"/>
      <c r="LW5" s="92"/>
      <c r="LX5" s="92"/>
      <c r="LY5" s="92"/>
      <c r="LZ5" s="92"/>
      <c r="MA5" s="92"/>
      <c r="MB5" s="92"/>
      <c r="MC5" s="92"/>
      <c r="MD5" s="92"/>
      <c r="ME5" s="92"/>
      <c r="MF5" s="92"/>
      <c r="MG5" s="92"/>
      <c r="MH5" s="92"/>
      <c r="MI5" s="92"/>
      <c r="MJ5" s="92"/>
      <c r="MK5" s="92"/>
      <c r="ML5" s="92"/>
      <c r="MM5" s="92"/>
      <c r="MN5" s="92"/>
      <c r="MO5" s="92"/>
      <c r="MP5" s="92"/>
      <c r="MQ5" s="92"/>
      <c r="MR5" s="92"/>
      <c r="MS5" s="92"/>
      <c r="MT5" s="92"/>
      <c r="MU5" s="92"/>
      <c r="MV5" s="92"/>
      <c r="MW5" s="92"/>
      <c r="MX5" s="92"/>
      <c r="MY5" s="92"/>
      <c r="MZ5" s="92"/>
      <c r="NA5" s="92"/>
      <c r="NB5" s="92"/>
      <c r="NC5" s="92"/>
      <c r="ND5" s="92"/>
      <c r="NE5" s="92"/>
      <c r="NF5" s="92"/>
      <c r="NG5" s="92"/>
      <c r="NH5" s="92"/>
      <c r="NI5" s="92"/>
      <c r="NJ5" s="92"/>
      <c r="NK5" s="92"/>
      <c r="NL5" s="92"/>
      <c r="NM5" s="92"/>
      <c r="NN5" s="92"/>
      <c r="NO5" s="92"/>
      <c r="NP5" s="92"/>
      <c r="NQ5" s="92"/>
      <c r="NR5" s="92"/>
      <c r="NS5" s="92"/>
      <c r="NT5" s="92"/>
      <c r="NU5" s="92"/>
      <c r="NV5" s="92"/>
      <c r="NW5" s="92"/>
      <c r="NX5" s="92"/>
      <c r="NY5" s="92"/>
      <c r="NZ5" s="92"/>
      <c r="OA5" s="92"/>
      <c r="OB5" s="92"/>
      <c r="OC5" s="92"/>
      <c r="OD5" s="92"/>
      <c r="OE5" s="92"/>
      <c r="OF5" s="92"/>
      <c r="OG5" s="92"/>
      <c r="OH5" s="92"/>
      <c r="OI5" s="92"/>
      <c r="OJ5" s="92"/>
      <c r="OK5" s="92"/>
      <c r="OL5" s="92"/>
      <c r="OM5" s="92"/>
      <c r="ON5" s="92"/>
      <c r="OO5" s="92"/>
      <c r="OP5" s="92"/>
      <c r="OQ5" s="92"/>
      <c r="OR5" s="92"/>
      <c r="OS5" s="92"/>
      <c r="OT5" s="92"/>
      <c r="OU5" s="92"/>
      <c r="OV5" s="92"/>
      <c r="OW5" s="92"/>
      <c r="OX5" s="92"/>
      <c r="OY5" s="92"/>
      <c r="OZ5" s="92"/>
      <c r="PA5" s="92"/>
      <c r="PB5" s="92"/>
      <c r="PC5" s="92"/>
      <c r="PD5" s="92"/>
      <c r="PE5" s="92"/>
      <c r="PF5" s="92"/>
      <c r="PG5" s="92"/>
      <c r="PH5" s="92"/>
      <c r="PI5" s="92"/>
      <c r="PJ5" s="92"/>
      <c r="PK5" s="92"/>
      <c r="PL5" s="92"/>
      <c r="PM5" s="92"/>
      <c r="PN5" s="92"/>
      <c r="PO5" s="92"/>
      <c r="PP5" s="92"/>
      <c r="PQ5" s="92"/>
      <c r="PR5" s="92"/>
      <c r="PS5" s="92"/>
      <c r="PT5" s="92"/>
      <c r="PU5" s="92"/>
      <c r="PV5" s="92"/>
      <c r="PW5" s="92"/>
      <c r="PX5" s="92"/>
      <c r="PY5" s="92"/>
      <c r="PZ5" s="92"/>
      <c r="QA5" s="92"/>
      <c r="QB5" s="92"/>
      <c r="QC5" s="92"/>
      <c r="QD5" s="92"/>
      <c r="QE5" s="92"/>
      <c r="QF5" s="92"/>
      <c r="QG5" s="92"/>
      <c r="QH5" s="92"/>
      <c r="QI5" s="92"/>
      <c r="QJ5" s="92"/>
      <c r="QK5" s="92"/>
      <c r="QL5" s="92"/>
      <c r="QM5" s="92"/>
      <c r="QN5" s="92"/>
      <c r="QO5" s="92"/>
    </row>
    <row r="6" spans="1:457" ht="15.75">
      <c r="A6" s="89">
        <v>4</v>
      </c>
      <c r="B6" s="89" t="s">
        <v>387</v>
      </c>
      <c r="C6" s="101" t="str">
        <f t="shared" si="2"/>
        <v>Manufacture of articles of paper and paperboard</v>
      </c>
      <c r="D6" s="281">
        <f t="shared" si="4"/>
        <v>6.5815885591690089</v>
      </c>
      <c r="E6" s="281">
        <f t="shared" si="4"/>
        <v>28.365551133950763</v>
      </c>
      <c r="F6" s="281">
        <f t="shared" si="4"/>
        <v>18.352641897238456</v>
      </c>
      <c r="G6" s="280">
        <f t="shared" si="5"/>
        <v>53.299781590358229</v>
      </c>
      <c r="H6" s="94"/>
      <c r="I6" s="94"/>
      <c r="J6" s="94"/>
      <c r="K6" s="94"/>
      <c r="L6" s="94"/>
      <c r="M6" s="94"/>
      <c r="N6" s="94"/>
      <c r="O6" s="95"/>
      <c r="P6" s="95">
        <f t="shared" si="3"/>
        <v>53.299781590358229</v>
      </c>
      <c r="Q6" s="92"/>
      <c r="R6" s="92"/>
      <c r="S6" s="92"/>
      <c r="T6" s="66" t="s">
        <v>198</v>
      </c>
      <c r="U6" s="139">
        <v>516.78899999999999</v>
      </c>
      <c r="V6" s="139">
        <v>0</v>
      </c>
      <c r="W6" s="139">
        <v>141.48400000000001</v>
      </c>
      <c r="X6" s="139">
        <v>0.60299999999999998</v>
      </c>
      <c r="Y6" s="139">
        <v>0</v>
      </c>
      <c r="Z6" s="139">
        <v>0.32900000000000001</v>
      </c>
      <c r="AA6" s="139">
        <f t="shared" si="6"/>
        <v>517.39199999999994</v>
      </c>
      <c r="AB6" s="139">
        <f t="shared" si="6"/>
        <v>0</v>
      </c>
      <c r="AC6" s="139">
        <f t="shared" si="6"/>
        <v>141.81300000000002</v>
      </c>
      <c r="AD6" s="144">
        <f t="shared" ref="AD6:AD27" si="7">SUM(AA6:AC6)</f>
        <v>659.20499999999993</v>
      </c>
      <c r="AF6" s="145"/>
      <c r="AG6" s="145"/>
      <c r="AH6" s="145"/>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92"/>
      <c r="FC6" s="92"/>
      <c r="FD6" s="92"/>
      <c r="FE6" s="92"/>
      <c r="FF6" s="92"/>
      <c r="FG6" s="92"/>
      <c r="FH6" s="92"/>
      <c r="FI6" s="92"/>
      <c r="FJ6" s="92"/>
      <c r="FK6" s="92"/>
      <c r="FL6" s="92"/>
      <c r="FM6" s="92"/>
      <c r="FN6" s="92"/>
      <c r="FO6" s="92"/>
      <c r="FP6" s="92"/>
      <c r="FQ6" s="92"/>
      <c r="FR6" s="92"/>
      <c r="FS6" s="92"/>
      <c r="FT6" s="92"/>
      <c r="FU6" s="92"/>
      <c r="FV6" s="92"/>
      <c r="FW6" s="92"/>
      <c r="FX6" s="92"/>
      <c r="FY6" s="92"/>
      <c r="FZ6" s="92"/>
      <c r="GA6" s="92"/>
      <c r="GB6" s="92"/>
      <c r="GC6" s="92"/>
      <c r="GD6" s="92"/>
      <c r="GE6" s="92"/>
      <c r="GF6" s="92"/>
      <c r="GG6" s="92"/>
      <c r="GH6" s="92"/>
      <c r="GI6" s="92"/>
      <c r="GJ6" s="92"/>
      <c r="GK6" s="92"/>
      <c r="GL6" s="92"/>
      <c r="GM6" s="92"/>
      <c r="GN6" s="92"/>
      <c r="GO6" s="92"/>
      <c r="GP6" s="92"/>
      <c r="GQ6" s="92"/>
      <c r="GR6" s="92"/>
      <c r="GS6" s="92"/>
      <c r="GT6" s="92"/>
      <c r="GU6" s="92"/>
      <c r="GV6" s="92"/>
      <c r="GW6" s="92"/>
      <c r="GX6" s="92"/>
      <c r="GY6" s="92"/>
      <c r="GZ6" s="92"/>
      <c r="HA6" s="92"/>
      <c r="HB6" s="92"/>
      <c r="HC6" s="92"/>
      <c r="HD6" s="92"/>
      <c r="HE6" s="92"/>
      <c r="HF6" s="92"/>
      <c r="HG6" s="92"/>
      <c r="HH6" s="92"/>
      <c r="HI6" s="92"/>
      <c r="HJ6" s="92"/>
      <c r="HK6" s="92"/>
      <c r="HL6" s="92"/>
      <c r="HM6" s="92"/>
      <c r="HN6" s="92"/>
      <c r="HO6" s="92"/>
      <c r="HP6" s="92"/>
      <c r="HQ6" s="92"/>
      <c r="HR6" s="92"/>
      <c r="HS6" s="92"/>
      <c r="HT6" s="92"/>
      <c r="HU6" s="92"/>
      <c r="HV6" s="92"/>
      <c r="HW6" s="92"/>
      <c r="HX6" s="92"/>
      <c r="HY6" s="92"/>
      <c r="HZ6" s="92"/>
      <c r="IA6" s="92"/>
      <c r="IB6" s="92"/>
      <c r="IC6" s="92"/>
      <c r="ID6" s="92"/>
      <c r="IE6" s="92"/>
      <c r="IF6" s="92"/>
      <c r="IG6" s="92"/>
      <c r="IH6" s="92"/>
      <c r="II6" s="92"/>
      <c r="IJ6" s="92"/>
      <c r="IK6" s="92"/>
      <c r="IL6" s="92"/>
      <c r="IM6" s="92"/>
      <c r="IN6" s="92"/>
      <c r="IO6" s="92"/>
      <c r="IP6" s="92"/>
      <c r="IQ6" s="92"/>
      <c r="IR6" s="92"/>
      <c r="IS6" s="92"/>
      <c r="IT6" s="92"/>
      <c r="IU6" s="92"/>
      <c r="IV6" s="92"/>
      <c r="IW6" s="92"/>
      <c r="IX6" s="92"/>
      <c r="IY6" s="92"/>
      <c r="IZ6" s="92"/>
      <c r="JA6" s="92"/>
      <c r="JB6" s="92"/>
      <c r="JC6" s="92"/>
      <c r="JD6" s="92"/>
      <c r="JE6" s="92"/>
      <c r="JF6" s="92"/>
      <c r="JG6" s="92"/>
      <c r="JH6" s="92"/>
      <c r="JI6" s="92"/>
      <c r="JJ6" s="92"/>
      <c r="JK6" s="92"/>
      <c r="JL6" s="92"/>
      <c r="JM6" s="92"/>
      <c r="JN6" s="92"/>
      <c r="JO6" s="92"/>
      <c r="JP6" s="92"/>
      <c r="JQ6" s="92"/>
      <c r="JR6" s="92"/>
      <c r="JS6" s="92"/>
      <c r="JT6" s="92"/>
      <c r="JU6" s="92"/>
      <c r="JV6" s="92"/>
      <c r="JW6" s="92"/>
      <c r="JX6" s="92"/>
      <c r="JY6" s="92"/>
      <c r="JZ6" s="92"/>
      <c r="KA6" s="92"/>
      <c r="KB6" s="92"/>
      <c r="KC6" s="92"/>
      <c r="KD6" s="92"/>
      <c r="KE6" s="92"/>
      <c r="KF6" s="92"/>
      <c r="KG6" s="92"/>
      <c r="KH6" s="92"/>
      <c r="KI6" s="92"/>
      <c r="KJ6" s="92"/>
      <c r="KK6" s="92"/>
      <c r="KL6" s="92"/>
      <c r="KM6" s="92"/>
      <c r="KN6" s="92"/>
      <c r="KO6" s="92"/>
      <c r="KP6" s="92"/>
      <c r="KQ6" s="92"/>
      <c r="KR6" s="92"/>
      <c r="KS6" s="92"/>
      <c r="KT6" s="92"/>
      <c r="KU6" s="92"/>
      <c r="KV6" s="92"/>
      <c r="KW6" s="92"/>
      <c r="KX6" s="92"/>
      <c r="KY6" s="92"/>
      <c r="KZ6" s="92"/>
      <c r="LA6" s="92"/>
      <c r="LB6" s="92"/>
      <c r="LC6" s="92"/>
      <c r="LD6" s="92"/>
      <c r="LE6" s="92"/>
      <c r="LF6" s="92"/>
      <c r="LG6" s="92"/>
      <c r="LH6" s="92"/>
      <c r="LI6" s="92"/>
      <c r="LJ6" s="92"/>
      <c r="LK6" s="92"/>
      <c r="LL6" s="92"/>
      <c r="LM6" s="92"/>
      <c r="LN6" s="92"/>
      <c r="LO6" s="92"/>
      <c r="LP6" s="92"/>
      <c r="LQ6" s="92"/>
      <c r="LR6" s="92"/>
      <c r="LS6" s="92"/>
      <c r="LT6" s="92"/>
      <c r="LU6" s="92"/>
      <c r="LV6" s="92"/>
      <c r="LW6" s="92"/>
      <c r="LX6" s="92"/>
      <c r="LY6" s="92"/>
      <c r="LZ6" s="92"/>
      <c r="MA6" s="92"/>
      <c r="MB6" s="92"/>
      <c r="MC6" s="92"/>
      <c r="MD6" s="92"/>
      <c r="ME6" s="92"/>
      <c r="MF6" s="92"/>
      <c r="MG6" s="92"/>
      <c r="MH6" s="92"/>
      <c r="MI6" s="92"/>
      <c r="MJ6" s="92"/>
      <c r="MK6" s="92"/>
      <c r="ML6" s="92"/>
      <c r="MM6" s="92"/>
      <c r="MN6" s="92"/>
      <c r="MO6" s="92"/>
      <c r="MP6" s="92"/>
      <c r="MQ6" s="92"/>
      <c r="MR6" s="92"/>
      <c r="MS6" s="92"/>
      <c r="MT6" s="92"/>
      <c r="MU6" s="92"/>
      <c r="MV6" s="92"/>
      <c r="MW6" s="92"/>
      <c r="MX6" s="92"/>
      <c r="MY6" s="92"/>
      <c r="MZ6" s="92"/>
      <c r="NA6" s="92"/>
      <c r="NB6" s="92"/>
      <c r="NC6" s="92"/>
      <c r="ND6" s="92"/>
      <c r="NE6" s="92"/>
      <c r="NF6" s="92"/>
      <c r="NG6" s="92"/>
      <c r="NH6" s="92"/>
      <c r="NI6" s="92"/>
      <c r="NJ6" s="92"/>
      <c r="NK6" s="92"/>
      <c r="NL6" s="92"/>
      <c r="NM6" s="92"/>
      <c r="NN6" s="92"/>
      <c r="NO6" s="92"/>
      <c r="NP6" s="92"/>
      <c r="NQ6" s="92"/>
      <c r="NR6" s="92"/>
      <c r="NS6" s="92"/>
      <c r="NT6" s="92"/>
      <c r="NU6" s="92"/>
      <c r="NV6" s="92"/>
      <c r="NW6" s="92"/>
      <c r="NX6" s="92"/>
      <c r="NY6" s="92"/>
      <c r="NZ6" s="92"/>
      <c r="OA6" s="92"/>
      <c r="OB6" s="92"/>
      <c r="OC6" s="92"/>
      <c r="OD6" s="92"/>
      <c r="OE6" s="92"/>
      <c r="OF6" s="92"/>
      <c r="OG6" s="92"/>
      <c r="OH6" s="92"/>
      <c r="OI6" s="92"/>
      <c r="OJ6" s="92"/>
      <c r="OK6" s="92"/>
      <c r="OL6" s="92"/>
      <c r="OM6" s="92"/>
      <c r="ON6" s="92"/>
      <c r="OO6" s="92"/>
      <c r="OP6" s="92"/>
      <c r="OQ6" s="92"/>
      <c r="OR6" s="92"/>
      <c r="OS6" s="92"/>
      <c r="OT6" s="92"/>
      <c r="OU6" s="92"/>
      <c r="OV6" s="92"/>
      <c r="OW6" s="92"/>
      <c r="OX6" s="92"/>
      <c r="OY6" s="92"/>
      <c r="OZ6" s="92"/>
      <c r="PA6" s="92"/>
      <c r="PB6" s="92"/>
      <c r="PC6" s="92"/>
      <c r="PD6" s="92"/>
      <c r="PE6" s="92"/>
      <c r="PF6" s="92"/>
      <c r="PG6" s="92"/>
      <c r="PH6" s="92"/>
      <c r="PI6" s="92"/>
      <c r="PJ6" s="92"/>
      <c r="PK6" s="92"/>
      <c r="PL6" s="92"/>
      <c r="PM6" s="92"/>
      <c r="PN6" s="92"/>
      <c r="PO6" s="92"/>
      <c r="PP6" s="92"/>
      <c r="PQ6" s="92"/>
      <c r="PR6" s="92"/>
      <c r="PS6" s="92"/>
      <c r="PT6" s="92"/>
      <c r="PU6" s="92"/>
      <c r="PV6" s="92"/>
      <c r="PW6" s="92"/>
      <c r="PX6" s="92"/>
      <c r="PY6" s="92"/>
      <c r="PZ6" s="92"/>
      <c r="QA6" s="92"/>
      <c r="QB6" s="92"/>
      <c r="QC6" s="92"/>
      <c r="QD6" s="92"/>
      <c r="QE6" s="92"/>
      <c r="QF6" s="92"/>
      <c r="QG6" s="92"/>
      <c r="QH6" s="92"/>
      <c r="QI6" s="92"/>
      <c r="QJ6" s="92"/>
      <c r="QK6" s="92"/>
      <c r="QL6" s="92"/>
      <c r="QM6" s="92"/>
      <c r="QN6" s="92"/>
      <c r="QO6" s="92"/>
    </row>
    <row r="7" spans="1:457" ht="15.75">
      <c r="A7" s="89">
        <v>5</v>
      </c>
      <c r="B7" s="89" t="s">
        <v>387</v>
      </c>
      <c r="C7" s="101" t="str">
        <f t="shared" si="2"/>
        <v>Manufacture of chemical</v>
      </c>
      <c r="D7" s="281">
        <f t="shared" si="4"/>
        <v>106.4849762345815</v>
      </c>
      <c r="E7" s="281">
        <f t="shared" si="4"/>
        <v>291.70216964079231</v>
      </c>
      <c r="F7" s="281">
        <f t="shared" si="4"/>
        <v>22.429515008831267</v>
      </c>
      <c r="G7" s="280">
        <f t="shared" si="5"/>
        <v>420.61666088420509</v>
      </c>
      <c r="H7" s="94"/>
      <c r="I7" s="94"/>
      <c r="J7" s="94"/>
      <c r="K7" s="94"/>
      <c r="L7" s="94"/>
      <c r="M7" s="94"/>
      <c r="N7" s="94"/>
      <c r="O7" s="95"/>
      <c r="P7" s="95">
        <f t="shared" si="3"/>
        <v>420.61666088420509</v>
      </c>
      <c r="Q7" s="92"/>
      <c r="R7" s="92"/>
      <c r="S7" s="92"/>
      <c r="T7" s="66" t="s">
        <v>199</v>
      </c>
      <c r="U7" s="139">
        <v>12731.066999999999</v>
      </c>
      <c r="V7" s="139">
        <v>8031.4235318540923</v>
      </c>
      <c r="W7" s="139">
        <v>26809.036</v>
      </c>
      <c r="X7" s="139">
        <v>749.39499999999998</v>
      </c>
      <c r="Y7" s="139">
        <v>8943.7967617095019</v>
      </c>
      <c r="Z7" s="139">
        <v>54.044000000000004</v>
      </c>
      <c r="AA7" s="139">
        <f t="shared" si="6"/>
        <v>13480.462</v>
      </c>
      <c r="AB7" s="139">
        <f t="shared" si="6"/>
        <v>16975.220293563594</v>
      </c>
      <c r="AC7" s="139">
        <f t="shared" si="6"/>
        <v>26863.08</v>
      </c>
      <c r="AD7" s="144">
        <f t="shared" si="7"/>
        <v>57318.762293563595</v>
      </c>
      <c r="AF7" s="145"/>
      <c r="AG7" s="145"/>
      <c r="AH7" s="145"/>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c r="BN7" s="92"/>
      <c r="BO7" s="92"/>
      <c r="BP7" s="92"/>
      <c r="BQ7" s="92"/>
      <c r="BR7" s="92"/>
      <c r="BS7" s="92"/>
      <c r="BT7" s="92"/>
      <c r="BU7" s="92"/>
      <c r="BV7" s="92"/>
      <c r="BW7" s="92"/>
      <c r="BX7" s="92"/>
      <c r="BY7" s="92"/>
      <c r="BZ7" s="92"/>
      <c r="CA7" s="92"/>
      <c r="CB7" s="92"/>
      <c r="CC7" s="92"/>
      <c r="CD7" s="92"/>
      <c r="CE7" s="92"/>
      <c r="CF7" s="92"/>
      <c r="CG7" s="92"/>
      <c r="CH7" s="92"/>
      <c r="CI7" s="92"/>
      <c r="CJ7" s="92"/>
      <c r="CK7" s="92"/>
      <c r="CL7" s="92"/>
      <c r="CM7" s="92"/>
      <c r="CN7" s="92"/>
      <c r="CO7" s="92"/>
      <c r="CP7" s="92"/>
      <c r="CQ7" s="92"/>
      <c r="CR7" s="92"/>
      <c r="CS7" s="92"/>
      <c r="CT7" s="92"/>
      <c r="CU7" s="92"/>
      <c r="CV7" s="92"/>
      <c r="CW7" s="92"/>
      <c r="CX7" s="92"/>
      <c r="CY7" s="92"/>
      <c r="CZ7" s="92"/>
      <c r="DA7" s="92"/>
      <c r="DB7" s="92"/>
      <c r="DC7" s="92"/>
      <c r="DD7" s="92"/>
      <c r="DE7" s="92"/>
      <c r="DF7" s="92"/>
      <c r="DG7" s="92"/>
      <c r="DH7" s="92"/>
      <c r="DI7" s="92"/>
      <c r="DJ7" s="92"/>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92"/>
      <c r="FC7" s="92"/>
      <c r="FD7" s="92"/>
      <c r="FE7" s="92"/>
      <c r="FF7" s="92"/>
      <c r="FG7" s="92"/>
      <c r="FH7" s="92"/>
      <c r="FI7" s="92"/>
      <c r="FJ7" s="92"/>
      <c r="FK7" s="92"/>
      <c r="FL7" s="92"/>
      <c r="FM7" s="92"/>
      <c r="FN7" s="92"/>
      <c r="FO7" s="92"/>
      <c r="FP7" s="92"/>
      <c r="FQ7" s="92"/>
      <c r="FR7" s="92"/>
      <c r="FS7" s="92"/>
      <c r="FT7" s="92"/>
      <c r="FU7" s="92"/>
      <c r="FV7" s="92"/>
      <c r="FW7" s="92"/>
      <c r="FX7" s="92"/>
      <c r="FY7" s="92"/>
      <c r="FZ7" s="92"/>
      <c r="GA7" s="92"/>
      <c r="GB7" s="92"/>
      <c r="GC7" s="92"/>
      <c r="GD7" s="92"/>
      <c r="GE7" s="92"/>
      <c r="GF7" s="92"/>
      <c r="GG7" s="92"/>
      <c r="GH7" s="92"/>
      <c r="GI7" s="92"/>
      <c r="GJ7" s="92"/>
      <c r="GK7" s="92"/>
      <c r="GL7" s="92"/>
      <c r="GM7" s="92"/>
      <c r="GN7" s="92"/>
      <c r="GO7" s="92"/>
      <c r="GP7" s="92"/>
      <c r="GQ7" s="92"/>
      <c r="GR7" s="92"/>
      <c r="GS7" s="92"/>
      <c r="GT7" s="92"/>
      <c r="GU7" s="92"/>
      <c r="GV7" s="92"/>
      <c r="GW7" s="92"/>
      <c r="GX7" s="92"/>
      <c r="GY7" s="92"/>
      <c r="GZ7" s="92"/>
      <c r="HA7" s="92"/>
      <c r="HB7" s="92"/>
      <c r="HC7" s="92"/>
      <c r="HD7" s="92"/>
      <c r="HE7" s="92"/>
      <c r="HF7" s="92"/>
      <c r="HG7" s="92"/>
      <c r="HH7" s="92"/>
      <c r="HI7" s="92"/>
      <c r="HJ7" s="92"/>
      <c r="HK7" s="92"/>
      <c r="HL7" s="92"/>
      <c r="HM7" s="92"/>
      <c r="HN7" s="92"/>
      <c r="HO7" s="92"/>
      <c r="HP7" s="92"/>
      <c r="HQ7" s="92"/>
      <c r="HR7" s="92"/>
      <c r="HS7" s="92"/>
      <c r="HT7" s="92"/>
      <c r="HU7" s="92"/>
      <c r="HV7" s="92"/>
      <c r="HW7" s="92"/>
      <c r="HX7" s="92"/>
      <c r="HY7" s="92"/>
      <c r="HZ7" s="92"/>
      <c r="IA7" s="92"/>
      <c r="IB7" s="92"/>
      <c r="IC7" s="92"/>
      <c r="ID7" s="92"/>
      <c r="IE7" s="92"/>
      <c r="IF7" s="92"/>
      <c r="IG7" s="92"/>
      <c r="IH7" s="92"/>
      <c r="II7" s="92"/>
      <c r="IJ7" s="92"/>
      <c r="IK7" s="92"/>
      <c r="IL7" s="92"/>
      <c r="IM7" s="92"/>
      <c r="IN7" s="92"/>
      <c r="IO7" s="92"/>
      <c r="IP7" s="92"/>
      <c r="IQ7" s="92"/>
      <c r="IR7" s="92"/>
      <c r="IS7" s="92"/>
      <c r="IT7" s="92"/>
      <c r="IU7" s="92"/>
      <c r="IV7" s="92"/>
      <c r="IW7" s="92"/>
      <c r="IX7" s="92"/>
      <c r="IY7" s="92"/>
      <c r="IZ7" s="92"/>
      <c r="JA7" s="92"/>
      <c r="JB7" s="92"/>
      <c r="JC7" s="92"/>
      <c r="JD7" s="92"/>
      <c r="JE7" s="92"/>
      <c r="JF7" s="92"/>
      <c r="JG7" s="92"/>
      <c r="JH7" s="92"/>
      <c r="JI7" s="92"/>
      <c r="JJ7" s="92"/>
      <c r="JK7" s="92"/>
      <c r="JL7" s="92"/>
      <c r="JM7" s="92"/>
      <c r="JN7" s="92"/>
      <c r="JO7" s="92"/>
      <c r="JP7" s="92"/>
      <c r="JQ7" s="92"/>
      <c r="JR7" s="92"/>
      <c r="JS7" s="92"/>
      <c r="JT7" s="92"/>
      <c r="JU7" s="92"/>
      <c r="JV7" s="92"/>
      <c r="JW7" s="92"/>
      <c r="JX7" s="92"/>
      <c r="JY7" s="92"/>
      <c r="JZ7" s="92"/>
      <c r="KA7" s="92"/>
      <c r="KB7" s="92"/>
      <c r="KC7" s="92"/>
      <c r="KD7" s="92"/>
      <c r="KE7" s="92"/>
      <c r="KF7" s="92"/>
      <c r="KG7" s="92"/>
      <c r="KH7" s="92"/>
      <c r="KI7" s="92"/>
      <c r="KJ7" s="92"/>
      <c r="KK7" s="92"/>
      <c r="KL7" s="92"/>
      <c r="KM7" s="92"/>
      <c r="KN7" s="92"/>
      <c r="KO7" s="92"/>
      <c r="KP7" s="92"/>
      <c r="KQ7" s="92"/>
      <c r="KR7" s="92"/>
      <c r="KS7" s="92"/>
      <c r="KT7" s="92"/>
      <c r="KU7" s="92"/>
      <c r="KV7" s="92"/>
      <c r="KW7" s="92"/>
      <c r="KX7" s="92"/>
      <c r="KY7" s="92"/>
      <c r="KZ7" s="92"/>
      <c r="LA7" s="92"/>
      <c r="LB7" s="92"/>
      <c r="LC7" s="92"/>
      <c r="LD7" s="92"/>
      <c r="LE7" s="92"/>
      <c r="LF7" s="92"/>
      <c r="LG7" s="92"/>
      <c r="LH7" s="92"/>
      <c r="LI7" s="92"/>
      <c r="LJ7" s="92"/>
      <c r="LK7" s="92"/>
      <c r="LL7" s="92"/>
      <c r="LM7" s="92"/>
      <c r="LN7" s="92"/>
      <c r="LO7" s="92"/>
      <c r="LP7" s="92"/>
      <c r="LQ7" s="92"/>
      <c r="LR7" s="92"/>
      <c r="LS7" s="92"/>
      <c r="LT7" s="92"/>
      <c r="LU7" s="92"/>
      <c r="LV7" s="92"/>
      <c r="LW7" s="92"/>
      <c r="LX7" s="92"/>
      <c r="LY7" s="92"/>
      <c r="LZ7" s="92"/>
      <c r="MA7" s="92"/>
      <c r="MB7" s="92"/>
      <c r="MC7" s="92"/>
      <c r="MD7" s="92"/>
      <c r="ME7" s="92"/>
      <c r="MF7" s="92"/>
      <c r="MG7" s="92"/>
      <c r="MH7" s="92"/>
      <c r="MI7" s="92"/>
      <c r="MJ7" s="92"/>
      <c r="MK7" s="92"/>
      <c r="ML7" s="92"/>
      <c r="MM7" s="92"/>
      <c r="MN7" s="92"/>
      <c r="MO7" s="92"/>
      <c r="MP7" s="92"/>
      <c r="MQ7" s="92"/>
      <c r="MR7" s="92"/>
      <c r="MS7" s="92"/>
      <c r="MT7" s="92"/>
      <c r="MU7" s="92"/>
      <c r="MV7" s="92"/>
      <c r="MW7" s="92"/>
      <c r="MX7" s="92"/>
      <c r="MY7" s="92"/>
      <c r="MZ7" s="92"/>
      <c r="NA7" s="92"/>
      <c r="NB7" s="92"/>
      <c r="NC7" s="92"/>
      <c r="ND7" s="92"/>
      <c r="NE7" s="92"/>
      <c r="NF7" s="92"/>
      <c r="NG7" s="92"/>
      <c r="NH7" s="92"/>
      <c r="NI7" s="92"/>
      <c r="NJ7" s="92"/>
      <c r="NK7" s="92"/>
      <c r="NL7" s="92"/>
      <c r="NM7" s="92"/>
      <c r="NN7" s="92"/>
      <c r="NO7" s="92"/>
      <c r="NP7" s="92"/>
      <c r="NQ7" s="92"/>
      <c r="NR7" s="92"/>
      <c r="NS7" s="92"/>
      <c r="NT7" s="92"/>
      <c r="NU7" s="92"/>
      <c r="NV7" s="92"/>
      <c r="NW7" s="92"/>
      <c r="NX7" s="92"/>
      <c r="NY7" s="92"/>
      <c r="NZ7" s="92"/>
      <c r="OA7" s="92"/>
      <c r="OB7" s="92"/>
      <c r="OC7" s="92"/>
      <c r="OD7" s="92"/>
      <c r="OE7" s="92"/>
      <c r="OF7" s="92"/>
      <c r="OG7" s="92"/>
      <c r="OH7" s="92"/>
      <c r="OI7" s="92"/>
      <c r="OJ7" s="92"/>
      <c r="OK7" s="92"/>
      <c r="OL7" s="92"/>
      <c r="OM7" s="92"/>
      <c r="ON7" s="92"/>
      <c r="OO7" s="92"/>
      <c r="OP7" s="92"/>
      <c r="OQ7" s="92"/>
      <c r="OR7" s="92"/>
      <c r="OS7" s="92"/>
      <c r="OT7" s="92"/>
      <c r="OU7" s="92"/>
      <c r="OV7" s="92"/>
      <c r="OW7" s="92"/>
      <c r="OX7" s="92"/>
      <c r="OY7" s="92"/>
      <c r="OZ7" s="92"/>
      <c r="PA7" s="92"/>
      <c r="PB7" s="92"/>
      <c r="PC7" s="92"/>
      <c r="PD7" s="92"/>
      <c r="PE7" s="92"/>
      <c r="PF7" s="92"/>
      <c r="PG7" s="92"/>
      <c r="PH7" s="92"/>
      <c r="PI7" s="92"/>
      <c r="PJ7" s="92"/>
      <c r="PK7" s="92"/>
      <c r="PL7" s="92"/>
      <c r="PM7" s="92"/>
      <c r="PN7" s="92"/>
      <c r="PO7" s="92"/>
      <c r="PP7" s="92"/>
      <c r="PQ7" s="92"/>
      <c r="PR7" s="92"/>
      <c r="PS7" s="92"/>
      <c r="PT7" s="92"/>
      <c r="PU7" s="92"/>
      <c r="PV7" s="92"/>
      <c r="PW7" s="92"/>
      <c r="PX7" s="92"/>
      <c r="PY7" s="92"/>
      <c r="PZ7" s="92"/>
      <c r="QA7" s="92"/>
      <c r="QB7" s="92"/>
      <c r="QC7" s="92"/>
      <c r="QD7" s="92"/>
      <c r="QE7" s="92"/>
      <c r="QF7" s="92"/>
      <c r="QG7" s="92"/>
      <c r="QH7" s="92"/>
      <c r="QI7" s="92"/>
      <c r="QJ7" s="92"/>
      <c r="QK7" s="92"/>
      <c r="QL7" s="92"/>
      <c r="QM7" s="92"/>
      <c r="QN7" s="92"/>
      <c r="QO7" s="92"/>
    </row>
    <row r="8" spans="1:457" ht="15.75">
      <c r="A8" s="89">
        <v>6</v>
      </c>
      <c r="B8" s="89" t="s">
        <v>387</v>
      </c>
      <c r="C8" s="101" t="str">
        <f t="shared" si="2"/>
        <v>Manufacture of cement and concrete</v>
      </c>
      <c r="D8" s="281">
        <f t="shared" si="4"/>
        <v>9.5619655868946705</v>
      </c>
      <c r="E8" s="281">
        <f t="shared" si="4"/>
        <v>0.59378885509566059</v>
      </c>
      <c r="F8" s="281">
        <f t="shared" si="4"/>
        <v>36.469103949311219</v>
      </c>
      <c r="G8" s="280">
        <f t="shared" si="5"/>
        <v>46.624858391301551</v>
      </c>
      <c r="H8" s="94"/>
      <c r="I8" s="94"/>
      <c r="J8" s="94"/>
      <c r="K8" s="94"/>
      <c r="L8" s="94"/>
      <c r="M8" s="94"/>
      <c r="N8" s="94"/>
      <c r="O8" s="95"/>
      <c r="P8" s="95">
        <f t="shared" si="3"/>
        <v>46.624858391301551</v>
      </c>
      <c r="Q8" s="92"/>
      <c r="R8" s="92"/>
      <c r="S8" s="92"/>
      <c r="T8" s="66" t="s">
        <v>200</v>
      </c>
      <c r="U8" s="139">
        <v>2306.7730000000001</v>
      </c>
      <c r="V8" s="139">
        <v>2589.0442925679417</v>
      </c>
      <c r="W8" s="139">
        <v>5691.4509999999991</v>
      </c>
      <c r="X8" s="139">
        <v>223.72200000000001</v>
      </c>
      <c r="Y8" s="139">
        <v>1613.8495814901419</v>
      </c>
      <c r="Z8" s="139">
        <v>88.415000000000006</v>
      </c>
      <c r="AA8" s="139">
        <f t="shared" si="6"/>
        <v>2530.4950000000003</v>
      </c>
      <c r="AB8" s="139">
        <f t="shared" si="6"/>
        <v>4202.8938740580834</v>
      </c>
      <c r="AC8" s="139">
        <f t="shared" si="6"/>
        <v>5779.8659999999991</v>
      </c>
      <c r="AD8" s="144">
        <f t="shared" si="7"/>
        <v>12513.254874058082</v>
      </c>
      <c r="AF8" s="145"/>
      <c r="AG8" s="145"/>
      <c r="AH8" s="14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c r="IX8" s="92"/>
      <c r="IY8" s="92"/>
      <c r="IZ8" s="92"/>
      <c r="JA8" s="92"/>
      <c r="JB8" s="92"/>
      <c r="JC8" s="92"/>
      <c r="JD8" s="92"/>
      <c r="JE8" s="92"/>
      <c r="JF8" s="92"/>
      <c r="JG8" s="92"/>
      <c r="JH8" s="92"/>
      <c r="JI8" s="92"/>
      <c r="JJ8" s="92"/>
      <c r="JK8" s="92"/>
      <c r="JL8" s="92"/>
      <c r="JM8" s="92"/>
      <c r="JN8" s="92"/>
      <c r="JO8" s="92"/>
      <c r="JP8" s="92"/>
      <c r="JQ8" s="92"/>
      <c r="JR8" s="92"/>
      <c r="JS8" s="92"/>
      <c r="JT8" s="92"/>
      <c r="JU8" s="92"/>
      <c r="JV8" s="92"/>
      <c r="JW8" s="92"/>
      <c r="JX8" s="92"/>
      <c r="JY8" s="92"/>
      <c r="JZ8" s="92"/>
      <c r="KA8" s="92"/>
      <c r="KB8" s="92"/>
      <c r="KC8" s="92"/>
      <c r="KD8" s="92"/>
      <c r="KE8" s="92"/>
      <c r="KF8" s="92"/>
      <c r="KG8" s="92"/>
      <c r="KH8" s="92"/>
      <c r="KI8" s="92"/>
      <c r="KJ8" s="92"/>
      <c r="KK8" s="92"/>
      <c r="KL8" s="92"/>
      <c r="KM8" s="92"/>
      <c r="KN8" s="92"/>
      <c r="KO8" s="92"/>
      <c r="KP8" s="92"/>
      <c r="KQ8" s="92"/>
      <c r="KR8" s="92"/>
      <c r="KS8" s="92"/>
      <c r="KT8" s="92"/>
      <c r="KU8" s="92"/>
      <c r="KV8" s="92"/>
      <c r="KW8" s="92"/>
      <c r="KX8" s="92"/>
      <c r="KY8" s="92"/>
      <c r="KZ8" s="92"/>
      <c r="LA8" s="92"/>
      <c r="LB8" s="92"/>
      <c r="LC8" s="92"/>
      <c r="LD8" s="92"/>
      <c r="LE8" s="92"/>
      <c r="LF8" s="92"/>
      <c r="LG8" s="92"/>
      <c r="LH8" s="92"/>
      <c r="LI8" s="92"/>
      <c r="LJ8" s="92"/>
      <c r="LK8" s="92"/>
      <c r="LL8" s="92"/>
      <c r="LM8" s="92"/>
      <c r="LN8" s="92"/>
      <c r="LO8" s="92"/>
      <c r="LP8" s="92"/>
      <c r="LQ8" s="92"/>
      <c r="LR8" s="92"/>
      <c r="LS8" s="92"/>
      <c r="LT8" s="92"/>
      <c r="LU8" s="92"/>
      <c r="LV8" s="92"/>
      <c r="LW8" s="92"/>
      <c r="LX8" s="92"/>
      <c r="LY8" s="92"/>
      <c r="LZ8" s="92"/>
      <c r="MA8" s="92"/>
      <c r="MB8" s="92"/>
      <c r="MC8" s="92"/>
      <c r="MD8" s="92"/>
      <c r="ME8" s="92"/>
      <c r="MF8" s="92"/>
      <c r="MG8" s="92"/>
      <c r="MH8" s="92"/>
      <c r="MI8" s="92"/>
      <c r="MJ8" s="92"/>
      <c r="MK8" s="92"/>
      <c r="ML8" s="92"/>
      <c r="MM8" s="92"/>
      <c r="MN8" s="92"/>
      <c r="MO8" s="92"/>
      <c r="MP8" s="92"/>
      <c r="MQ8" s="92"/>
      <c r="MR8" s="92"/>
      <c r="MS8" s="92"/>
      <c r="MT8" s="92"/>
      <c r="MU8" s="92"/>
      <c r="MV8" s="92"/>
      <c r="MW8" s="92"/>
      <c r="MX8" s="92"/>
      <c r="MY8" s="92"/>
      <c r="MZ8" s="92"/>
      <c r="NA8" s="92"/>
      <c r="NB8" s="92"/>
      <c r="NC8" s="92"/>
      <c r="ND8" s="92"/>
      <c r="NE8" s="92"/>
      <c r="NF8" s="92"/>
      <c r="NG8" s="92"/>
      <c r="NH8" s="92"/>
      <c r="NI8" s="92"/>
      <c r="NJ8" s="92"/>
      <c r="NK8" s="92"/>
      <c r="NL8" s="92"/>
      <c r="NM8" s="92"/>
      <c r="NN8" s="92"/>
      <c r="NO8" s="92"/>
      <c r="NP8" s="92"/>
      <c r="NQ8" s="92"/>
      <c r="NR8" s="92"/>
      <c r="NS8" s="92"/>
      <c r="NT8" s="92"/>
      <c r="NU8" s="92"/>
      <c r="NV8" s="92"/>
      <c r="NW8" s="92"/>
      <c r="NX8" s="92"/>
      <c r="NY8" s="92"/>
      <c r="NZ8" s="92"/>
      <c r="OA8" s="92"/>
      <c r="OB8" s="92"/>
      <c r="OC8" s="92"/>
      <c r="OD8" s="92"/>
      <c r="OE8" s="92"/>
      <c r="OF8" s="92"/>
      <c r="OG8" s="92"/>
      <c r="OH8" s="92"/>
      <c r="OI8" s="92"/>
      <c r="OJ8" s="92"/>
      <c r="OK8" s="92"/>
      <c r="OL8" s="92"/>
      <c r="OM8" s="92"/>
      <c r="ON8" s="92"/>
      <c r="OO8" s="92"/>
      <c r="OP8" s="92"/>
      <c r="OQ8" s="92"/>
      <c r="OR8" s="92"/>
      <c r="OS8" s="92"/>
      <c r="OT8" s="92"/>
      <c r="OU8" s="92"/>
      <c r="OV8" s="92"/>
      <c r="OW8" s="92"/>
      <c r="OX8" s="92"/>
      <c r="OY8" s="92"/>
      <c r="OZ8" s="92"/>
      <c r="PA8" s="92"/>
      <c r="PB8" s="92"/>
      <c r="PC8" s="92"/>
      <c r="PD8" s="92"/>
      <c r="PE8" s="92"/>
      <c r="PF8" s="92"/>
      <c r="PG8" s="92"/>
      <c r="PH8" s="92"/>
      <c r="PI8" s="92"/>
      <c r="PJ8" s="92"/>
      <c r="PK8" s="92"/>
      <c r="PL8" s="92"/>
      <c r="PM8" s="92"/>
      <c r="PN8" s="92"/>
      <c r="PO8" s="92"/>
      <c r="PP8" s="92"/>
      <c r="PQ8" s="92"/>
      <c r="PR8" s="92"/>
      <c r="PS8" s="92"/>
      <c r="PT8" s="92"/>
      <c r="PU8" s="92"/>
      <c r="PV8" s="92"/>
      <c r="PW8" s="92"/>
      <c r="PX8" s="92"/>
      <c r="PY8" s="92"/>
      <c r="PZ8" s="92"/>
      <c r="QA8" s="92"/>
      <c r="QB8" s="92"/>
      <c r="QC8" s="92"/>
      <c r="QD8" s="92"/>
      <c r="QE8" s="92"/>
      <c r="QF8" s="92"/>
      <c r="QG8" s="92"/>
      <c r="QH8" s="92"/>
      <c r="QI8" s="92"/>
      <c r="QJ8" s="92"/>
      <c r="QK8" s="92"/>
      <c r="QL8" s="92"/>
      <c r="QM8" s="92"/>
      <c r="QN8" s="92"/>
      <c r="QO8" s="92"/>
    </row>
    <row r="9" spans="1:457" ht="15.75">
      <c r="A9" s="89">
        <v>7</v>
      </c>
      <c r="B9" s="89" t="s">
        <v>387</v>
      </c>
      <c r="C9" s="101" t="str">
        <f t="shared" si="2"/>
        <v>Manufacture of steel</v>
      </c>
      <c r="D9" s="281">
        <f t="shared" si="4"/>
        <v>18.396719470326147</v>
      </c>
      <c r="E9" s="281">
        <f t="shared" si="4"/>
        <v>20.16167846846837</v>
      </c>
      <c r="F9" s="281">
        <f t="shared" si="4"/>
        <v>20.39679574649913</v>
      </c>
      <c r="G9" s="280">
        <f t="shared" si="5"/>
        <v>58.955193685293644</v>
      </c>
      <c r="H9" s="94"/>
      <c r="I9" s="94"/>
      <c r="J9" s="94"/>
      <c r="K9" s="94"/>
      <c r="L9" s="94"/>
      <c r="M9" s="94"/>
      <c r="N9" s="94"/>
      <c r="O9" s="95"/>
      <c r="P9" s="95">
        <f t="shared" si="3"/>
        <v>58.955193685293644</v>
      </c>
      <c r="Q9" s="92"/>
      <c r="R9" s="92"/>
      <c r="S9" s="92"/>
      <c r="T9" s="66" t="s">
        <v>201</v>
      </c>
      <c r="U9" s="139">
        <v>39988.79</v>
      </c>
      <c r="V9" s="139">
        <v>15021.208104034034</v>
      </c>
      <c r="W9" s="139">
        <v>7047.6846964529095</v>
      </c>
      <c r="X9" s="139">
        <v>952.64800000000002</v>
      </c>
      <c r="Y9" s="139">
        <v>28199.995532843135</v>
      </c>
      <c r="Z9" s="139">
        <v>16.126166414771056</v>
      </c>
      <c r="AA9" s="139">
        <f t="shared" si="6"/>
        <v>40941.438000000002</v>
      </c>
      <c r="AB9" s="139">
        <f t="shared" si="6"/>
        <v>43221.203636877166</v>
      </c>
      <c r="AC9" s="139">
        <f t="shared" si="6"/>
        <v>7063.810862867681</v>
      </c>
      <c r="AD9" s="144">
        <f t="shared" si="7"/>
        <v>91226.452499744861</v>
      </c>
      <c r="AF9" s="145"/>
      <c r="AG9" s="145"/>
      <c r="AH9" s="145"/>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c r="JD9" s="92"/>
      <c r="JE9" s="92"/>
      <c r="JF9" s="92"/>
      <c r="JG9" s="92"/>
      <c r="JH9" s="92"/>
      <c r="JI9" s="92"/>
      <c r="JJ9" s="92"/>
      <c r="JK9" s="92"/>
      <c r="JL9" s="92"/>
      <c r="JM9" s="92"/>
      <c r="JN9" s="92"/>
      <c r="JO9" s="92"/>
      <c r="JP9" s="92"/>
      <c r="JQ9" s="92"/>
      <c r="JR9" s="92"/>
      <c r="JS9" s="92"/>
      <c r="JT9" s="92"/>
      <c r="JU9" s="92"/>
      <c r="JV9" s="92"/>
      <c r="JW9" s="92"/>
      <c r="JX9" s="92"/>
      <c r="JY9" s="92"/>
      <c r="JZ9" s="92"/>
      <c r="KA9" s="92"/>
      <c r="KB9" s="92"/>
      <c r="KC9" s="92"/>
      <c r="KD9" s="92"/>
      <c r="KE9" s="92"/>
      <c r="KF9" s="92"/>
      <c r="KG9" s="92"/>
      <c r="KH9" s="92"/>
      <c r="KI9" s="92"/>
      <c r="KJ9" s="92"/>
      <c r="KK9" s="92"/>
      <c r="KL9" s="92"/>
      <c r="KM9" s="92"/>
      <c r="KN9" s="92"/>
      <c r="KO9" s="92"/>
      <c r="KP9" s="92"/>
      <c r="KQ9" s="92"/>
      <c r="KR9" s="92"/>
      <c r="KS9" s="92"/>
      <c r="KT9" s="92"/>
      <c r="KU9" s="92"/>
      <c r="KV9" s="92"/>
      <c r="KW9" s="92"/>
      <c r="KX9" s="92"/>
      <c r="KY9" s="92"/>
      <c r="KZ9" s="92"/>
      <c r="LA9" s="92"/>
      <c r="LB9" s="92"/>
      <c r="LC9" s="92"/>
      <c r="LD9" s="92"/>
      <c r="LE9" s="92"/>
      <c r="LF9" s="92"/>
      <c r="LG9" s="92"/>
      <c r="LH9" s="92"/>
      <c r="LI9" s="92"/>
      <c r="LJ9" s="92"/>
      <c r="LK9" s="92"/>
      <c r="LL9" s="92"/>
      <c r="LM9" s="92"/>
      <c r="LN9" s="92"/>
      <c r="LO9" s="92"/>
      <c r="LP9" s="92"/>
      <c r="LQ9" s="92"/>
      <c r="LR9" s="92"/>
      <c r="LS9" s="92"/>
      <c r="LT9" s="92"/>
      <c r="LU9" s="92"/>
      <c r="LV9" s="92"/>
      <c r="LW9" s="92"/>
      <c r="LX9" s="92"/>
      <c r="LY9" s="92"/>
      <c r="LZ9" s="92"/>
      <c r="MA9" s="92"/>
      <c r="MB9" s="92"/>
      <c r="MC9" s="92"/>
      <c r="MD9" s="92"/>
      <c r="ME9" s="92"/>
      <c r="MF9" s="92"/>
      <c r="MG9" s="92"/>
      <c r="MH9" s="92"/>
      <c r="MI9" s="92"/>
      <c r="MJ9" s="92"/>
      <c r="MK9" s="92"/>
      <c r="ML9" s="92"/>
      <c r="MM9" s="92"/>
      <c r="MN9" s="92"/>
      <c r="MO9" s="92"/>
      <c r="MP9" s="92"/>
      <c r="MQ9" s="92"/>
      <c r="MR9" s="92"/>
      <c r="MS9" s="92"/>
      <c r="MT9" s="92"/>
      <c r="MU9" s="92"/>
      <c r="MV9" s="92"/>
      <c r="MW9" s="92"/>
      <c r="MX9" s="92"/>
      <c r="MY9" s="92"/>
      <c r="MZ9" s="92"/>
      <c r="NA9" s="92"/>
      <c r="NB9" s="92"/>
      <c r="NC9" s="92"/>
      <c r="ND9" s="92"/>
      <c r="NE9" s="92"/>
      <c r="NF9" s="92"/>
      <c r="NG9" s="92"/>
      <c r="NH9" s="92"/>
      <c r="NI9" s="92"/>
      <c r="NJ9" s="92"/>
      <c r="NK9" s="92"/>
      <c r="NL9" s="92"/>
      <c r="NM9" s="92"/>
      <c r="NN9" s="92"/>
      <c r="NO9" s="92"/>
      <c r="NP9" s="92"/>
      <c r="NQ9" s="92"/>
      <c r="NR9" s="92"/>
      <c r="NS9" s="92"/>
      <c r="NT9" s="92"/>
      <c r="NU9" s="92"/>
      <c r="NV9" s="92"/>
      <c r="NW9" s="92"/>
      <c r="NX9" s="92"/>
      <c r="NY9" s="92"/>
      <c r="NZ9" s="92"/>
      <c r="OA9" s="92"/>
      <c r="OB9" s="92"/>
      <c r="OC9" s="92"/>
      <c r="OD9" s="92"/>
      <c r="OE9" s="92"/>
      <c r="OF9" s="92"/>
      <c r="OG9" s="92"/>
      <c r="OH9" s="92"/>
      <c r="OI9" s="92"/>
      <c r="OJ9" s="92"/>
      <c r="OK9" s="92"/>
      <c r="OL9" s="92"/>
      <c r="OM9" s="92"/>
      <c r="ON9" s="92"/>
      <c r="OO9" s="92"/>
      <c r="OP9" s="92"/>
      <c r="OQ9" s="92"/>
      <c r="OR9" s="92"/>
      <c r="OS9" s="92"/>
      <c r="OT9" s="92"/>
      <c r="OU9" s="92"/>
      <c r="OV9" s="92"/>
      <c r="OW9" s="92"/>
      <c r="OX9" s="92"/>
      <c r="OY9" s="92"/>
      <c r="OZ9" s="92"/>
      <c r="PA9" s="92"/>
      <c r="PB9" s="92"/>
      <c r="PC9" s="92"/>
      <c r="PD9" s="92"/>
      <c r="PE9" s="92"/>
      <c r="PF9" s="92"/>
      <c r="PG9" s="92"/>
      <c r="PH9" s="92"/>
      <c r="PI9" s="92"/>
      <c r="PJ9" s="92"/>
      <c r="PK9" s="92"/>
      <c r="PL9" s="92"/>
      <c r="PM9" s="92"/>
      <c r="PN9" s="92"/>
      <c r="PO9" s="92"/>
      <c r="PP9" s="92"/>
      <c r="PQ9" s="92"/>
      <c r="PR9" s="92"/>
      <c r="PS9" s="92"/>
      <c r="PT9" s="92"/>
      <c r="PU9" s="92"/>
      <c r="PV9" s="92"/>
      <c r="PW9" s="92"/>
      <c r="PX9" s="92"/>
      <c r="PY9" s="92"/>
      <c r="PZ9" s="92"/>
      <c r="QA9" s="92"/>
      <c r="QB9" s="92"/>
      <c r="QC9" s="92"/>
      <c r="QD9" s="92"/>
      <c r="QE9" s="92"/>
      <c r="QF9" s="92"/>
      <c r="QG9" s="92"/>
      <c r="QH9" s="92"/>
      <c r="QI9" s="92"/>
      <c r="QJ9" s="92"/>
      <c r="QK9" s="92"/>
      <c r="QL9" s="92"/>
      <c r="QM9" s="92"/>
      <c r="QN9" s="92"/>
      <c r="QO9" s="92"/>
    </row>
    <row r="10" spans="1:457" ht="15.75">
      <c r="A10" s="89">
        <v>8</v>
      </c>
      <c r="B10" s="89" t="s">
        <v>387</v>
      </c>
      <c r="C10" s="101" t="str">
        <f t="shared" si="2"/>
        <v>Manufature of machine and equipment</v>
      </c>
      <c r="D10" s="281">
        <f t="shared" si="4"/>
        <v>19.773732006934061</v>
      </c>
      <c r="E10" s="281">
        <f t="shared" si="4"/>
        <v>14.683862966835878</v>
      </c>
      <c r="F10" s="281">
        <f t="shared" si="4"/>
        <v>94.430589685056972</v>
      </c>
      <c r="G10" s="280">
        <f t="shared" si="5"/>
        <v>128.8881846588269</v>
      </c>
      <c r="H10" s="94"/>
      <c r="I10" s="94"/>
      <c r="J10" s="94"/>
      <c r="K10" s="94"/>
      <c r="L10" s="94"/>
      <c r="M10" s="94"/>
      <c r="N10" s="94"/>
      <c r="O10" s="95"/>
      <c r="P10" s="95">
        <f t="shared" si="3"/>
        <v>128.8881846588269</v>
      </c>
      <c r="Q10" s="92"/>
      <c r="R10" s="92"/>
      <c r="S10" s="92"/>
      <c r="T10" s="66" t="s">
        <v>202</v>
      </c>
      <c r="U10" s="139">
        <v>1486.569</v>
      </c>
      <c r="V10" s="139">
        <v>36.139726226529376</v>
      </c>
      <c r="W10" s="139">
        <v>11459.716</v>
      </c>
      <c r="X10" s="139">
        <v>2189.8240000000001</v>
      </c>
      <c r="Y10" s="139">
        <v>51.841343832020996</v>
      </c>
      <c r="Z10" s="139">
        <v>25.635000000000002</v>
      </c>
      <c r="AA10" s="139">
        <f t="shared" si="6"/>
        <v>3676.393</v>
      </c>
      <c r="AB10" s="139">
        <f t="shared" si="6"/>
        <v>87.981070058550372</v>
      </c>
      <c r="AC10" s="139">
        <f t="shared" si="6"/>
        <v>11485.351000000001</v>
      </c>
      <c r="AD10" s="144">
        <f t="shared" si="7"/>
        <v>15249.72507005855</v>
      </c>
      <c r="AF10" s="145"/>
      <c r="AG10" s="145"/>
      <c r="AH10" s="145"/>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2"/>
      <c r="HE10" s="92"/>
      <c r="HF10" s="92"/>
      <c r="HG10" s="92"/>
      <c r="HH10" s="92"/>
      <c r="HI10" s="92"/>
      <c r="HJ10" s="92"/>
      <c r="HK10" s="92"/>
      <c r="HL10" s="92"/>
      <c r="HM10" s="92"/>
      <c r="HN10" s="92"/>
      <c r="HO10" s="92"/>
      <c r="HP10" s="92"/>
      <c r="HQ10" s="92"/>
      <c r="HR10" s="92"/>
      <c r="HS10" s="92"/>
      <c r="HT10" s="92"/>
      <c r="HU10" s="92"/>
      <c r="HV10" s="92"/>
      <c r="HW10" s="92"/>
      <c r="HX10" s="92"/>
      <c r="HY10" s="92"/>
      <c r="HZ10" s="92"/>
      <c r="IA10" s="92"/>
      <c r="IB10" s="92"/>
      <c r="IC10" s="92"/>
      <c r="ID10" s="92"/>
      <c r="IE10" s="92"/>
      <c r="IF10" s="92"/>
      <c r="IG10" s="92"/>
      <c r="IH10" s="92"/>
      <c r="II10" s="92"/>
      <c r="IJ10" s="92"/>
      <c r="IK10" s="92"/>
      <c r="IL10" s="92"/>
      <c r="IM10" s="92"/>
      <c r="IN10" s="92"/>
      <c r="IO10" s="92"/>
      <c r="IP10" s="92"/>
      <c r="IQ10" s="92"/>
      <c r="IR10" s="92"/>
      <c r="IS10" s="92"/>
      <c r="IT10" s="92"/>
      <c r="IU10" s="92"/>
      <c r="IV10" s="92"/>
      <c r="IW10" s="92"/>
      <c r="IX10" s="92"/>
      <c r="IY10" s="92"/>
      <c r="IZ10" s="92"/>
      <c r="JA10" s="92"/>
      <c r="JB10" s="92"/>
      <c r="JC10" s="92"/>
      <c r="JD10" s="92"/>
      <c r="JE10" s="92"/>
      <c r="JF10" s="92"/>
      <c r="JG10" s="92"/>
      <c r="JH10" s="92"/>
      <c r="JI10" s="92"/>
      <c r="JJ10" s="92"/>
      <c r="JK10" s="92"/>
      <c r="JL10" s="92"/>
      <c r="JM10" s="92"/>
      <c r="JN10" s="92"/>
      <c r="JO10" s="92"/>
      <c r="JP10" s="92"/>
      <c r="JQ10" s="92"/>
      <c r="JR10" s="92"/>
      <c r="JS10" s="92"/>
      <c r="JT10" s="92"/>
      <c r="JU10" s="92"/>
      <c r="JV10" s="92"/>
      <c r="JW10" s="92"/>
      <c r="JX10" s="92"/>
      <c r="JY10" s="92"/>
      <c r="JZ10" s="92"/>
      <c r="KA10" s="92"/>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2"/>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2"/>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2"/>
      <c r="MY10" s="92"/>
      <c r="MZ10" s="92"/>
      <c r="NA10" s="92"/>
      <c r="NB10" s="92"/>
      <c r="NC10" s="92"/>
      <c r="ND10" s="92"/>
      <c r="NE10" s="92"/>
      <c r="NF10" s="92"/>
      <c r="NG10" s="92"/>
      <c r="NH10" s="92"/>
      <c r="NI10" s="92"/>
      <c r="NJ10" s="92"/>
      <c r="NK10" s="92"/>
      <c r="NL10" s="92"/>
      <c r="NM10" s="92"/>
      <c r="NN10" s="92"/>
      <c r="NO10" s="92"/>
      <c r="NP10" s="92"/>
      <c r="NQ10" s="92"/>
      <c r="NR10" s="92"/>
      <c r="NS10" s="92"/>
      <c r="NT10" s="92"/>
      <c r="NU10" s="92"/>
      <c r="NV10" s="92"/>
      <c r="NW10" s="92"/>
      <c r="NX10" s="92"/>
      <c r="NY10" s="92"/>
      <c r="NZ10" s="92"/>
      <c r="OA10" s="92"/>
      <c r="OB10" s="92"/>
      <c r="OC10" s="92"/>
      <c r="OD10" s="92"/>
      <c r="OE10" s="92"/>
      <c r="OF10" s="92"/>
      <c r="OG10" s="92"/>
      <c r="OH10" s="92"/>
      <c r="OI10" s="92"/>
      <c r="OJ10" s="92"/>
      <c r="OK10" s="92"/>
      <c r="OL10" s="92"/>
      <c r="OM10" s="92"/>
      <c r="ON10" s="92"/>
      <c r="OO10" s="92"/>
      <c r="OP10" s="92"/>
      <c r="OQ10" s="92"/>
      <c r="OR10" s="92"/>
      <c r="OS10" s="92"/>
      <c r="OT10" s="92"/>
      <c r="OU10" s="92"/>
      <c r="OV10" s="92"/>
      <c r="OW10" s="92"/>
      <c r="OX10" s="92"/>
      <c r="OY10" s="92"/>
      <c r="OZ10" s="92"/>
      <c r="PA10" s="92"/>
      <c r="PB10" s="92"/>
      <c r="PC10" s="92"/>
      <c r="PD10" s="92"/>
      <c r="PE10" s="92"/>
      <c r="PF10" s="92"/>
      <c r="PG10" s="92"/>
      <c r="PH10" s="92"/>
      <c r="PI10" s="92"/>
      <c r="PJ10" s="92"/>
      <c r="PK10" s="92"/>
      <c r="PL10" s="92"/>
      <c r="PM10" s="92"/>
      <c r="PN10" s="92"/>
      <c r="PO10" s="92"/>
      <c r="PP10" s="92"/>
      <c r="PQ10" s="92"/>
      <c r="PR10" s="92"/>
      <c r="PS10" s="92"/>
      <c r="PT10" s="92"/>
      <c r="PU10" s="92"/>
      <c r="PV10" s="92"/>
      <c r="PW10" s="92"/>
      <c r="PX10" s="92"/>
      <c r="PY10" s="92"/>
      <c r="PZ10" s="92"/>
      <c r="QA10" s="92"/>
      <c r="QB10" s="92"/>
      <c r="QC10" s="92"/>
      <c r="QD10" s="92"/>
      <c r="QE10" s="92"/>
      <c r="QF10" s="92"/>
      <c r="QG10" s="92"/>
      <c r="QH10" s="92"/>
      <c r="QI10" s="92"/>
      <c r="QJ10" s="92"/>
      <c r="QK10" s="92"/>
      <c r="QL10" s="92"/>
      <c r="QM10" s="92"/>
      <c r="QN10" s="92"/>
      <c r="QO10" s="92"/>
    </row>
    <row r="11" spans="1:457" ht="15.75">
      <c r="A11" s="89">
        <v>9</v>
      </c>
      <c r="B11" s="89" t="s">
        <v>387</v>
      </c>
      <c r="C11" s="223" t="str">
        <f t="shared" si="2"/>
        <v>Extraction of oil and gas</v>
      </c>
      <c r="D11" s="281">
        <f>AA13/U94</f>
        <v>291.61959833681976</v>
      </c>
      <c r="E11" s="281">
        <f>AB13/V94</f>
        <v>224.70253577680216</v>
      </c>
      <c r="F11" s="281">
        <f>AC13/W94</f>
        <v>1.7366291610818596</v>
      </c>
      <c r="G11" s="280">
        <f t="shared" si="5"/>
        <v>518.05876327470378</v>
      </c>
      <c r="H11" s="94"/>
      <c r="I11" s="94"/>
      <c r="J11" s="94"/>
      <c r="K11" s="94"/>
      <c r="L11" s="94"/>
      <c r="M11" s="94"/>
      <c r="N11" s="94"/>
      <c r="O11" s="95"/>
      <c r="P11" s="95">
        <f t="shared" si="3"/>
        <v>518.05876327470378</v>
      </c>
      <c r="Q11" s="92"/>
      <c r="R11" s="92"/>
      <c r="S11" s="92"/>
      <c r="T11" s="66" t="s">
        <v>203</v>
      </c>
      <c r="U11" s="139">
        <v>2309.3200000000002</v>
      </c>
      <c r="V11" s="139">
        <v>2733.3088366185839</v>
      </c>
      <c r="W11" s="139">
        <v>6369.0559999999996</v>
      </c>
      <c r="X11" s="139">
        <v>4763.8670000000002</v>
      </c>
      <c r="Y11" s="139">
        <v>254.02585417232382</v>
      </c>
      <c r="Z11" s="139">
        <v>54.582999999999998</v>
      </c>
      <c r="AA11" s="139">
        <f t="shared" si="6"/>
        <v>7073.1869999999999</v>
      </c>
      <c r="AB11" s="139">
        <f t="shared" si="6"/>
        <v>2987.3346907909076</v>
      </c>
      <c r="AC11" s="139">
        <f t="shared" si="6"/>
        <v>6423.6389999999992</v>
      </c>
      <c r="AD11" s="144">
        <f t="shared" si="7"/>
        <v>16484.160690790908</v>
      </c>
      <c r="AF11" s="145"/>
      <c r="AG11" s="145"/>
      <c r="AH11" s="145"/>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c r="JD11" s="92"/>
      <c r="JE11" s="92"/>
      <c r="JF11" s="92"/>
      <c r="JG11" s="92"/>
      <c r="JH11" s="92"/>
      <c r="JI11" s="92"/>
      <c r="JJ11" s="92"/>
      <c r="JK11" s="92"/>
      <c r="JL11" s="92"/>
      <c r="JM11" s="92"/>
      <c r="JN11" s="92"/>
      <c r="JO11" s="92"/>
      <c r="JP11" s="92"/>
      <c r="JQ11" s="92"/>
      <c r="JR11" s="92"/>
      <c r="JS11" s="92"/>
      <c r="JT11" s="92"/>
      <c r="JU11" s="92"/>
      <c r="JV11" s="92"/>
      <c r="JW11" s="92"/>
      <c r="JX11" s="92"/>
      <c r="JY11" s="92"/>
      <c r="JZ11" s="92"/>
      <c r="KA11" s="92"/>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2"/>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2"/>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2"/>
      <c r="MY11" s="92"/>
      <c r="MZ11" s="92"/>
      <c r="NA11" s="92"/>
      <c r="NB11" s="92"/>
      <c r="NC11" s="92"/>
      <c r="ND11" s="92"/>
      <c r="NE11" s="92"/>
      <c r="NF11" s="92"/>
      <c r="NG11" s="92"/>
      <c r="NH11" s="92"/>
      <c r="NI11" s="92"/>
      <c r="NJ11" s="92"/>
      <c r="NK11" s="92"/>
      <c r="NL11" s="92"/>
      <c r="NM11" s="92"/>
      <c r="NN11" s="92"/>
      <c r="NO11" s="92"/>
      <c r="NP11" s="92"/>
      <c r="NQ11" s="92"/>
      <c r="NR11" s="92"/>
      <c r="NS11" s="92"/>
      <c r="NT11" s="92"/>
      <c r="NU11" s="92"/>
      <c r="NV11" s="92"/>
      <c r="NW11" s="92"/>
      <c r="NX11" s="92"/>
      <c r="NY11" s="92"/>
      <c r="NZ11" s="92"/>
      <c r="OA11" s="92"/>
      <c r="OB11" s="92"/>
      <c r="OC11" s="92"/>
      <c r="OD11" s="92"/>
      <c r="OE11" s="92"/>
      <c r="OF11" s="92"/>
      <c r="OG11" s="92"/>
      <c r="OH11" s="92"/>
      <c r="OI11" s="92"/>
      <c r="OJ11" s="92"/>
      <c r="OK11" s="92"/>
      <c r="OL11" s="92"/>
      <c r="OM11" s="92"/>
      <c r="ON11" s="92"/>
      <c r="OO11" s="92"/>
      <c r="OP11" s="92"/>
      <c r="OQ11" s="92"/>
      <c r="OR11" s="92"/>
      <c r="OS11" s="92"/>
      <c r="OT11" s="92"/>
      <c r="OU11" s="92"/>
      <c r="OV11" s="92"/>
      <c r="OW11" s="92"/>
      <c r="OX11" s="92"/>
      <c r="OY11" s="92"/>
      <c r="OZ11" s="92"/>
      <c r="PA11" s="92"/>
      <c r="PB11" s="92"/>
      <c r="PC11" s="92"/>
      <c r="PD11" s="92"/>
      <c r="PE11" s="92"/>
      <c r="PF11" s="92"/>
      <c r="PG11" s="92"/>
      <c r="PH11" s="92"/>
      <c r="PI11" s="92"/>
      <c r="PJ11" s="92"/>
      <c r="PK11" s="92"/>
      <c r="PL11" s="92"/>
      <c r="PM11" s="92"/>
      <c r="PN11" s="92"/>
      <c r="PO11" s="92"/>
      <c r="PP11" s="92"/>
      <c r="PQ11" s="92"/>
      <c r="PR11" s="92"/>
      <c r="PS11" s="92"/>
      <c r="PT11" s="92"/>
      <c r="PU11" s="92"/>
      <c r="PV11" s="92"/>
      <c r="PW11" s="92"/>
      <c r="PX11" s="92"/>
      <c r="PY11" s="92"/>
      <c r="PZ11" s="92"/>
      <c r="QA11" s="92"/>
      <c r="QB11" s="92"/>
      <c r="QC11" s="92"/>
      <c r="QD11" s="92"/>
      <c r="QE11" s="92"/>
      <c r="QF11" s="92"/>
      <c r="QG11" s="92"/>
      <c r="QH11" s="92"/>
      <c r="QI11" s="92"/>
      <c r="QJ11" s="92"/>
      <c r="QK11" s="92"/>
      <c r="QL11" s="92"/>
      <c r="QM11" s="92"/>
      <c r="QN11" s="92"/>
      <c r="QO11" s="92"/>
    </row>
    <row r="12" spans="1:457" ht="15.75">
      <c r="A12" s="89">
        <v>10</v>
      </c>
      <c r="B12" s="89" t="s">
        <v>387</v>
      </c>
      <c r="C12" s="101" t="str">
        <f t="shared" si="2"/>
        <v>Construction of buildings</v>
      </c>
      <c r="D12" s="281">
        <f t="shared" ref="D12:F13" si="8">AA14/U$89</f>
        <v>82.629075106968372</v>
      </c>
      <c r="E12" s="281">
        <f t="shared" si="8"/>
        <v>11.320160035015009</v>
      </c>
      <c r="F12" s="281">
        <f t="shared" si="8"/>
        <v>5.2016149268768066</v>
      </c>
      <c r="G12" s="280">
        <f t="shared" si="5"/>
        <v>99.15085006886018</v>
      </c>
      <c r="H12" s="94"/>
      <c r="I12" s="94"/>
      <c r="J12" s="94"/>
      <c r="K12" s="94"/>
      <c r="L12" s="94"/>
      <c r="M12" s="94"/>
      <c r="N12" s="94"/>
      <c r="O12" s="95"/>
      <c r="P12" s="95">
        <f t="shared" si="3"/>
        <v>99.15085006886018</v>
      </c>
      <c r="Q12" s="92"/>
      <c r="R12" s="92"/>
      <c r="S12" s="92"/>
      <c r="T12" s="66" t="s">
        <v>204</v>
      </c>
      <c r="U12" s="139">
        <v>6117.14</v>
      </c>
      <c r="V12" s="139">
        <v>959.19068066248633</v>
      </c>
      <c r="W12" s="139">
        <v>29556.031999999992</v>
      </c>
      <c r="X12" s="139">
        <v>1485.4820000000002</v>
      </c>
      <c r="Y12" s="139">
        <v>1216.5018493147104</v>
      </c>
      <c r="Z12" s="139">
        <v>183.346</v>
      </c>
      <c r="AA12" s="139">
        <f t="shared" si="6"/>
        <v>7602.6220000000003</v>
      </c>
      <c r="AB12" s="139">
        <f t="shared" si="6"/>
        <v>2175.6925299771965</v>
      </c>
      <c r="AC12" s="139">
        <f t="shared" si="6"/>
        <v>29739.377999999993</v>
      </c>
      <c r="AD12" s="144">
        <f t="shared" si="7"/>
        <v>39517.69252997719</v>
      </c>
      <c r="AF12" s="145"/>
      <c r="AG12" s="145"/>
      <c r="AH12" s="145"/>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c r="JD12" s="92"/>
      <c r="JE12" s="92"/>
      <c r="JF12" s="92"/>
      <c r="JG12" s="92"/>
      <c r="JH12" s="92"/>
      <c r="JI12" s="92"/>
      <c r="JJ12" s="92"/>
      <c r="JK12" s="92"/>
      <c r="JL12" s="92"/>
      <c r="JM12" s="92"/>
      <c r="JN12" s="92"/>
      <c r="JO12" s="92"/>
      <c r="JP12" s="92"/>
      <c r="JQ12" s="92"/>
      <c r="JR12" s="92"/>
      <c r="JS12" s="92"/>
      <c r="JT12" s="92"/>
      <c r="JU12" s="92"/>
      <c r="JV12" s="92"/>
      <c r="JW12" s="92"/>
      <c r="JX12" s="92"/>
      <c r="JY12" s="92"/>
      <c r="JZ12" s="92"/>
      <c r="KA12" s="92"/>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2"/>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2"/>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2"/>
      <c r="MY12" s="92"/>
      <c r="MZ12" s="92"/>
      <c r="NA12" s="92"/>
      <c r="NB12" s="92"/>
      <c r="NC12" s="92"/>
      <c r="ND12" s="92"/>
      <c r="NE12" s="92"/>
      <c r="NF12" s="92"/>
      <c r="NG12" s="92"/>
      <c r="NH12" s="92"/>
      <c r="NI12" s="92"/>
      <c r="NJ12" s="92"/>
      <c r="NK12" s="92"/>
      <c r="NL12" s="92"/>
      <c r="NM12" s="92"/>
      <c r="NN12" s="92"/>
      <c r="NO12" s="92"/>
      <c r="NP12" s="92"/>
      <c r="NQ12" s="92"/>
      <c r="NR12" s="92"/>
      <c r="NS12" s="92"/>
      <c r="NT12" s="92"/>
      <c r="NU12" s="92"/>
      <c r="NV12" s="92"/>
      <c r="NW12" s="92"/>
      <c r="NX12" s="92"/>
      <c r="NY12" s="92"/>
      <c r="NZ12" s="92"/>
      <c r="OA12" s="92"/>
      <c r="OB12" s="92"/>
      <c r="OC12" s="92"/>
      <c r="OD12" s="92"/>
      <c r="OE12" s="92"/>
      <c r="OF12" s="92"/>
      <c r="OG12" s="92"/>
      <c r="OH12" s="92"/>
      <c r="OI12" s="92"/>
      <c r="OJ12" s="92"/>
      <c r="OK12" s="92"/>
      <c r="OL12" s="92"/>
      <c r="OM12" s="92"/>
      <c r="ON12" s="92"/>
      <c r="OO12" s="92"/>
      <c r="OP12" s="92"/>
      <c r="OQ12" s="92"/>
      <c r="OR12" s="92"/>
      <c r="OS12" s="92"/>
      <c r="OT12" s="92"/>
      <c r="OU12" s="92"/>
      <c r="OV12" s="92"/>
      <c r="OW12" s="92"/>
      <c r="OX12" s="92"/>
      <c r="OY12" s="92"/>
      <c r="OZ12" s="92"/>
      <c r="PA12" s="92"/>
      <c r="PB12" s="92"/>
      <c r="PC12" s="92"/>
      <c r="PD12" s="92"/>
      <c r="PE12" s="92"/>
      <c r="PF12" s="92"/>
      <c r="PG12" s="92"/>
      <c r="PH12" s="92"/>
      <c r="PI12" s="92"/>
      <c r="PJ12" s="92"/>
      <c r="PK12" s="92"/>
      <c r="PL12" s="92"/>
      <c r="PM12" s="92"/>
      <c r="PN12" s="92"/>
      <c r="PO12" s="92"/>
      <c r="PP12" s="92"/>
      <c r="PQ12" s="92"/>
      <c r="PR12" s="92"/>
      <c r="PS12" s="92"/>
      <c r="PT12" s="92"/>
      <c r="PU12" s="92"/>
      <c r="PV12" s="92"/>
      <c r="PW12" s="92"/>
      <c r="PX12" s="92"/>
      <c r="PY12" s="92"/>
      <c r="PZ12" s="92"/>
      <c r="QA12" s="92"/>
      <c r="QB12" s="92"/>
      <c r="QC12" s="92"/>
      <c r="QD12" s="92"/>
      <c r="QE12" s="92"/>
      <c r="QF12" s="92"/>
      <c r="QG12" s="92"/>
      <c r="QH12" s="92"/>
      <c r="QI12" s="92"/>
      <c r="QJ12" s="92"/>
      <c r="QK12" s="92"/>
      <c r="QL12" s="92"/>
      <c r="QM12" s="92"/>
      <c r="QN12" s="92"/>
      <c r="QO12" s="92"/>
    </row>
    <row r="13" spans="1:457" ht="15.75">
      <c r="A13" s="89">
        <v>11</v>
      </c>
      <c r="B13" s="89" t="s">
        <v>387</v>
      </c>
      <c r="C13" s="101" t="str">
        <f t="shared" si="2"/>
        <v>Others industries</v>
      </c>
      <c r="D13" s="281">
        <f t="shared" si="8"/>
        <v>132.56108396090261</v>
      </c>
      <c r="E13" s="281">
        <f t="shared" si="8"/>
        <v>111.78913704616669</v>
      </c>
      <c r="F13" s="281">
        <f t="shared" si="8"/>
        <v>248.02517522729593</v>
      </c>
      <c r="G13" s="280">
        <f t="shared" si="5"/>
        <v>492.37539623436521</v>
      </c>
      <c r="H13" s="94"/>
      <c r="I13" s="94">
        <f>'AggrStep1-energy'!I56</f>
        <v>4.2556149999999988</v>
      </c>
      <c r="J13" s="94"/>
      <c r="K13" s="94"/>
      <c r="L13" s="94">
        <f>'AggrStep1-energy'!L56</f>
        <v>0.38100000000000001</v>
      </c>
      <c r="M13" s="94"/>
      <c r="N13" s="94"/>
      <c r="O13" s="95"/>
      <c r="P13" s="95">
        <f t="shared" si="3"/>
        <v>497.01201123436516</v>
      </c>
      <c r="Q13" s="92"/>
      <c r="R13" s="92"/>
      <c r="S13" s="92"/>
      <c r="T13" s="66" t="s">
        <v>205</v>
      </c>
      <c r="U13" s="139">
        <v>14261.575999999999</v>
      </c>
      <c r="V13" s="139">
        <v>12955.328258665224</v>
      </c>
      <c r="W13" s="139">
        <v>1702.8230000000001</v>
      </c>
      <c r="X13" s="139">
        <v>32.048999999999999</v>
      </c>
      <c r="Y13" s="139">
        <v>23311.967803228406</v>
      </c>
      <c r="Z13" s="139">
        <v>3.9630000000000001</v>
      </c>
      <c r="AA13" s="139">
        <f t="shared" si="6"/>
        <v>14293.625</v>
      </c>
      <c r="AB13" s="139">
        <f t="shared" si="6"/>
        <v>36267.296061893634</v>
      </c>
      <c r="AC13" s="139">
        <f t="shared" si="6"/>
        <v>1706.7860000000001</v>
      </c>
      <c r="AD13" s="144">
        <f t="shared" si="7"/>
        <v>52267.707061893634</v>
      </c>
      <c r="AF13" s="145"/>
      <c r="AG13" s="145"/>
      <c r="AH13" s="145"/>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c r="IV13" s="92"/>
      <c r="IW13" s="92"/>
      <c r="IX13" s="92"/>
      <c r="IY13" s="92"/>
      <c r="IZ13" s="92"/>
      <c r="JA13" s="92"/>
      <c r="JB13" s="92"/>
      <c r="JC13" s="92"/>
      <c r="JD13" s="92"/>
      <c r="JE13" s="92"/>
      <c r="JF13" s="92"/>
      <c r="JG13" s="92"/>
      <c r="JH13" s="92"/>
      <c r="JI13" s="92"/>
      <c r="JJ13" s="92"/>
      <c r="JK13" s="92"/>
      <c r="JL13" s="92"/>
      <c r="JM13" s="92"/>
      <c r="JN13" s="92"/>
      <c r="JO13" s="92"/>
      <c r="JP13" s="92"/>
      <c r="JQ13" s="92"/>
      <c r="JR13" s="92"/>
      <c r="JS13" s="92"/>
      <c r="JT13" s="92"/>
      <c r="JU13" s="92"/>
      <c r="JV13" s="92"/>
      <c r="JW13" s="92"/>
      <c r="JX13" s="92"/>
      <c r="JY13" s="92"/>
      <c r="JZ13" s="92"/>
      <c r="KA13" s="92"/>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2"/>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2"/>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2"/>
      <c r="MY13" s="92"/>
      <c r="MZ13" s="92"/>
      <c r="NA13" s="92"/>
      <c r="NB13" s="92"/>
      <c r="NC13" s="92"/>
      <c r="ND13" s="92"/>
      <c r="NE13" s="92"/>
      <c r="NF13" s="92"/>
      <c r="NG13" s="92"/>
      <c r="NH13" s="92"/>
      <c r="NI13" s="92"/>
      <c r="NJ13" s="92"/>
      <c r="NK13" s="92"/>
      <c r="NL13" s="92"/>
      <c r="NM13" s="92"/>
      <c r="NN13" s="92"/>
      <c r="NO13" s="92"/>
      <c r="NP13" s="92"/>
      <c r="NQ13" s="92"/>
      <c r="NR13" s="92"/>
      <c r="NS13" s="92"/>
      <c r="NT13" s="92"/>
      <c r="NU13" s="92"/>
      <c r="NV13" s="92"/>
      <c r="NW13" s="92"/>
      <c r="NX13" s="92"/>
      <c r="NY13" s="92"/>
      <c r="NZ13" s="92"/>
      <c r="OA13" s="92"/>
      <c r="OB13" s="92"/>
      <c r="OC13" s="92"/>
      <c r="OD13" s="92"/>
      <c r="OE13" s="92"/>
      <c r="OF13" s="92"/>
      <c r="OG13" s="92"/>
      <c r="OH13" s="92"/>
      <c r="OI13" s="92"/>
      <c r="OJ13" s="92"/>
      <c r="OK13" s="92"/>
      <c r="OL13" s="92"/>
      <c r="OM13" s="92"/>
      <c r="ON13" s="92"/>
      <c r="OO13" s="92"/>
      <c r="OP13" s="92"/>
      <c r="OQ13" s="92"/>
      <c r="OR13" s="92"/>
      <c r="OS13" s="92"/>
      <c r="OT13" s="92"/>
      <c r="OU13" s="92"/>
      <c r="OV13" s="92"/>
      <c r="OW13" s="92"/>
      <c r="OX13" s="92"/>
      <c r="OY13" s="92"/>
      <c r="OZ13" s="92"/>
      <c r="PA13" s="92"/>
      <c r="PB13" s="92"/>
      <c r="PC13" s="92"/>
      <c r="PD13" s="92"/>
      <c r="PE13" s="92"/>
      <c r="PF13" s="92"/>
      <c r="PG13" s="92"/>
      <c r="PH13" s="92"/>
      <c r="PI13" s="92"/>
      <c r="PJ13" s="92"/>
      <c r="PK13" s="92"/>
      <c r="PL13" s="92"/>
      <c r="PM13" s="92"/>
      <c r="PN13" s="92"/>
      <c r="PO13" s="92"/>
      <c r="PP13" s="92"/>
      <c r="PQ13" s="92"/>
      <c r="PR13" s="92"/>
      <c r="PS13" s="92"/>
      <c r="PT13" s="92"/>
      <c r="PU13" s="92"/>
      <c r="PV13" s="92"/>
      <c r="PW13" s="92"/>
      <c r="PX13" s="92"/>
      <c r="PY13" s="92"/>
      <c r="PZ13" s="92"/>
      <c r="QA13" s="92"/>
      <c r="QB13" s="92"/>
      <c r="QC13" s="92"/>
      <c r="QD13" s="92"/>
      <c r="QE13" s="92"/>
      <c r="QF13" s="92"/>
      <c r="QG13" s="92"/>
      <c r="QH13" s="92"/>
      <c r="QI13" s="92"/>
      <c r="QJ13" s="92"/>
      <c r="QK13" s="92"/>
      <c r="QL13" s="92"/>
      <c r="QM13" s="92"/>
      <c r="QN13" s="92"/>
      <c r="QO13" s="92"/>
    </row>
    <row r="14" spans="1:457" ht="15.75">
      <c r="A14" s="89">
        <v>12</v>
      </c>
      <c r="B14" s="276" t="s">
        <v>572</v>
      </c>
      <c r="C14" s="101" t="str">
        <f t="shared" si="2"/>
        <v>Air transport</v>
      </c>
      <c r="D14" s="281">
        <f t="shared" ref="D14:F19" si="9">AA16/U$90</f>
        <v>159.87858324091968</v>
      </c>
      <c r="E14" s="281">
        <f t="shared" si="9"/>
        <v>8.6836403718342711E-2</v>
      </c>
      <c r="F14" s="281">
        <f t="shared" si="9"/>
        <v>0.74275184354677426</v>
      </c>
      <c r="G14" s="280">
        <f t="shared" si="5"/>
        <v>160.7081714881848</v>
      </c>
      <c r="H14" s="94"/>
      <c r="I14" s="94"/>
      <c r="J14" s="94"/>
      <c r="K14" s="94"/>
      <c r="L14" s="94"/>
      <c r="M14" s="94"/>
      <c r="N14" s="94"/>
      <c r="O14" s="95"/>
      <c r="P14" s="95">
        <f t="shared" si="3"/>
        <v>160.7081714881848</v>
      </c>
      <c r="Q14" s="92"/>
      <c r="R14" s="92"/>
      <c r="S14" s="92"/>
      <c r="T14" s="66" t="s">
        <v>206</v>
      </c>
      <c r="U14" s="139">
        <v>30907.031999999996</v>
      </c>
      <c r="V14" s="139">
        <v>1073.2348304259431</v>
      </c>
      <c r="W14" s="139">
        <v>1634.4839999999999</v>
      </c>
      <c r="X14" s="139">
        <v>862.26799999999992</v>
      </c>
      <c r="Y14" s="139">
        <v>604.0613743911822</v>
      </c>
      <c r="Z14" s="139">
        <v>3.6799999999999993</v>
      </c>
      <c r="AA14" s="139">
        <f t="shared" si="6"/>
        <v>31769.299999999996</v>
      </c>
      <c r="AB14" s="139">
        <f t="shared" si="6"/>
        <v>1677.2962048171253</v>
      </c>
      <c r="AC14" s="139">
        <f t="shared" si="6"/>
        <v>1638.164</v>
      </c>
      <c r="AD14" s="144">
        <f t="shared" si="7"/>
        <v>35084.760204817117</v>
      </c>
      <c r="AF14" s="145"/>
      <c r="AG14" s="145"/>
      <c r="AH14" s="145"/>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c r="JD14" s="92"/>
      <c r="JE14" s="92"/>
      <c r="JF14" s="92"/>
      <c r="JG14" s="92"/>
      <c r="JH14" s="92"/>
      <c r="JI14" s="92"/>
      <c r="JJ14" s="92"/>
      <c r="JK14" s="92"/>
      <c r="JL14" s="92"/>
      <c r="JM14" s="92"/>
      <c r="JN14" s="92"/>
      <c r="JO14" s="92"/>
      <c r="JP14" s="92"/>
      <c r="JQ14" s="92"/>
      <c r="JR14" s="92"/>
      <c r="JS14" s="92"/>
      <c r="JT14" s="92"/>
      <c r="JU14" s="92"/>
      <c r="JV14" s="92"/>
      <c r="JW14" s="92"/>
      <c r="JX14" s="92"/>
      <c r="JY14" s="92"/>
      <c r="JZ14" s="92"/>
      <c r="KA14" s="92"/>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2"/>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2"/>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2"/>
      <c r="MY14" s="92"/>
      <c r="MZ14" s="92"/>
      <c r="NA14" s="92"/>
      <c r="NB14" s="92"/>
      <c r="NC14" s="92"/>
      <c r="ND14" s="92"/>
      <c r="NE14" s="92"/>
      <c r="NF14" s="92"/>
      <c r="NG14" s="92"/>
      <c r="NH14" s="92"/>
      <c r="NI14" s="92"/>
      <c r="NJ14" s="92"/>
      <c r="NK14" s="92"/>
      <c r="NL14" s="92"/>
      <c r="NM14" s="92"/>
      <c r="NN14" s="92"/>
      <c r="NO14" s="92"/>
      <c r="NP14" s="92"/>
      <c r="NQ14" s="92"/>
      <c r="NR14" s="92"/>
      <c r="NS14" s="92"/>
      <c r="NT14" s="92"/>
      <c r="NU14" s="92"/>
      <c r="NV14" s="92"/>
      <c r="NW14" s="92"/>
      <c r="NX14" s="92"/>
      <c r="NY14" s="92"/>
      <c r="NZ14" s="92"/>
      <c r="OA14" s="92"/>
      <c r="OB14" s="92"/>
      <c r="OC14" s="92"/>
      <c r="OD14" s="92"/>
      <c r="OE14" s="92"/>
      <c r="OF14" s="92"/>
      <c r="OG14" s="92"/>
      <c r="OH14" s="92"/>
      <c r="OI14" s="92"/>
      <c r="OJ14" s="92"/>
      <c r="OK14" s="92"/>
      <c r="OL14" s="92"/>
      <c r="OM14" s="92"/>
      <c r="ON14" s="92"/>
      <c r="OO14" s="92"/>
      <c r="OP14" s="92"/>
      <c r="OQ14" s="92"/>
      <c r="OR14" s="92"/>
      <c r="OS14" s="92"/>
      <c r="OT14" s="92"/>
      <c r="OU14" s="92"/>
      <c r="OV14" s="92"/>
      <c r="OW14" s="92"/>
      <c r="OX14" s="92"/>
      <c r="OY14" s="92"/>
      <c r="OZ14" s="92"/>
      <c r="PA14" s="92"/>
      <c r="PB14" s="92"/>
      <c r="PC14" s="92"/>
      <c r="PD14" s="92"/>
      <c r="PE14" s="92"/>
      <c r="PF14" s="92"/>
      <c r="PG14" s="92"/>
      <c r="PH14" s="92"/>
      <c r="PI14" s="92"/>
      <c r="PJ14" s="92"/>
      <c r="PK14" s="92"/>
      <c r="PL14" s="92"/>
      <c r="PM14" s="92"/>
      <c r="PN14" s="92"/>
      <c r="PO14" s="92"/>
      <c r="PP14" s="92"/>
      <c r="PQ14" s="92"/>
      <c r="PR14" s="92"/>
      <c r="PS14" s="92"/>
      <c r="PT14" s="92"/>
      <c r="PU14" s="92"/>
      <c r="PV14" s="92"/>
      <c r="PW14" s="92"/>
      <c r="PX14" s="92"/>
      <c r="PY14" s="92"/>
      <c r="PZ14" s="92"/>
      <c r="QA14" s="92"/>
      <c r="QB14" s="92"/>
      <c r="QC14" s="92"/>
      <c r="QD14" s="92"/>
      <c r="QE14" s="92"/>
      <c r="QF14" s="92"/>
      <c r="QG14" s="92"/>
      <c r="QH14" s="92"/>
      <c r="QI14" s="92"/>
      <c r="QJ14" s="92"/>
      <c r="QK14" s="92"/>
      <c r="QL14" s="92"/>
      <c r="QM14" s="92"/>
      <c r="QN14" s="92"/>
      <c r="QO14" s="92"/>
    </row>
    <row r="15" spans="1:457" ht="15.75">
      <c r="A15" s="89">
        <v>13</v>
      </c>
      <c r="B15" s="219" t="s">
        <v>239</v>
      </c>
      <c r="C15" s="101" t="str">
        <f t="shared" si="2"/>
        <v>Rail transport</v>
      </c>
      <c r="D15" s="281">
        <f t="shared" si="9"/>
        <v>35.552155114792569</v>
      </c>
      <c r="E15" s="281">
        <f t="shared" si="9"/>
        <v>0</v>
      </c>
      <c r="F15" s="281">
        <f t="shared" si="9"/>
        <v>4.0153010737007111E-2</v>
      </c>
      <c r="G15" s="280">
        <f t="shared" si="5"/>
        <v>35.592308125529577</v>
      </c>
      <c r="H15" s="94"/>
      <c r="I15" s="94"/>
      <c r="J15" s="94"/>
      <c r="K15" s="94"/>
      <c r="L15" s="94"/>
      <c r="M15" s="94"/>
      <c r="N15" s="94"/>
      <c r="O15" s="95"/>
      <c r="P15" s="95">
        <f t="shared" si="3"/>
        <v>35.592308125529577</v>
      </c>
      <c r="Q15" s="92"/>
      <c r="R15" s="92"/>
      <c r="S15" s="92"/>
      <c r="T15" s="66" t="s">
        <v>207</v>
      </c>
      <c r="U15" s="139">
        <v>49110.353999999985</v>
      </c>
      <c r="V15" s="139">
        <v>7796.7201667973841</v>
      </c>
      <c r="W15" s="139">
        <v>77773.725999999981</v>
      </c>
      <c r="X15" s="139">
        <v>1856.8489999999999</v>
      </c>
      <c r="Y15" s="139">
        <v>8766.9586793796607</v>
      </c>
      <c r="Z15" s="139">
        <v>337.76800000000009</v>
      </c>
      <c r="AA15" s="139">
        <f t="shared" si="6"/>
        <v>50967.202999999987</v>
      </c>
      <c r="AB15" s="139">
        <f t="shared" si="6"/>
        <v>16563.678846177045</v>
      </c>
      <c r="AC15" s="139">
        <f t="shared" si="6"/>
        <v>78111.493999999977</v>
      </c>
      <c r="AD15" s="144">
        <f t="shared" si="7"/>
        <v>145642.37584617699</v>
      </c>
      <c r="AF15" s="145"/>
      <c r="AG15" s="145"/>
      <c r="AH15" s="145"/>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c r="IX15" s="92"/>
      <c r="IY15" s="92"/>
      <c r="IZ15" s="92"/>
      <c r="JA15" s="92"/>
      <c r="JB15" s="92"/>
      <c r="JC15" s="92"/>
      <c r="JD15" s="92"/>
      <c r="JE15" s="92"/>
      <c r="JF15" s="92"/>
      <c r="JG15" s="92"/>
      <c r="JH15" s="92"/>
      <c r="JI15" s="92"/>
      <c r="JJ15" s="92"/>
      <c r="JK15" s="92"/>
      <c r="JL15" s="92"/>
      <c r="JM15" s="92"/>
      <c r="JN15" s="92"/>
      <c r="JO15" s="92"/>
      <c r="JP15" s="92"/>
      <c r="JQ15" s="92"/>
      <c r="JR15" s="92"/>
      <c r="JS15" s="92"/>
      <c r="JT15" s="92"/>
      <c r="JU15" s="92"/>
      <c r="JV15" s="92"/>
      <c r="JW15" s="92"/>
      <c r="JX15" s="92"/>
      <c r="JY15" s="92"/>
      <c r="JZ15" s="92"/>
      <c r="KA15" s="92"/>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2"/>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2"/>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2"/>
      <c r="MY15" s="92"/>
      <c r="MZ15" s="92"/>
      <c r="NA15" s="92"/>
      <c r="NB15" s="92"/>
      <c r="NC15" s="92"/>
      <c r="ND15" s="92"/>
      <c r="NE15" s="92"/>
      <c r="NF15" s="92"/>
      <c r="NG15" s="92"/>
      <c r="NH15" s="92"/>
      <c r="NI15" s="92"/>
      <c r="NJ15" s="92"/>
      <c r="NK15" s="92"/>
      <c r="NL15" s="92"/>
      <c r="NM15" s="92"/>
      <c r="NN15" s="92"/>
      <c r="NO15" s="92"/>
      <c r="NP15" s="92"/>
      <c r="NQ15" s="92"/>
      <c r="NR15" s="92"/>
      <c r="NS15" s="92"/>
      <c r="NT15" s="92"/>
      <c r="NU15" s="92"/>
      <c r="NV15" s="92"/>
      <c r="NW15" s="92"/>
      <c r="NX15" s="92"/>
      <c r="NY15" s="92"/>
      <c r="NZ15" s="92"/>
      <c r="OA15" s="92"/>
      <c r="OB15" s="92"/>
      <c r="OC15" s="92"/>
      <c r="OD15" s="92"/>
      <c r="OE15" s="92"/>
      <c r="OF15" s="92"/>
      <c r="OG15" s="92"/>
      <c r="OH15" s="92"/>
      <c r="OI15" s="92"/>
      <c r="OJ15" s="92"/>
      <c r="OK15" s="92"/>
      <c r="OL15" s="92"/>
      <c r="OM15" s="92"/>
      <c r="ON15" s="92"/>
      <c r="OO15" s="92"/>
      <c r="OP15" s="92"/>
      <c r="OQ15" s="92"/>
      <c r="OR15" s="92"/>
      <c r="OS15" s="92"/>
      <c r="OT15" s="92"/>
      <c r="OU15" s="92"/>
      <c r="OV15" s="92"/>
      <c r="OW15" s="92"/>
      <c r="OX15" s="92"/>
      <c r="OY15" s="92"/>
      <c r="OZ15" s="92"/>
      <c r="PA15" s="92"/>
      <c r="PB15" s="92"/>
      <c r="PC15" s="92"/>
      <c r="PD15" s="92"/>
      <c r="PE15" s="92"/>
      <c r="PF15" s="92"/>
      <c r="PG15" s="92"/>
      <c r="PH15" s="92"/>
      <c r="PI15" s="92"/>
      <c r="PJ15" s="92"/>
      <c r="PK15" s="92"/>
      <c r="PL15" s="92"/>
      <c r="PM15" s="92"/>
      <c r="PN15" s="92"/>
      <c r="PO15" s="92"/>
      <c r="PP15" s="92"/>
      <c r="PQ15" s="92"/>
      <c r="PR15" s="92"/>
      <c r="PS15" s="92"/>
      <c r="PT15" s="92"/>
      <c r="PU15" s="92"/>
      <c r="PV15" s="92"/>
      <c r="PW15" s="92"/>
      <c r="PX15" s="92"/>
      <c r="PY15" s="92"/>
      <c r="PZ15" s="92"/>
      <c r="QA15" s="92"/>
      <c r="QB15" s="92"/>
      <c r="QC15" s="92"/>
      <c r="QD15" s="92"/>
      <c r="QE15" s="92"/>
      <c r="QF15" s="92"/>
      <c r="QG15" s="92"/>
      <c r="QH15" s="92"/>
      <c r="QI15" s="92"/>
      <c r="QJ15" s="92"/>
      <c r="QK15" s="92"/>
      <c r="QL15" s="92"/>
      <c r="QM15" s="92"/>
      <c r="QN15" s="92"/>
      <c r="QO15" s="92"/>
    </row>
    <row r="16" spans="1:457" ht="15.75">
      <c r="A16" s="89">
        <v>14</v>
      </c>
      <c r="B16" s="219" t="s">
        <v>239</v>
      </c>
      <c r="C16" s="101" t="str">
        <f t="shared" si="2"/>
        <v>Water transport</v>
      </c>
      <c r="D16" s="281">
        <f t="shared" si="9"/>
        <v>5.2975991787353474</v>
      </c>
      <c r="E16" s="281">
        <f t="shared" si="9"/>
        <v>3.2960522997821672E-2</v>
      </c>
      <c r="F16" s="281">
        <f t="shared" si="9"/>
        <v>0.1063159906469132</v>
      </c>
      <c r="G16" s="280">
        <f t="shared" si="5"/>
        <v>5.4368756923800827</v>
      </c>
      <c r="H16" s="94"/>
      <c r="I16" s="94"/>
      <c r="J16" s="94"/>
      <c r="K16" s="94"/>
      <c r="L16" s="94"/>
      <c r="M16" s="94"/>
      <c r="N16" s="94"/>
      <c r="O16" s="95"/>
      <c r="P16" s="95">
        <f t="shared" si="3"/>
        <v>5.4368756923800827</v>
      </c>
      <c r="Q16" s="92"/>
      <c r="R16" s="92"/>
      <c r="S16" s="92"/>
      <c r="T16" s="66" t="s">
        <v>208</v>
      </c>
      <c r="U16" s="139">
        <v>34208.651000000005</v>
      </c>
      <c r="V16" s="139">
        <v>8.2100000000000009</v>
      </c>
      <c r="W16" s="139">
        <v>728.29300000000001</v>
      </c>
      <c r="X16" s="139">
        <v>439.94299999999998</v>
      </c>
      <c r="Y16" s="139">
        <v>11.154</v>
      </c>
      <c r="Z16" s="139">
        <v>1.6950000000000001</v>
      </c>
      <c r="AA16" s="139">
        <f t="shared" si="6"/>
        <v>34648.594000000005</v>
      </c>
      <c r="AB16" s="139">
        <f t="shared" si="6"/>
        <v>19.364000000000001</v>
      </c>
      <c r="AC16" s="139">
        <f t="shared" si="6"/>
        <v>729.98800000000006</v>
      </c>
      <c r="AD16" s="144">
        <f t="shared" si="7"/>
        <v>35397.946000000004</v>
      </c>
      <c r="AF16" s="145"/>
      <c r="AG16" s="145"/>
      <c r="AH16" s="145"/>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c r="IX16" s="92"/>
      <c r="IY16" s="92"/>
      <c r="IZ16" s="92"/>
      <c r="JA16" s="92"/>
      <c r="JB16" s="92"/>
      <c r="JC16" s="92"/>
      <c r="JD16" s="92"/>
      <c r="JE16" s="92"/>
      <c r="JF16" s="92"/>
      <c r="JG16" s="92"/>
      <c r="JH16" s="92"/>
      <c r="JI16" s="92"/>
      <c r="JJ16" s="92"/>
      <c r="JK16" s="92"/>
      <c r="JL16" s="92"/>
      <c r="JM16" s="92"/>
      <c r="JN16" s="92"/>
      <c r="JO16" s="92"/>
      <c r="JP16" s="92"/>
      <c r="JQ16" s="92"/>
      <c r="JR16" s="92"/>
      <c r="JS16" s="92"/>
      <c r="JT16" s="92"/>
      <c r="JU16" s="92"/>
      <c r="JV16" s="92"/>
      <c r="JW16" s="92"/>
      <c r="JX16" s="92"/>
      <c r="JY16" s="92"/>
      <c r="JZ16" s="92"/>
      <c r="KA16" s="92"/>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2"/>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2"/>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2"/>
      <c r="MY16" s="92"/>
      <c r="MZ16" s="92"/>
      <c r="NA16" s="92"/>
      <c r="NB16" s="92"/>
      <c r="NC16" s="92"/>
      <c r="ND16" s="92"/>
      <c r="NE16" s="92"/>
      <c r="NF16" s="92"/>
      <c r="NG16" s="92"/>
      <c r="NH16" s="92"/>
      <c r="NI16" s="92"/>
      <c r="NJ16" s="92"/>
      <c r="NK16" s="92"/>
      <c r="NL16" s="92"/>
      <c r="NM16" s="92"/>
      <c r="NN16" s="92"/>
      <c r="NO16" s="92"/>
      <c r="NP16" s="92"/>
      <c r="NQ16" s="92"/>
      <c r="NR16" s="92"/>
      <c r="NS16" s="92"/>
      <c r="NT16" s="92"/>
      <c r="NU16" s="92"/>
      <c r="NV16" s="92"/>
      <c r="NW16" s="92"/>
      <c r="NX16" s="92"/>
      <c r="NY16" s="92"/>
      <c r="NZ16" s="92"/>
      <c r="OA16" s="92"/>
      <c r="OB16" s="92"/>
      <c r="OC16" s="92"/>
      <c r="OD16" s="92"/>
      <c r="OE16" s="92"/>
      <c r="OF16" s="92"/>
      <c r="OG16" s="92"/>
      <c r="OH16" s="92"/>
      <c r="OI16" s="92"/>
      <c r="OJ16" s="92"/>
      <c r="OK16" s="92"/>
      <c r="OL16" s="92"/>
      <c r="OM16" s="92"/>
      <c r="ON16" s="92"/>
      <c r="OO16" s="92"/>
      <c r="OP16" s="92"/>
      <c r="OQ16" s="92"/>
      <c r="OR16" s="92"/>
      <c r="OS16" s="92"/>
      <c r="OT16" s="92"/>
      <c r="OU16" s="92"/>
      <c r="OV16" s="92"/>
      <c r="OW16" s="92"/>
      <c r="OX16" s="92"/>
      <c r="OY16" s="92"/>
      <c r="OZ16" s="92"/>
      <c r="PA16" s="92"/>
      <c r="PB16" s="92"/>
      <c r="PC16" s="92"/>
      <c r="PD16" s="92"/>
      <c r="PE16" s="92"/>
      <c r="PF16" s="92"/>
      <c r="PG16" s="92"/>
      <c r="PH16" s="92"/>
      <c r="PI16" s="92"/>
      <c r="PJ16" s="92"/>
      <c r="PK16" s="92"/>
      <c r="PL16" s="92"/>
      <c r="PM16" s="92"/>
      <c r="PN16" s="92"/>
      <c r="PO16" s="92"/>
      <c r="PP16" s="92"/>
      <c r="PQ16" s="92"/>
      <c r="PR16" s="92"/>
      <c r="PS16" s="92"/>
      <c r="PT16" s="92"/>
      <c r="PU16" s="92"/>
      <c r="PV16" s="92"/>
      <c r="PW16" s="92"/>
      <c r="PX16" s="92"/>
      <c r="PY16" s="92"/>
      <c r="PZ16" s="92"/>
      <c r="QA16" s="92"/>
      <c r="QB16" s="92"/>
      <c r="QC16" s="92"/>
      <c r="QD16" s="92"/>
      <c r="QE16" s="92"/>
      <c r="QF16" s="92"/>
      <c r="QG16" s="92"/>
      <c r="QH16" s="92"/>
      <c r="QI16" s="92"/>
      <c r="QJ16" s="92"/>
      <c r="QK16" s="92"/>
      <c r="QL16" s="92"/>
      <c r="QM16" s="92"/>
      <c r="QN16" s="92"/>
      <c r="QO16" s="92"/>
    </row>
    <row r="17" spans="1:457" ht="15.75">
      <c r="A17" s="89">
        <v>15</v>
      </c>
      <c r="B17" s="219" t="s">
        <v>239</v>
      </c>
      <c r="C17" s="101" t="str">
        <f t="shared" si="2"/>
        <v>Freight transport by road</v>
      </c>
      <c r="D17" s="281">
        <f t="shared" si="9"/>
        <v>484.91954295251247</v>
      </c>
      <c r="E17" s="281">
        <f t="shared" si="9"/>
        <v>0.52258738804900151</v>
      </c>
      <c r="F17" s="281">
        <f t="shared" si="9"/>
        <v>1.3671630586621295</v>
      </c>
      <c r="G17" s="280">
        <f t="shared" si="5"/>
        <v>486.80929339922358</v>
      </c>
      <c r="H17" s="94"/>
      <c r="I17" s="94"/>
      <c r="J17" s="94"/>
      <c r="K17" s="94"/>
      <c r="L17" s="94"/>
      <c r="M17" s="94"/>
      <c r="N17" s="94"/>
      <c r="O17" s="95"/>
      <c r="P17" s="95">
        <f t="shared" si="3"/>
        <v>486.80929339922358</v>
      </c>
      <c r="Q17" s="92"/>
      <c r="R17" s="92"/>
      <c r="S17" s="92"/>
      <c r="T17" s="66" t="s">
        <v>209</v>
      </c>
      <c r="U17" s="139">
        <v>7607.076</v>
      </c>
      <c r="V17" s="139">
        <v>0</v>
      </c>
      <c r="W17" s="139">
        <v>39.372</v>
      </c>
      <c r="X17" s="139">
        <v>97.722000000000008</v>
      </c>
      <c r="Y17" s="139">
        <v>0</v>
      </c>
      <c r="Z17" s="139">
        <v>9.1000000000000011E-2</v>
      </c>
      <c r="AA17" s="139">
        <f t="shared" si="6"/>
        <v>7704.7979999999998</v>
      </c>
      <c r="AB17" s="139">
        <f t="shared" si="6"/>
        <v>0</v>
      </c>
      <c r="AC17" s="139">
        <f t="shared" si="6"/>
        <v>39.463000000000001</v>
      </c>
      <c r="AD17" s="144">
        <f t="shared" si="7"/>
        <v>7744.2609999999995</v>
      </c>
      <c r="AF17" s="145"/>
      <c r="AG17" s="145"/>
      <c r="AH17" s="145"/>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c r="IX17" s="92"/>
      <c r="IY17" s="92"/>
      <c r="IZ17" s="92"/>
      <c r="JA17" s="92"/>
      <c r="JB17" s="92"/>
      <c r="JC17" s="92"/>
      <c r="JD17" s="92"/>
      <c r="JE17" s="92"/>
      <c r="JF17" s="92"/>
      <c r="JG17" s="92"/>
      <c r="JH17" s="92"/>
      <c r="JI17" s="92"/>
      <c r="JJ17" s="92"/>
      <c r="JK17" s="92"/>
      <c r="JL17" s="92"/>
      <c r="JM17" s="92"/>
      <c r="JN17" s="92"/>
      <c r="JO17" s="92"/>
      <c r="JP17" s="92"/>
      <c r="JQ17" s="92"/>
      <c r="JR17" s="92"/>
      <c r="JS17" s="92"/>
      <c r="JT17" s="92"/>
      <c r="JU17" s="92"/>
      <c r="JV17" s="92"/>
      <c r="JW17" s="92"/>
      <c r="JX17" s="92"/>
      <c r="JY17" s="92"/>
      <c r="JZ17" s="92"/>
      <c r="KA17" s="92"/>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2"/>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2"/>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2"/>
      <c r="MY17" s="92"/>
      <c r="MZ17" s="92"/>
      <c r="NA17" s="92"/>
      <c r="NB17" s="92"/>
      <c r="NC17" s="92"/>
      <c r="ND17" s="92"/>
      <c r="NE17" s="92"/>
      <c r="NF17" s="92"/>
      <c r="NG17" s="92"/>
      <c r="NH17" s="92"/>
      <c r="NI17" s="92"/>
      <c r="NJ17" s="92"/>
      <c r="NK17" s="92"/>
      <c r="NL17" s="92"/>
      <c r="NM17" s="92"/>
      <c r="NN17" s="92"/>
      <c r="NO17" s="92"/>
      <c r="NP17" s="92"/>
      <c r="NQ17" s="92"/>
      <c r="NR17" s="92"/>
      <c r="NS17" s="92"/>
      <c r="NT17" s="92"/>
      <c r="NU17" s="92"/>
      <c r="NV17" s="92"/>
      <c r="NW17" s="92"/>
      <c r="NX17" s="92"/>
      <c r="NY17" s="92"/>
      <c r="NZ17" s="92"/>
      <c r="OA17" s="92"/>
      <c r="OB17" s="92"/>
      <c r="OC17" s="92"/>
      <c r="OD17" s="92"/>
      <c r="OE17" s="92"/>
      <c r="OF17" s="92"/>
      <c r="OG17" s="92"/>
      <c r="OH17" s="92"/>
      <c r="OI17" s="92"/>
      <c r="OJ17" s="92"/>
      <c r="OK17" s="92"/>
      <c r="OL17" s="92"/>
      <c r="OM17" s="92"/>
      <c r="ON17" s="92"/>
      <c r="OO17" s="92"/>
      <c r="OP17" s="92"/>
      <c r="OQ17" s="92"/>
      <c r="OR17" s="92"/>
      <c r="OS17" s="92"/>
      <c r="OT17" s="92"/>
      <c r="OU17" s="92"/>
      <c r="OV17" s="92"/>
      <c r="OW17" s="92"/>
      <c r="OX17" s="92"/>
      <c r="OY17" s="92"/>
      <c r="OZ17" s="92"/>
      <c r="PA17" s="92"/>
      <c r="PB17" s="92"/>
      <c r="PC17" s="92"/>
      <c r="PD17" s="92"/>
      <c r="PE17" s="92"/>
      <c r="PF17" s="92"/>
      <c r="PG17" s="92"/>
      <c r="PH17" s="92"/>
      <c r="PI17" s="92"/>
      <c r="PJ17" s="92"/>
      <c r="PK17" s="92"/>
      <c r="PL17" s="92"/>
      <c r="PM17" s="92"/>
      <c r="PN17" s="92"/>
      <c r="PO17" s="92"/>
      <c r="PP17" s="92"/>
      <c r="PQ17" s="92"/>
      <c r="PR17" s="92"/>
      <c r="PS17" s="92"/>
      <c r="PT17" s="92"/>
      <c r="PU17" s="92"/>
      <c r="PV17" s="92"/>
      <c r="PW17" s="92"/>
      <c r="PX17" s="92"/>
      <c r="PY17" s="92"/>
      <c r="PZ17" s="92"/>
      <c r="QA17" s="92"/>
      <c r="QB17" s="92"/>
      <c r="QC17" s="92"/>
      <c r="QD17" s="92"/>
      <c r="QE17" s="92"/>
      <c r="QF17" s="92"/>
      <c r="QG17" s="92"/>
      <c r="QH17" s="92"/>
      <c r="QI17" s="92"/>
      <c r="QJ17" s="92"/>
      <c r="QK17" s="92"/>
      <c r="QL17" s="92"/>
      <c r="QM17" s="92"/>
      <c r="QN17" s="92"/>
      <c r="QO17" s="92"/>
    </row>
    <row r="18" spans="1:457" ht="15.75">
      <c r="A18" s="89">
        <v>16</v>
      </c>
      <c r="B18" s="276" t="s">
        <v>239</v>
      </c>
      <c r="C18" s="101" t="str">
        <f t="shared" si="2"/>
        <v>Passager transport by road</v>
      </c>
      <c r="D18" s="281">
        <f t="shared" si="9"/>
        <v>572.13459737213373</v>
      </c>
      <c r="E18" s="281">
        <f t="shared" si="9"/>
        <v>0.72694061264429211</v>
      </c>
      <c r="F18" s="281">
        <f t="shared" si="9"/>
        <v>1.7528722916954871</v>
      </c>
      <c r="G18" s="280">
        <f t="shared" si="5"/>
        <v>574.61441027647345</v>
      </c>
      <c r="H18" s="94"/>
      <c r="I18" s="94"/>
      <c r="J18" s="94"/>
      <c r="K18" s="94"/>
      <c r="L18" s="94"/>
      <c r="M18" s="94"/>
      <c r="N18" s="94"/>
      <c r="O18" s="95"/>
      <c r="P18" s="95">
        <f t="shared" si="3"/>
        <v>574.61441027647345</v>
      </c>
      <c r="Q18" s="92"/>
      <c r="R18" s="92"/>
      <c r="S18" s="92"/>
      <c r="T18" s="66" t="s">
        <v>210</v>
      </c>
      <c r="U18" s="139">
        <v>1141.748</v>
      </c>
      <c r="V18" s="139">
        <v>3.1160000000000001</v>
      </c>
      <c r="W18" s="139">
        <v>104.24799999999999</v>
      </c>
      <c r="X18" s="139">
        <v>6.3380000000000001</v>
      </c>
      <c r="Y18" s="139">
        <v>4.234</v>
      </c>
      <c r="Z18" s="139">
        <v>0.24099999999999999</v>
      </c>
      <c r="AA18" s="139">
        <f t="shared" si="6"/>
        <v>1148.086</v>
      </c>
      <c r="AB18" s="139">
        <f t="shared" si="6"/>
        <v>7.35</v>
      </c>
      <c r="AC18" s="139">
        <f t="shared" si="6"/>
        <v>104.48899999999999</v>
      </c>
      <c r="AD18" s="144">
        <f t="shared" si="7"/>
        <v>1259.925</v>
      </c>
      <c r="AF18" s="145"/>
      <c r="AG18" s="145"/>
      <c r="AH18" s="145"/>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2"/>
      <c r="MY18" s="92"/>
      <c r="MZ18" s="92"/>
      <c r="NA18" s="92"/>
      <c r="NB18" s="92"/>
      <c r="NC18" s="92"/>
      <c r="ND18" s="92"/>
      <c r="NE18" s="92"/>
      <c r="NF18" s="92"/>
      <c r="NG18" s="92"/>
      <c r="NH18" s="92"/>
      <c r="NI18" s="92"/>
      <c r="NJ18" s="92"/>
      <c r="NK18" s="92"/>
      <c r="NL18" s="92"/>
      <c r="NM18" s="92"/>
      <c r="NN18" s="92"/>
      <c r="NO18" s="92"/>
      <c r="NP18" s="92"/>
      <c r="NQ18" s="92"/>
      <c r="NR18" s="92"/>
      <c r="NS18" s="92"/>
      <c r="NT18" s="92"/>
      <c r="NU18" s="92"/>
      <c r="NV18" s="92"/>
      <c r="NW18" s="92"/>
      <c r="NX18" s="92"/>
      <c r="NY18" s="92"/>
      <c r="NZ18" s="92"/>
      <c r="OA18" s="92"/>
      <c r="OB18" s="92"/>
      <c r="OC18" s="92"/>
      <c r="OD18" s="92"/>
      <c r="OE18" s="92"/>
      <c r="OF18" s="92"/>
      <c r="OG18" s="92"/>
      <c r="OH18" s="92"/>
      <c r="OI18" s="92"/>
      <c r="OJ18" s="92"/>
      <c r="OK18" s="92"/>
      <c r="OL18" s="92"/>
      <c r="OM18" s="92"/>
      <c r="ON18" s="92"/>
      <c r="OO18" s="92"/>
      <c r="OP18" s="92"/>
      <c r="OQ18" s="92"/>
      <c r="OR18" s="92"/>
      <c r="OS18" s="92"/>
      <c r="OT18" s="92"/>
      <c r="OU18" s="92"/>
      <c r="OV18" s="92"/>
      <c r="OW18" s="92"/>
      <c r="OX18" s="92"/>
      <c r="OY18" s="92"/>
      <c r="OZ18" s="92"/>
      <c r="PA18" s="92"/>
      <c r="PB18" s="92"/>
      <c r="PC18" s="92"/>
      <c r="PD18" s="92"/>
      <c r="PE18" s="92"/>
      <c r="PF18" s="92"/>
      <c r="PG18" s="92"/>
      <c r="PH18" s="92"/>
      <c r="PI18" s="92"/>
      <c r="PJ18" s="92"/>
      <c r="PK18" s="92"/>
      <c r="PL18" s="92"/>
      <c r="PM18" s="92"/>
      <c r="PN18" s="92"/>
      <c r="PO18" s="92"/>
      <c r="PP18" s="92"/>
      <c r="PQ18" s="92"/>
      <c r="PR18" s="92"/>
      <c r="PS18" s="92"/>
      <c r="PT18" s="92"/>
      <c r="PU18" s="92"/>
      <c r="PV18" s="92"/>
      <c r="PW18" s="92"/>
      <c r="PX18" s="92"/>
      <c r="PY18" s="92"/>
      <c r="PZ18" s="92"/>
      <c r="QA18" s="92"/>
      <c r="QB18" s="92"/>
      <c r="QC18" s="92"/>
      <c r="QD18" s="92"/>
      <c r="QE18" s="92"/>
      <c r="QF18" s="92"/>
      <c r="QG18" s="92"/>
      <c r="QH18" s="92"/>
      <c r="QI18" s="92"/>
      <c r="QJ18" s="92"/>
      <c r="QK18" s="92"/>
      <c r="QL18" s="92"/>
      <c r="QM18" s="92"/>
      <c r="QN18" s="92"/>
      <c r="QO18" s="92"/>
    </row>
    <row r="19" spans="1:457" ht="15.75">
      <c r="A19" s="89">
        <v>17</v>
      </c>
      <c r="B19" s="219" t="s">
        <v>239</v>
      </c>
      <c r="C19" s="101" t="str">
        <f t="shared" si="2"/>
        <v>Other transports</v>
      </c>
      <c r="D19" s="281">
        <f t="shared" si="9"/>
        <v>2.8774467765162788</v>
      </c>
      <c r="E19" s="281">
        <f t="shared" si="9"/>
        <v>1.9288228992831384E-2</v>
      </c>
      <c r="F19" s="281">
        <f t="shared" si="9"/>
        <v>0.1722011971505602</v>
      </c>
      <c r="G19" s="280">
        <f t="shared" si="5"/>
        <v>3.0689362026596703</v>
      </c>
      <c r="H19" s="94"/>
      <c r="I19" s="94"/>
      <c r="J19" s="94"/>
      <c r="K19" s="94"/>
      <c r="L19" s="94"/>
      <c r="M19" s="94"/>
      <c r="N19" s="94"/>
      <c r="O19" s="95"/>
      <c r="P19" s="95">
        <f t="shared" si="3"/>
        <v>3.0689362026596703</v>
      </c>
      <c r="Q19" s="92"/>
      <c r="R19" s="92"/>
      <c r="S19" s="92"/>
      <c r="T19" s="66" t="s">
        <v>211</v>
      </c>
      <c r="U19" s="139">
        <v>62477.72</v>
      </c>
      <c r="V19" s="139">
        <v>49.407039999999995</v>
      </c>
      <c r="W19" s="139">
        <v>1340.5</v>
      </c>
      <c r="X19" s="139">
        <v>42613.156000000003</v>
      </c>
      <c r="Y19" s="139">
        <v>67.126829999999998</v>
      </c>
      <c r="Z19" s="139">
        <v>3.169</v>
      </c>
      <c r="AA19" s="139">
        <f t="shared" si="6"/>
        <v>105090.876</v>
      </c>
      <c r="AB19" s="139">
        <f t="shared" si="6"/>
        <v>116.53386999999999</v>
      </c>
      <c r="AC19" s="139">
        <f t="shared" si="6"/>
        <v>1343.6690000000001</v>
      </c>
      <c r="AD19" s="144">
        <f t="shared" si="7"/>
        <v>106551.07887</v>
      </c>
      <c r="AF19" s="145"/>
      <c r="AG19" s="145"/>
      <c r="AH19" s="145"/>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c r="IW19" s="92"/>
      <c r="IX19" s="92"/>
      <c r="IY19" s="92"/>
      <c r="IZ19" s="92"/>
      <c r="JA19" s="92"/>
      <c r="JB19" s="92"/>
      <c r="JC19" s="92"/>
      <c r="JD19" s="92"/>
      <c r="JE19" s="92"/>
      <c r="JF19" s="92"/>
      <c r="JG19" s="92"/>
      <c r="JH19" s="92"/>
      <c r="JI19" s="92"/>
      <c r="JJ19" s="92"/>
      <c r="JK19" s="92"/>
      <c r="JL19" s="92"/>
      <c r="JM19" s="92"/>
      <c r="JN19" s="92"/>
      <c r="JO19" s="92"/>
      <c r="JP19" s="92"/>
      <c r="JQ19" s="92"/>
      <c r="JR19" s="92"/>
      <c r="JS19" s="92"/>
      <c r="JT19" s="92"/>
      <c r="JU19" s="92"/>
      <c r="JV19" s="92"/>
      <c r="JW19" s="92"/>
      <c r="JX19" s="92"/>
      <c r="JY19" s="92"/>
      <c r="JZ19" s="92"/>
      <c r="KA19" s="92"/>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2"/>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2"/>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2"/>
      <c r="MY19" s="92"/>
      <c r="MZ19" s="92"/>
      <c r="NA19" s="92"/>
      <c r="NB19" s="92"/>
      <c r="NC19" s="92"/>
      <c r="ND19" s="92"/>
      <c r="NE19" s="92"/>
      <c r="NF19" s="92"/>
      <c r="NG19" s="92"/>
      <c r="NH19" s="92"/>
      <c r="NI19" s="92"/>
      <c r="NJ19" s="92"/>
      <c r="NK19" s="92"/>
      <c r="NL19" s="92"/>
      <c r="NM19" s="92"/>
      <c r="NN19" s="92"/>
      <c r="NO19" s="92"/>
      <c r="NP19" s="92"/>
      <c r="NQ19" s="92"/>
      <c r="NR19" s="92"/>
      <c r="NS19" s="92"/>
      <c r="NT19" s="92"/>
      <c r="NU19" s="92"/>
      <c r="NV19" s="92"/>
      <c r="NW19" s="92"/>
      <c r="NX19" s="92"/>
      <c r="NY19" s="92"/>
      <c r="NZ19" s="92"/>
      <c r="OA19" s="92"/>
      <c r="OB19" s="92"/>
      <c r="OC19" s="92"/>
      <c r="OD19" s="92"/>
      <c r="OE19" s="92"/>
      <c r="OF19" s="92"/>
      <c r="OG19" s="92"/>
      <c r="OH19" s="92"/>
      <c r="OI19" s="92"/>
      <c r="OJ19" s="92"/>
      <c r="OK19" s="92"/>
      <c r="OL19" s="92"/>
      <c r="OM19" s="92"/>
      <c r="ON19" s="92"/>
      <c r="OO19" s="92"/>
      <c r="OP19" s="92"/>
      <c r="OQ19" s="92"/>
      <c r="OR19" s="92"/>
      <c r="OS19" s="92"/>
      <c r="OT19" s="92"/>
      <c r="OU19" s="92"/>
      <c r="OV19" s="92"/>
      <c r="OW19" s="92"/>
      <c r="OX19" s="92"/>
      <c r="OY19" s="92"/>
      <c r="OZ19" s="92"/>
      <c r="PA19" s="92"/>
      <c r="PB19" s="92"/>
      <c r="PC19" s="92"/>
      <c r="PD19" s="92"/>
      <c r="PE19" s="92"/>
      <c r="PF19" s="92"/>
      <c r="PG19" s="92"/>
      <c r="PH19" s="92"/>
      <c r="PI19" s="92"/>
      <c r="PJ19" s="92"/>
      <c r="PK19" s="92"/>
      <c r="PL19" s="92"/>
      <c r="PM19" s="92"/>
      <c r="PN19" s="92"/>
      <c r="PO19" s="92"/>
      <c r="PP19" s="92"/>
      <c r="PQ19" s="92"/>
      <c r="PR19" s="92"/>
      <c r="PS19" s="92"/>
      <c r="PT19" s="92"/>
      <c r="PU19" s="92"/>
      <c r="PV19" s="92"/>
      <c r="PW19" s="92"/>
      <c r="PX19" s="92"/>
      <c r="PY19" s="92"/>
      <c r="PZ19" s="92"/>
      <c r="QA19" s="92"/>
      <c r="QB19" s="92"/>
      <c r="QC19" s="92"/>
      <c r="QD19" s="92"/>
      <c r="QE19" s="92"/>
      <c r="QF19" s="92"/>
      <c r="QG19" s="92"/>
      <c r="QH19" s="92"/>
      <c r="QI19" s="92"/>
      <c r="QJ19" s="92"/>
      <c r="QK19" s="92"/>
      <c r="QL19" s="92"/>
      <c r="QM19" s="92"/>
      <c r="QN19" s="92"/>
      <c r="QO19" s="92"/>
    </row>
    <row r="20" spans="1:457" ht="15.75">
      <c r="A20" s="89">
        <v>18</v>
      </c>
      <c r="B20" s="219" t="s">
        <v>270</v>
      </c>
      <c r="C20" s="101" t="str">
        <f t="shared" si="2"/>
        <v>Business services</v>
      </c>
      <c r="D20" s="279">
        <f t="shared" ref="D20:F21" si="10">AA22/U91</f>
        <v>69.427136802081847</v>
      </c>
      <c r="E20" s="279">
        <f t="shared" si="10"/>
        <v>11.097</v>
      </c>
      <c r="F20" s="279">
        <f t="shared" si="10"/>
        <v>50.080999638307667</v>
      </c>
      <c r="G20" s="280">
        <f t="shared" si="5"/>
        <v>130.60513644038951</v>
      </c>
      <c r="H20" s="94"/>
      <c r="I20" s="94"/>
      <c r="J20" s="94"/>
      <c r="K20" s="94"/>
      <c r="L20" s="94">
        <f>'AggrStep1-energy'!L71</f>
        <v>2.819</v>
      </c>
      <c r="M20" s="94"/>
      <c r="N20" s="94"/>
      <c r="O20" s="95"/>
      <c r="P20" s="95">
        <f t="shared" si="3"/>
        <v>133.4241364403895</v>
      </c>
      <c r="Q20" s="92"/>
      <c r="R20" s="92"/>
      <c r="S20" s="92"/>
      <c r="T20" s="66" t="s">
        <v>212</v>
      </c>
      <c r="U20" s="139">
        <v>120540.09299999999</v>
      </c>
      <c r="V20" s="139">
        <v>68.727239999999995</v>
      </c>
      <c r="W20" s="139">
        <v>1718.752</v>
      </c>
      <c r="X20" s="139">
        <v>3451.8700000000003</v>
      </c>
      <c r="Y20" s="139">
        <v>93.376180000000019</v>
      </c>
      <c r="Z20" s="139">
        <v>3.9979999999999998</v>
      </c>
      <c r="AA20" s="139">
        <f t="shared" si="6"/>
        <v>123991.96299999999</v>
      </c>
      <c r="AB20" s="139">
        <f t="shared" si="6"/>
        <v>162.10342000000003</v>
      </c>
      <c r="AC20" s="139">
        <f t="shared" si="6"/>
        <v>1722.75</v>
      </c>
      <c r="AD20" s="144">
        <f t="shared" si="7"/>
        <v>125876.81641999999</v>
      </c>
      <c r="AF20" s="145"/>
      <c r="AG20" s="145"/>
      <c r="AH20" s="145"/>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c r="IW20" s="92"/>
      <c r="IX20" s="92"/>
      <c r="IY20" s="92"/>
      <c r="IZ20" s="92"/>
      <c r="JA20" s="92"/>
      <c r="JB20" s="92"/>
      <c r="JC20" s="92"/>
      <c r="JD20" s="92"/>
      <c r="JE20" s="92"/>
      <c r="JF20" s="92"/>
      <c r="JG20" s="92"/>
      <c r="JH20" s="92"/>
      <c r="JI20" s="92"/>
      <c r="JJ20" s="92"/>
      <c r="JK20" s="92"/>
      <c r="JL20" s="92"/>
      <c r="JM20" s="92"/>
      <c r="JN20" s="92"/>
      <c r="JO20" s="92"/>
      <c r="JP20" s="92"/>
      <c r="JQ20" s="92"/>
      <c r="JR20" s="92"/>
      <c r="JS20" s="92"/>
      <c r="JT20" s="92"/>
      <c r="JU20" s="92"/>
      <c r="JV20" s="92"/>
      <c r="JW20" s="92"/>
      <c r="JX20" s="92"/>
      <c r="JY20" s="92"/>
      <c r="JZ20" s="92"/>
      <c r="KA20" s="92"/>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2"/>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2"/>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2"/>
      <c r="MY20" s="92"/>
      <c r="MZ20" s="92"/>
      <c r="NA20" s="92"/>
      <c r="NB20" s="92"/>
      <c r="NC20" s="92"/>
      <c r="ND20" s="92"/>
      <c r="NE20" s="92"/>
      <c r="NF20" s="92"/>
      <c r="NG20" s="92"/>
      <c r="NH20" s="92"/>
      <c r="NI20" s="92"/>
      <c r="NJ20" s="92"/>
      <c r="NK20" s="92"/>
      <c r="NL20" s="92"/>
      <c r="NM20" s="92"/>
      <c r="NN20" s="92"/>
      <c r="NO20" s="92"/>
      <c r="NP20" s="92"/>
      <c r="NQ20" s="92"/>
      <c r="NR20" s="92"/>
      <c r="NS20" s="92"/>
      <c r="NT20" s="92"/>
      <c r="NU20" s="92"/>
      <c r="NV20" s="92"/>
      <c r="NW20" s="92"/>
      <c r="NX20" s="92"/>
      <c r="NY20" s="92"/>
      <c r="NZ20" s="92"/>
      <c r="OA20" s="92"/>
      <c r="OB20" s="92"/>
      <c r="OC20" s="92"/>
      <c r="OD20" s="92"/>
      <c r="OE20" s="92"/>
      <c r="OF20" s="92"/>
      <c r="OG20" s="92"/>
      <c r="OH20" s="92"/>
      <c r="OI20" s="92"/>
      <c r="OJ20" s="92"/>
      <c r="OK20" s="92"/>
      <c r="OL20" s="92"/>
      <c r="OM20" s="92"/>
      <c r="ON20" s="92"/>
      <c r="OO20" s="92"/>
      <c r="OP20" s="92"/>
      <c r="OQ20" s="92"/>
      <c r="OR20" s="92"/>
      <c r="OS20" s="92"/>
      <c r="OT20" s="92"/>
      <c r="OU20" s="92"/>
      <c r="OV20" s="92"/>
      <c r="OW20" s="92"/>
      <c r="OX20" s="92"/>
      <c r="OY20" s="92"/>
      <c r="OZ20" s="92"/>
      <c r="PA20" s="92"/>
      <c r="PB20" s="92"/>
      <c r="PC20" s="92"/>
      <c r="PD20" s="92"/>
      <c r="PE20" s="92"/>
      <c r="PF20" s="92"/>
      <c r="PG20" s="92"/>
      <c r="PH20" s="92"/>
      <c r="PI20" s="92"/>
      <c r="PJ20" s="92"/>
      <c r="PK20" s="92"/>
      <c r="PL20" s="92"/>
      <c r="PM20" s="92"/>
      <c r="PN20" s="92"/>
      <c r="PO20" s="92"/>
      <c r="PP20" s="92"/>
      <c r="PQ20" s="92"/>
      <c r="PR20" s="92"/>
      <c r="PS20" s="92"/>
      <c r="PT20" s="92"/>
      <c r="PU20" s="92"/>
      <c r="PV20" s="92"/>
      <c r="PW20" s="92"/>
      <c r="PX20" s="92"/>
      <c r="PY20" s="92"/>
      <c r="PZ20" s="92"/>
      <c r="QA20" s="92"/>
      <c r="QB20" s="92"/>
      <c r="QC20" s="92"/>
      <c r="QD20" s="92"/>
      <c r="QE20" s="92"/>
      <c r="QF20" s="92"/>
      <c r="QG20" s="92"/>
      <c r="QH20" s="92"/>
      <c r="QI20" s="92"/>
      <c r="QJ20" s="92"/>
      <c r="QK20" s="92"/>
      <c r="QL20" s="92"/>
      <c r="QM20" s="92"/>
      <c r="QN20" s="92"/>
      <c r="QO20" s="92"/>
    </row>
    <row r="21" spans="1:457" ht="15.75">
      <c r="A21" s="89">
        <v>19</v>
      </c>
      <c r="B21" s="89" t="s">
        <v>270</v>
      </c>
      <c r="C21" s="101" t="str">
        <f t="shared" si="2"/>
        <v>Public services</v>
      </c>
      <c r="D21" s="279">
        <f t="shared" si="10"/>
        <v>25.019572918588906</v>
      </c>
      <c r="E21" s="279">
        <f t="shared" si="10"/>
        <v>0</v>
      </c>
      <c r="F21" s="279">
        <f t="shared" si="10"/>
        <v>33.427</v>
      </c>
      <c r="G21" s="280">
        <f t="shared" si="5"/>
        <v>58.446572918588906</v>
      </c>
      <c r="H21" s="94"/>
      <c r="I21" s="94"/>
      <c r="J21" s="94"/>
      <c r="K21" s="94"/>
      <c r="L21" s="94"/>
      <c r="M21" s="94"/>
      <c r="N21" s="94"/>
      <c r="O21" s="95"/>
      <c r="P21" s="95">
        <f t="shared" si="3"/>
        <v>58.446572918588906</v>
      </c>
      <c r="Q21" s="92"/>
      <c r="R21" s="92"/>
      <c r="S21" s="92"/>
      <c r="T21" s="66" t="s">
        <v>213</v>
      </c>
      <c r="U21" s="139">
        <v>603.56499999999994</v>
      </c>
      <c r="V21" s="139">
        <v>2.7269700000000001</v>
      </c>
      <c r="W21" s="139">
        <v>168.89699999999999</v>
      </c>
      <c r="X21" s="139">
        <v>20.029999999999998</v>
      </c>
      <c r="Y21" s="139">
        <v>1.57419</v>
      </c>
      <c r="Z21" s="139">
        <v>0.34499999999999997</v>
      </c>
      <c r="AA21" s="139">
        <f t="shared" si="6"/>
        <v>623.59499999999991</v>
      </c>
      <c r="AB21" s="139">
        <f t="shared" si="6"/>
        <v>4.3011600000000003</v>
      </c>
      <c r="AC21" s="139">
        <f t="shared" si="6"/>
        <v>169.24199999999999</v>
      </c>
      <c r="AD21" s="144">
        <f t="shared" si="7"/>
        <v>797.13815999999986</v>
      </c>
      <c r="AF21" s="145"/>
      <c r="AG21" s="145"/>
      <c r="AH21" s="145"/>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c r="IX21" s="92"/>
      <c r="IY21" s="92"/>
      <c r="IZ21" s="92"/>
      <c r="JA21" s="92"/>
      <c r="JB21" s="92"/>
      <c r="JC21" s="92"/>
      <c r="JD21" s="92"/>
      <c r="JE21" s="92"/>
      <c r="JF21" s="92"/>
      <c r="JG21" s="92"/>
      <c r="JH21" s="92"/>
      <c r="JI21" s="92"/>
      <c r="JJ21" s="92"/>
      <c r="JK21" s="92"/>
      <c r="JL21" s="92"/>
      <c r="JM21" s="92"/>
      <c r="JN21" s="92"/>
      <c r="JO21" s="92"/>
      <c r="JP21" s="92"/>
      <c r="JQ21" s="92"/>
      <c r="JR21" s="92"/>
      <c r="JS21" s="92"/>
      <c r="JT21" s="92"/>
      <c r="JU21" s="92"/>
      <c r="JV21" s="92"/>
      <c r="JW21" s="92"/>
      <c r="JX21" s="92"/>
      <c r="JY21" s="92"/>
      <c r="JZ21" s="92"/>
      <c r="KA21" s="92"/>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2"/>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2"/>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2"/>
      <c r="MY21" s="92"/>
      <c r="MZ21" s="92"/>
      <c r="NA21" s="92"/>
      <c r="NB21" s="92"/>
      <c r="NC21" s="92"/>
      <c r="ND21" s="92"/>
      <c r="NE21" s="92"/>
      <c r="NF21" s="92"/>
      <c r="NG21" s="92"/>
      <c r="NH21" s="92"/>
      <c r="NI21" s="92"/>
      <c r="NJ21" s="92"/>
      <c r="NK21" s="92"/>
      <c r="NL21" s="92"/>
      <c r="NM21" s="92"/>
      <c r="NN21" s="92"/>
      <c r="NO21" s="92"/>
      <c r="NP21" s="92"/>
      <c r="NQ21" s="92"/>
      <c r="NR21" s="92"/>
      <c r="NS21" s="92"/>
      <c r="NT21" s="92"/>
      <c r="NU21" s="92"/>
      <c r="NV21" s="92"/>
      <c r="NW21" s="92"/>
      <c r="NX21" s="92"/>
      <c r="NY21" s="92"/>
      <c r="NZ21" s="92"/>
      <c r="OA21" s="92"/>
      <c r="OB21" s="92"/>
      <c r="OC21" s="92"/>
      <c r="OD21" s="92"/>
      <c r="OE21" s="92"/>
      <c r="OF21" s="92"/>
      <c r="OG21" s="92"/>
      <c r="OH21" s="92"/>
      <c r="OI21" s="92"/>
      <c r="OJ21" s="92"/>
      <c r="OK21" s="92"/>
      <c r="OL21" s="92"/>
      <c r="OM21" s="92"/>
      <c r="ON21" s="92"/>
      <c r="OO21" s="92"/>
      <c r="OP21" s="92"/>
      <c r="OQ21" s="92"/>
      <c r="OR21" s="92"/>
      <c r="OS21" s="92"/>
      <c r="OT21" s="92"/>
      <c r="OU21" s="92"/>
      <c r="OV21" s="92"/>
      <c r="OW21" s="92"/>
      <c r="OX21" s="92"/>
      <c r="OY21" s="92"/>
      <c r="OZ21" s="92"/>
      <c r="PA21" s="92"/>
      <c r="PB21" s="92"/>
      <c r="PC21" s="92"/>
      <c r="PD21" s="92"/>
      <c r="PE21" s="92"/>
      <c r="PF21" s="92"/>
      <c r="PG21" s="92"/>
      <c r="PH21" s="92"/>
      <c r="PI21" s="92"/>
      <c r="PJ21" s="92"/>
      <c r="PK21" s="92"/>
      <c r="PL21" s="92"/>
      <c r="PM21" s="92"/>
      <c r="PN21" s="92"/>
      <c r="PO21" s="92"/>
      <c r="PP21" s="92"/>
      <c r="PQ21" s="92"/>
      <c r="PR21" s="92"/>
      <c r="PS21" s="92"/>
      <c r="PT21" s="92"/>
      <c r="PU21" s="92"/>
      <c r="PV21" s="92"/>
      <c r="PW21" s="92"/>
      <c r="PX21" s="92"/>
      <c r="PY21" s="92"/>
      <c r="PZ21" s="92"/>
      <c r="QA21" s="92"/>
      <c r="QB21" s="92"/>
      <c r="QC21" s="92"/>
      <c r="QD21" s="92"/>
      <c r="QE21" s="92"/>
      <c r="QF21" s="92"/>
      <c r="QG21" s="92"/>
      <c r="QH21" s="92"/>
      <c r="QI21" s="92"/>
      <c r="QJ21" s="92"/>
      <c r="QK21" s="92"/>
      <c r="QL21" s="92"/>
      <c r="QM21" s="92"/>
      <c r="QN21" s="92"/>
      <c r="QO21" s="92"/>
    </row>
    <row r="22" spans="1:457" ht="15.75">
      <c r="A22" s="89">
        <v>20</v>
      </c>
      <c r="B22" s="219" t="s">
        <v>392</v>
      </c>
      <c r="C22" s="101" t="str">
        <f t="shared" si="2"/>
        <v>Manufacture of petroleum and coal products</v>
      </c>
      <c r="D22" s="281">
        <f t="shared" ref="D22:F23" si="11">AA24/U$94</f>
        <v>6852.2333486143698</v>
      </c>
      <c r="E22" s="281">
        <f t="shared" si="11"/>
        <v>417.11042322461816</v>
      </c>
      <c r="F22" s="281">
        <f t="shared" si="11"/>
        <v>0.77085579685916483</v>
      </c>
      <c r="G22" s="280">
        <f t="shared" si="5"/>
        <v>7270.1146276358468</v>
      </c>
      <c r="H22" s="94"/>
      <c r="I22" s="94"/>
      <c r="J22" s="94"/>
      <c r="K22" s="94"/>
      <c r="L22" s="94"/>
      <c r="M22" s="94"/>
      <c r="N22" s="94"/>
      <c r="O22" s="95"/>
      <c r="P22" s="95">
        <f t="shared" si="3"/>
        <v>7270.1146276358468</v>
      </c>
      <c r="Q22" s="92"/>
      <c r="R22" s="92"/>
      <c r="S22" s="92"/>
      <c r="T22" s="66" t="s">
        <v>214</v>
      </c>
      <c r="U22" s="139">
        <v>71886.799000000014</v>
      </c>
      <c r="V22" s="139">
        <v>906.27792000000022</v>
      </c>
      <c r="W22" s="139">
        <v>85005.48900000006</v>
      </c>
      <c r="X22" s="139">
        <v>1294.8979999999992</v>
      </c>
      <c r="Y22" s="139">
        <v>1568.2868799999999</v>
      </c>
      <c r="Z22" s="139">
        <v>196.09000000000003</v>
      </c>
      <c r="AA22" s="139">
        <f t="shared" si="6"/>
        <v>73181.697000000015</v>
      </c>
      <c r="AB22" s="139">
        <f t="shared" si="6"/>
        <v>2474.5648000000001</v>
      </c>
      <c r="AC22" s="139">
        <f t="shared" si="6"/>
        <v>85201.579000000056</v>
      </c>
      <c r="AD22" s="144">
        <f t="shared" si="7"/>
        <v>160857.84080000006</v>
      </c>
      <c r="AF22" s="145"/>
      <c r="AG22" s="145"/>
      <c r="AH22" s="145"/>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c r="IW22" s="92"/>
      <c r="IX22" s="92"/>
      <c r="IY22" s="92"/>
      <c r="IZ22" s="92"/>
      <c r="JA22" s="92"/>
      <c r="JB22" s="92"/>
      <c r="JC22" s="92"/>
      <c r="JD22" s="92"/>
      <c r="JE22" s="92"/>
      <c r="JF22" s="92"/>
      <c r="JG22" s="92"/>
      <c r="JH22" s="92"/>
      <c r="JI22" s="92"/>
      <c r="JJ22" s="92"/>
      <c r="JK22" s="92"/>
      <c r="JL22" s="92"/>
      <c r="JM22" s="92"/>
      <c r="JN22" s="92"/>
      <c r="JO22" s="92"/>
      <c r="JP22" s="92"/>
      <c r="JQ22" s="92"/>
      <c r="JR22" s="92"/>
      <c r="JS22" s="92"/>
      <c r="JT22" s="92"/>
      <c r="JU22" s="92"/>
      <c r="JV22" s="92"/>
      <c r="JW22" s="92"/>
      <c r="JX22" s="92"/>
      <c r="JY22" s="92"/>
      <c r="JZ22" s="92"/>
      <c r="KA22" s="92"/>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2"/>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2"/>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2"/>
      <c r="MY22" s="92"/>
      <c r="MZ22" s="92"/>
      <c r="NA22" s="92"/>
      <c r="NB22" s="92"/>
      <c r="NC22" s="92"/>
      <c r="ND22" s="92"/>
      <c r="NE22" s="92"/>
      <c r="NF22" s="92"/>
      <c r="NG22" s="92"/>
      <c r="NH22" s="92"/>
      <c r="NI22" s="92"/>
      <c r="NJ22" s="92"/>
      <c r="NK22" s="92"/>
      <c r="NL22" s="92"/>
      <c r="NM22" s="92"/>
      <c r="NN22" s="92"/>
      <c r="NO22" s="92"/>
      <c r="NP22" s="92"/>
      <c r="NQ22" s="92"/>
      <c r="NR22" s="92"/>
      <c r="NS22" s="92"/>
      <c r="NT22" s="92"/>
      <c r="NU22" s="92"/>
      <c r="NV22" s="92"/>
      <c r="NW22" s="92"/>
      <c r="NX22" s="92"/>
      <c r="NY22" s="92"/>
      <c r="NZ22" s="92"/>
      <c r="OA22" s="92"/>
      <c r="OB22" s="92"/>
      <c r="OC22" s="92"/>
      <c r="OD22" s="92"/>
      <c r="OE22" s="92"/>
      <c r="OF22" s="92"/>
      <c r="OG22" s="92"/>
      <c r="OH22" s="92"/>
      <c r="OI22" s="92"/>
      <c r="OJ22" s="92"/>
      <c r="OK22" s="92"/>
      <c r="OL22" s="92"/>
      <c r="OM22" s="92"/>
      <c r="ON22" s="92"/>
      <c r="OO22" s="92"/>
      <c r="OP22" s="92"/>
      <c r="OQ22" s="92"/>
      <c r="OR22" s="92"/>
      <c r="OS22" s="92"/>
      <c r="OT22" s="92"/>
      <c r="OU22" s="92"/>
      <c r="OV22" s="92"/>
      <c r="OW22" s="92"/>
      <c r="OX22" s="92"/>
      <c r="OY22" s="92"/>
      <c r="OZ22" s="92"/>
      <c r="PA22" s="92"/>
      <c r="PB22" s="92"/>
      <c r="PC22" s="92"/>
      <c r="PD22" s="92"/>
      <c r="PE22" s="92"/>
      <c r="PF22" s="92"/>
      <c r="PG22" s="92"/>
      <c r="PH22" s="92"/>
      <c r="PI22" s="92"/>
      <c r="PJ22" s="92"/>
      <c r="PK22" s="92"/>
      <c r="PL22" s="92"/>
      <c r="PM22" s="92"/>
      <c r="PN22" s="92"/>
      <c r="PO22" s="92"/>
      <c r="PP22" s="92"/>
      <c r="PQ22" s="92"/>
      <c r="PR22" s="92"/>
      <c r="PS22" s="92"/>
      <c r="PT22" s="92"/>
      <c r="PU22" s="92"/>
      <c r="PV22" s="92"/>
      <c r="PW22" s="92"/>
      <c r="PX22" s="92"/>
      <c r="PY22" s="92"/>
      <c r="PZ22" s="92"/>
      <c r="QA22" s="92"/>
      <c r="QB22" s="92"/>
      <c r="QC22" s="92"/>
      <c r="QD22" s="92"/>
      <c r="QE22" s="92"/>
      <c r="QF22" s="92"/>
      <c r="QG22" s="92"/>
      <c r="QH22" s="92"/>
      <c r="QI22" s="92"/>
      <c r="QJ22" s="92"/>
      <c r="QK22" s="92"/>
      <c r="QL22" s="92"/>
      <c r="QM22" s="92"/>
      <c r="QN22" s="92"/>
      <c r="QO22" s="92"/>
    </row>
    <row r="23" spans="1:457" ht="15.75">
      <c r="A23" s="89">
        <v>21</v>
      </c>
      <c r="B23" s="219" t="s">
        <v>392</v>
      </c>
      <c r="C23" s="101" t="str">
        <f t="shared" si="2"/>
        <v>Gas supply by pipeline to final consumer</v>
      </c>
      <c r="D23" s="281">
        <f t="shared" si="11"/>
        <v>0.48779319288389217</v>
      </c>
      <c r="E23" s="281">
        <f t="shared" si="11"/>
        <v>279.64670764301087</v>
      </c>
      <c r="F23" s="281">
        <f t="shared" si="11"/>
        <v>1.4440453826257023</v>
      </c>
      <c r="G23" s="280">
        <f t="shared" si="5"/>
        <v>281.57854621852044</v>
      </c>
      <c r="H23" s="94"/>
      <c r="I23" s="94"/>
      <c r="J23" s="94"/>
      <c r="K23" s="94"/>
      <c r="L23" s="94"/>
      <c r="M23" s="94"/>
      <c r="N23" s="94"/>
      <c r="O23" s="95"/>
      <c r="P23" s="95">
        <f t="shared" si="3"/>
        <v>281.57854621852044</v>
      </c>
      <c r="Q23" s="92"/>
      <c r="R23" s="92"/>
      <c r="S23" s="92"/>
      <c r="T23" s="66" t="s">
        <v>215</v>
      </c>
      <c r="U23" s="139">
        <v>14162.569</v>
      </c>
      <c r="V23" s="139">
        <v>0</v>
      </c>
      <c r="W23" s="139">
        <v>14479.469000000001</v>
      </c>
      <c r="X23" s="139">
        <v>143.16899999999998</v>
      </c>
      <c r="Y23" s="139">
        <v>0</v>
      </c>
      <c r="Z23" s="139">
        <v>58.888999999999996</v>
      </c>
      <c r="AA23" s="139">
        <f t="shared" si="6"/>
        <v>14305.737999999999</v>
      </c>
      <c r="AB23" s="139">
        <f t="shared" si="6"/>
        <v>0</v>
      </c>
      <c r="AC23" s="139">
        <f t="shared" si="6"/>
        <v>14538.358</v>
      </c>
      <c r="AD23" s="144">
        <f t="shared" si="7"/>
        <v>28844.095999999998</v>
      </c>
      <c r="AF23" s="145"/>
      <c r="AG23" s="145"/>
      <c r="AH23" s="145"/>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c r="IW23" s="92"/>
      <c r="IX23" s="92"/>
      <c r="IY23" s="92"/>
      <c r="IZ23" s="92"/>
      <c r="JA23" s="92"/>
      <c r="JB23" s="92"/>
      <c r="JC23" s="92"/>
      <c r="JD23" s="92"/>
      <c r="JE23" s="92"/>
      <c r="JF23" s="92"/>
      <c r="JG23" s="92"/>
      <c r="JH23" s="92"/>
      <c r="JI23" s="92"/>
      <c r="JJ23" s="92"/>
      <c r="JK23" s="92"/>
      <c r="JL23" s="92"/>
      <c r="JM23" s="92"/>
      <c r="JN23" s="92"/>
      <c r="JO23" s="92"/>
      <c r="JP23" s="92"/>
      <c r="JQ23" s="92"/>
      <c r="JR23" s="92"/>
      <c r="JS23" s="92"/>
      <c r="JT23" s="92"/>
      <c r="JU23" s="92"/>
      <c r="JV23" s="92"/>
      <c r="JW23" s="92"/>
      <c r="JX23" s="92"/>
      <c r="JY23" s="92"/>
      <c r="JZ23" s="92"/>
      <c r="KA23" s="92"/>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2"/>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2"/>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2"/>
      <c r="MY23" s="92"/>
      <c r="MZ23" s="92"/>
      <c r="NA23" s="92"/>
      <c r="NB23" s="92"/>
      <c r="NC23" s="92"/>
      <c r="ND23" s="92"/>
      <c r="NE23" s="92"/>
      <c r="NF23" s="92"/>
      <c r="NG23" s="92"/>
      <c r="NH23" s="92"/>
      <c r="NI23" s="92"/>
      <c r="NJ23" s="92"/>
      <c r="NK23" s="92"/>
      <c r="NL23" s="92"/>
      <c r="NM23" s="92"/>
      <c r="NN23" s="92"/>
      <c r="NO23" s="92"/>
      <c r="NP23" s="92"/>
      <c r="NQ23" s="92"/>
      <c r="NR23" s="92"/>
      <c r="NS23" s="92"/>
      <c r="NT23" s="92"/>
      <c r="NU23" s="92"/>
      <c r="NV23" s="92"/>
      <c r="NW23" s="92"/>
      <c r="NX23" s="92"/>
      <c r="NY23" s="92"/>
      <c r="NZ23" s="92"/>
      <c r="OA23" s="92"/>
      <c r="OB23" s="92"/>
      <c r="OC23" s="92"/>
      <c r="OD23" s="92"/>
      <c r="OE23" s="92"/>
      <c r="OF23" s="92"/>
      <c r="OG23" s="92"/>
      <c r="OH23" s="92"/>
      <c r="OI23" s="92"/>
      <c r="OJ23" s="92"/>
      <c r="OK23" s="92"/>
      <c r="OL23" s="92"/>
      <c r="OM23" s="92"/>
      <c r="ON23" s="92"/>
      <c r="OO23" s="92"/>
      <c r="OP23" s="92"/>
      <c r="OQ23" s="92"/>
      <c r="OR23" s="92"/>
      <c r="OS23" s="92"/>
      <c r="OT23" s="92"/>
      <c r="OU23" s="92"/>
      <c r="OV23" s="92"/>
      <c r="OW23" s="92"/>
      <c r="OX23" s="92"/>
      <c r="OY23" s="92"/>
      <c r="OZ23" s="92"/>
      <c r="PA23" s="92"/>
      <c r="PB23" s="92"/>
      <c r="PC23" s="92"/>
      <c r="PD23" s="92"/>
      <c r="PE23" s="92"/>
      <c r="PF23" s="92"/>
      <c r="PG23" s="92"/>
      <c r="PH23" s="92"/>
      <c r="PI23" s="92"/>
      <c r="PJ23" s="92"/>
      <c r="PK23" s="92"/>
      <c r="PL23" s="92"/>
      <c r="PM23" s="92"/>
      <c r="PN23" s="92"/>
      <c r="PO23" s="92"/>
      <c r="PP23" s="92"/>
      <c r="PQ23" s="92"/>
      <c r="PR23" s="92"/>
      <c r="PS23" s="92"/>
      <c r="PT23" s="92"/>
      <c r="PU23" s="92"/>
      <c r="PV23" s="92"/>
      <c r="PW23" s="92"/>
      <c r="PX23" s="92"/>
      <c r="PY23" s="92"/>
      <c r="PZ23" s="92"/>
      <c r="QA23" s="92"/>
      <c r="QB23" s="92"/>
      <c r="QC23" s="92"/>
      <c r="QD23" s="92"/>
      <c r="QE23" s="92"/>
      <c r="QF23" s="92"/>
      <c r="QG23" s="92"/>
      <c r="QH23" s="92"/>
      <c r="QI23" s="92"/>
      <c r="QJ23" s="92"/>
      <c r="QK23" s="92"/>
      <c r="QL23" s="92"/>
      <c r="QM23" s="92"/>
      <c r="QN23" s="92"/>
      <c r="QO23" s="92"/>
    </row>
    <row r="24" spans="1:457" ht="15.75">
      <c r="A24" s="89">
        <v>22</v>
      </c>
      <c r="B24" s="219" t="s">
        <v>392</v>
      </c>
      <c r="C24" s="101" t="str">
        <f t="shared" si="2"/>
        <v>Electricity generation, trasmission and distribution</v>
      </c>
      <c r="D24" s="281">
        <f>AA26/U$95</f>
        <v>828.16699999999992</v>
      </c>
      <c r="E24" s="281">
        <f>AB26/V$95</f>
        <v>1303.69</v>
      </c>
      <c r="F24" s="281">
        <f>AC26/W$95</f>
        <v>36.530535656139875</v>
      </c>
      <c r="G24" s="280">
        <f t="shared" si="5"/>
        <v>2168.3875356561398</v>
      </c>
      <c r="H24" s="94"/>
      <c r="I24" s="94">
        <f>'AggrStep1-energy'!I90</f>
        <v>60.542000000000002</v>
      </c>
      <c r="J24" s="94"/>
      <c r="K24" s="94">
        <f>'AggrStep1-energy'!K90</f>
        <v>15.064</v>
      </c>
      <c r="L24" s="94">
        <f>'AggrStep1-energy'!L90</f>
        <v>0.36</v>
      </c>
      <c r="M24" s="94">
        <f>'AggrStep1-energy'!M90</f>
        <v>100.87700000000001</v>
      </c>
      <c r="N24" s="94">
        <f>'AggrStep1-energy'!N90</f>
        <v>131.316</v>
      </c>
      <c r="O24" s="94">
        <f>'AggrStep1-energy'!O90</f>
        <v>122.598</v>
      </c>
      <c r="P24" s="95">
        <f t="shared" si="3"/>
        <v>2599.1445356561394</v>
      </c>
      <c r="Q24" s="92"/>
      <c r="R24" s="92"/>
      <c r="S24" s="92"/>
      <c r="T24" s="66" t="s">
        <v>216</v>
      </c>
      <c r="U24" s="139">
        <v>7444.2049999999999</v>
      </c>
      <c r="V24" s="139">
        <v>60570.934552815132</v>
      </c>
      <c r="W24" s="139">
        <v>755.84900000000005</v>
      </c>
      <c r="X24" s="139">
        <v>328415.43699999998</v>
      </c>
      <c r="Y24" s="139">
        <v>6751.2572386257489</v>
      </c>
      <c r="Z24" s="139">
        <v>1.76</v>
      </c>
      <c r="AA24" s="139">
        <f t="shared" si="6"/>
        <v>335859.64199999999</v>
      </c>
      <c r="AB24" s="139">
        <f t="shared" si="6"/>
        <v>67322.191791440884</v>
      </c>
      <c r="AC24" s="139">
        <f t="shared" si="6"/>
        <v>757.60900000000004</v>
      </c>
      <c r="AD24" s="144">
        <f t="shared" si="7"/>
        <v>403939.44279144087</v>
      </c>
      <c r="AF24" s="145"/>
      <c r="AG24" s="145"/>
      <c r="AH24" s="145"/>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c r="IW24" s="92"/>
      <c r="IX24" s="92"/>
      <c r="IY24" s="92"/>
      <c r="IZ24" s="92"/>
      <c r="JA24" s="92"/>
      <c r="JB24" s="92"/>
      <c r="JC24" s="92"/>
      <c r="JD24" s="92"/>
      <c r="JE24" s="92"/>
      <c r="JF24" s="92"/>
      <c r="JG24" s="92"/>
      <c r="JH24" s="92"/>
      <c r="JI24" s="92"/>
      <c r="JJ24" s="92"/>
      <c r="JK24" s="92"/>
      <c r="JL24" s="92"/>
      <c r="JM24" s="92"/>
      <c r="JN24" s="92"/>
      <c r="JO24" s="92"/>
      <c r="JP24" s="92"/>
      <c r="JQ24" s="92"/>
      <c r="JR24" s="92"/>
      <c r="JS24" s="92"/>
      <c r="JT24" s="92"/>
      <c r="JU24" s="92"/>
      <c r="JV24" s="92"/>
      <c r="JW24" s="92"/>
      <c r="JX24" s="92"/>
      <c r="JY24" s="92"/>
      <c r="JZ24" s="92"/>
      <c r="KA24" s="92"/>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2"/>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2"/>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2"/>
      <c r="MY24" s="92"/>
      <c r="MZ24" s="92"/>
      <c r="NA24" s="92"/>
      <c r="NB24" s="92"/>
      <c r="NC24" s="92"/>
      <c r="ND24" s="92"/>
      <c r="NE24" s="92"/>
      <c r="NF24" s="92"/>
      <c r="NG24" s="92"/>
      <c r="NH24" s="92"/>
      <c r="NI24" s="92"/>
      <c r="NJ24" s="92"/>
      <c r="NK24" s="92"/>
      <c r="NL24" s="92"/>
      <c r="NM24" s="92"/>
      <c r="NN24" s="92"/>
      <c r="NO24" s="92"/>
      <c r="NP24" s="92"/>
      <c r="NQ24" s="92"/>
      <c r="NR24" s="92"/>
      <c r="NS24" s="92"/>
      <c r="NT24" s="92"/>
      <c r="NU24" s="92"/>
      <c r="NV24" s="92"/>
      <c r="NW24" s="92"/>
      <c r="NX24" s="92"/>
      <c r="NY24" s="92"/>
      <c r="NZ24" s="92"/>
      <c r="OA24" s="92"/>
      <c r="OB24" s="92"/>
      <c r="OC24" s="92"/>
      <c r="OD24" s="92"/>
      <c r="OE24" s="92"/>
      <c r="OF24" s="92"/>
      <c r="OG24" s="92"/>
      <c r="OH24" s="92"/>
      <c r="OI24" s="92"/>
      <c r="OJ24" s="92"/>
      <c r="OK24" s="92"/>
      <c r="OL24" s="92"/>
      <c r="OM24" s="92"/>
      <c r="ON24" s="92"/>
      <c r="OO24" s="92"/>
      <c r="OP24" s="92"/>
      <c r="OQ24" s="92"/>
      <c r="OR24" s="92"/>
      <c r="OS24" s="92"/>
      <c r="OT24" s="92"/>
      <c r="OU24" s="92"/>
      <c r="OV24" s="92"/>
      <c r="OW24" s="92"/>
      <c r="OX24" s="92"/>
      <c r="OY24" s="92"/>
      <c r="OZ24" s="92"/>
      <c r="PA24" s="92"/>
      <c r="PB24" s="92"/>
      <c r="PC24" s="92"/>
      <c r="PD24" s="92"/>
      <c r="PE24" s="92"/>
      <c r="PF24" s="92"/>
      <c r="PG24" s="92"/>
      <c r="PH24" s="92"/>
      <c r="PI24" s="92"/>
      <c r="PJ24" s="92"/>
      <c r="PK24" s="92"/>
      <c r="PL24" s="92"/>
      <c r="PM24" s="92"/>
      <c r="PN24" s="92"/>
      <c r="PO24" s="92"/>
      <c r="PP24" s="92"/>
      <c r="PQ24" s="92"/>
      <c r="PR24" s="92"/>
      <c r="PS24" s="92"/>
      <c r="PT24" s="92"/>
      <c r="PU24" s="92"/>
      <c r="PV24" s="92"/>
      <c r="PW24" s="92"/>
      <c r="PX24" s="92"/>
      <c r="PY24" s="92"/>
      <c r="PZ24" s="92"/>
      <c r="QA24" s="92"/>
      <c r="QB24" s="92"/>
      <c r="QC24" s="92"/>
      <c r="QD24" s="92"/>
      <c r="QE24" s="92"/>
      <c r="QF24" s="92"/>
      <c r="QG24" s="92"/>
      <c r="QH24" s="92"/>
      <c r="QI24" s="92"/>
      <c r="QJ24" s="92"/>
      <c r="QK24" s="92"/>
      <c r="QL24" s="92"/>
      <c r="QM24" s="92"/>
      <c r="QN24" s="92"/>
      <c r="QO24" s="92"/>
    </row>
    <row r="25" spans="1:457" ht="15.75">
      <c r="A25" s="90"/>
      <c r="B25" s="90" t="s">
        <v>537</v>
      </c>
      <c r="C25" s="102" t="str">
        <f t="shared" si="2"/>
        <v>Total sector</v>
      </c>
      <c r="D25" s="280">
        <f>SUM(D3:D24)</f>
        <v>9860.2521105003543</v>
      </c>
      <c r="E25" s="280">
        <f t="shared" ref="E25:F25" si="12">SUM(E3:E24)</f>
        <v>2830.8837270879039</v>
      </c>
      <c r="F25" s="280">
        <f t="shared" si="12"/>
        <v>695.80252302745293</v>
      </c>
      <c r="G25" s="280">
        <f t="shared" si="5"/>
        <v>13386.938360615712</v>
      </c>
      <c r="H25" s="94"/>
      <c r="I25" s="280">
        <f t="shared" ref="I25:O25" si="13">SUM(I3:I24)</f>
        <v>124.324443</v>
      </c>
      <c r="J25" s="280">
        <f t="shared" si="13"/>
        <v>0</v>
      </c>
      <c r="K25" s="280">
        <f t="shared" si="13"/>
        <v>15.064</v>
      </c>
      <c r="L25" s="280">
        <f t="shared" si="13"/>
        <v>3.56</v>
      </c>
      <c r="M25" s="280">
        <f t="shared" si="13"/>
        <v>100.87700000000001</v>
      </c>
      <c r="N25" s="280">
        <f t="shared" si="13"/>
        <v>131.316</v>
      </c>
      <c r="O25" s="280">
        <f t="shared" si="13"/>
        <v>122.598</v>
      </c>
      <c r="P25" s="95">
        <f t="shared" si="3"/>
        <v>13884.677803615712</v>
      </c>
      <c r="Q25" s="92"/>
      <c r="R25" s="92"/>
      <c r="S25" s="92"/>
      <c r="T25" s="66" t="s">
        <v>217</v>
      </c>
      <c r="U25" s="139">
        <v>23.548999999999999</v>
      </c>
      <c r="V25" s="139">
        <v>6514.4988748825435</v>
      </c>
      <c r="W25" s="139">
        <v>1415.9473035470903</v>
      </c>
      <c r="X25" s="139">
        <v>0.36</v>
      </c>
      <c r="Y25" s="139">
        <v>38620.861541775164</v>
      </c>
      <c r="Z25" s="139">
        <v>3.2828335852289441</v>
      </c>
      <c r="AA25" s="139">
        <f t="shared" si="6"/>
        <v>23.908999999999999</v>
      </c>
      <c r="AB25" s="139">
        <f t="shared" si="6"/>
        <v>45135.360416657706</v>
      </c>
      <c r="AC25" s="139">
        <f t="shared" si="6"/>
        <v>1419.2301371323192</v>
      </c>
      <c r="AD25" s="144">
        <f t="shared" si="7"/>
        <v>46578.499553790025</v>
      </c>
      <c r="AF25" s="145"/>
      <c r="AG25" s="145"/>
      <c r="AH25" s="145"/>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c r="IW25" s="92"/>
      <c r="IX25" s="92"/>
      <c r="IY25" s="92"/>
      <c r="IZ25" s="92"/>
      <c r="JA25" s="92"/>
      <c r="JB25" s="92"/>
      <c r="JC25" s="92"/>
      <c r="JD25" s="92"/>
      <c r="JE25" s="92"/>
      <c r="JF25" s="92"/>
      <c r="JG25" s="92"/>
      <c r="JH25" s="92"/>
      <c r="JI25" s="92"/>
      <c r="JJ25" s="92"/>
      <c r="JK25" s="92"/>
      <c r="JL25" s="92"/>
      <c r="JM25" s="92"/>
      <c r="JN25" s="92"/>
      <c r="JO25" s="92"/>
      <c r="JP25" s="92"/>
      <c r="JQ25" s="92"/>
      <c r="JR25" s="92"/>
      <c r="JS25" s="92"/>
      <c r="JT25" s="92"/>
      <c r="JU25" s="92"/>
      <c r="JV25" s="92"/>
      <c r="JW25" s="92"/>
      <c r="JX25" s="92"/>
      <c r="JY25" s="92"/>
      <c r="JZ25" s="92"/>
      <c r="KA25" s="92"/>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2"/>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2"/>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2"/>
      <c r="MY25" s="92"/>
      <c r="MZ25" s="92"/>
      <c r="NA25" s="92"/>
      <c r="NB25" s="92"/>
      <c r="NC25" s="92"/>
      <c r="ND25" s="92"/>
      <c r="NE25" s="92"/>
      <c r="NF25" s="92"/>
      <c r="NG25" s="92"/>
      <c r="NH25" s="92"/>
      <c r="NI25" s="92"/>
      <c r="NJ25" s="92"/>
      <c r="NK25" s="92"/>
      <c r="NL25" s="92"/>
      <c r="NM25" s="92"/>
      <c r="NN25" s="92"/>
      <c r="NO25" s="92"/>
      <c r="NP25" s="92"/>
      <c r="NQ25" s="92"/>
      <c r="NR25" s="92"/>
      <c r="NS25" s="92"/>
      <c r="NT25" s="92"/>
      <c r="NU25" s="92"/>
      <c r="NV25" s="92"/>
      <c r="NW25" s="92"/>
      <c r="NX25" s="92"/>
      <c r="NY25" s="92"/>
      <c r="NZ25" s="92"/>
      <c r="OA25" s="92"/>
      <c r="OB25" s="92"/>
      <c r="OC25" s="92"/>
      <c r="OD25" s="92"/>
      <c r="OE25" s="92"/>
      <c r="OF25" s="92"/>
      <c r="OG25" s="92"/>
      <c r="OH25" s="92"/>
      <c r="OI25" s="92"/>
      <c r="OJ25" s="92"/>
      <c r="OK25" s="92"/>
      <c r="OL25" s="92"/>
      <c r="OM25" s="92"/>
      <c r="ON25" s="92"/>
      <c r="OO25" s="92"/>
      <c r="OP25" s="92"/>
      <c r="OQ25" s="92"/>
      <c r="OR25" s="92"/>
      <c r="OS25" s="92"/>
      <c r="OT25" s="92"/>
      <c r="OU25" s="92"/>
      <c r="OV25" s="92"/>
      <c r="OW25" s="92"/>
      <c r="OX25" s="92"/>
      <c r="OY25" s="92"/>
      <c r="OZ25" s="92"/>
      <c r="PA25" s="92"/>
      <c r="PB25" s="92"/>
      <c r="PC25" s="92"/>
      <c r="PD25" s="92"/>
      <c r="PE25" s="92"/>
      <c r="PF25" s="92"/>
      <c r="PG25" s="92"/>
      <c r="PH25" s="92"/>
      <c r="PI25" s="92"/>
      <c r="PJ25" s="92"/>
      <c r="PK25" s="92"/>
      <c r="PL25" s="92"/>
      <c r="PM25" s="92"/>
      <c r="PN25" s="92"/>
      <c r="PO25" s="92"/>
      <c r="PP25" s="92"/>
      <c r="PQ25" s="92"/>
      <c r="PR25" s="92"/>
      <c r="PS25" s="92"/>
      <c r="PT25" s="92"/>
      <c r="PU25" s="92"/>
      <c r="PV25" s="92"/>
      <c r="PW25" s="92"/>
      <c r="PX25" s="92"/>
      <c r="PY25" s="92"/>
      <c r="PZ25" s="92"/>
      <c r="QA25" s="92"/>
      <c r="QB25" s="92"/>
      <c r="QC25" s="92"/>
      <c r="QD25" s="92"/>
      <c r="QE25" s="92"/>
      <c r="QF25" s="92"/>
      <c r="QG25" s="92"/>
      <c r="QH25" s="92"/>
      <c r="QI25" s="92"/>
      <c r="QJ25" s="92"/>
      <c r="QK25" s="92"/>
      <c r="QL25" s="92"/>
      <c r="QM25" s="92"/>
      <c r="QN25" s="92"/>
      <c r="QO25" s="92"/>
    </row>
    <row r="26" spans="1:457" ht="15.75">
      <c r="B26" s="219"/>
      <c r="C26" s="101"/>
      <c r="D26" s="94"/>
      <c r="E26" s="94"/>
      <c r="F26" s="94"/>
      <c r="G26" s="222"/>
      <c r="H26" s="94"/>
      <c r="I26" s="94"/>
      <c r="J26" s="94"/>
      <c r="K26" s="94"/>
      <c r="L26" s="94"/>
      <c r="M26" s="94"/>
      <c r="N26" s="94"/>
      <c r="O26" s="95"/>
      <c r="P26" s="95"/>
      <c r="Q26" s="92"/>
      <c r="R26" s="92"/>
      <c r="S26" s="92"/>
      <c r="T26" s="66" t="s">
        <v>418</v>
      </c>
      <c r="U26" s="139">
        <v>81222.350000000006</v>
      </c>
      <c r="V26" s="139">
        <v>27556.933948516333</v>
      </c>
      <c r="W26" s="139">
        <v>1386.096</v>
      </c>
      <c r="X26" s="139">
        <v>421.95100000000002</v>
      </c>
      <c r="Y26" s="139">
        <v>2622.2195695659325</v>
      </c>
      <c r="Z26" s="139">
        <v>1.177</v>
      </c>
      <c r="AA26" s="139">
        <f t="shared" si="6"/>
        <v>81644.301000000007</v>
      </c>
      <c r="AB26" s="139">
        <f t="shared" si="6"/>
        <v>30179.153518082265</v>
      </c>
      <c r="AC26" s="139">
        <f t="shared" si="6"/>
        <v>1387.2729999999999</v>
      </c>
      <c r="AD26" s="144">
        <f t="shared" si="7"/>
        <v>113210.72751808228</v>
      </c>
      <c r="AF26" s="145"/>
      <c r="AG26" s="145"/>
      <c r="AH26" s="145"/>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c r="IW26" s="92"/>
      <c r="IX26" s="92"/>
      <c r="IY26" s="92"/>
      <c r="IZ26" s="92"/>
      <c r="JA26" s="92"/>
      <c r="JB26" s="92"/>
      <c r="JC26" s="92"/>
      <c r="JD26" s="92"/>
      <c r="JE26" s="92"/>
      <c r="JF26" s="92"/>
      <c r="JG26" s="92"/>
      <c r="JH26" s="92"/>
      <c r="JI26" s="92"/>
      <c r="JJ26" s="92"/>
      <c r="JK26" s="92"/>
      <c r="JL26" s="92"/>
      <c r="JM26" s="92"/>
      <c r="JN26" s="92"/>
      <c r="JO26" s="92"/>
      <c r="JP26" s="92"/>
      <c r="JQ26" s="92"/>
      <c r="JR26" s="92"/>
      <c r="JS26" s="92"/>
      <c r="JT26" s="92"/>
      <c r="JU26" s="92"/>
      <c r="JV26" s="92"/>
      <c r="JW26" s="92"/>
      <c r="JX26" s="92"/>
      <c r="JY26" s="92"/>
      <c r="JZ26" s="92"/>
      <c r="KA26" s="92"/>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2"/>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2"/>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2"/>
      <c r="MY26" s="92"/>
      <c r="MZ26" s="92"/>
      <c r="NA26" s="92"/>
      <c r="NB26" s="92"/>
      <c r="NC26" s="92"/>
      <c r="ND26" s="92"/>
      <c r="NE26" s="92"/>
      <c r="NF26" s="92"/>
      <c r="NG26" s="92"/>
      <c r="NH26" s="92"/>
      <c r="NI26" s="92"/>
      <c r="NJ26" s="92"/>
      <c r="NK26" s="92"/>
      <c r="NL26" s="92"/>
      <c r="NM26" s="92"/>
      <c r="NN26" s="92"/>
      <c r="NO26" s="92"/>
      <c r="NP26" s="92"/>
      <c r="NQ26" s="92"/>
      <c r="NR26" s="92"/>
      <c r="NS26" s="92"/>
      <c r="NT26" s="92"/>
      <c r="NU26" s="92"/>
      <c r="NV26" s="92"/>
      <c r="NW26" s="92"/>
      <c r="NX26" s="92"/>
      <c r="NY26" s="92"/>
      <c r="NZ26" s="92"/>
      <c r="OA26" s="92"/>
      <c r="OB26" s="92"/>
      <c r="OC26" s="92"/>
      <c r="OD26" s="92"/>
      <c r="OE26" s="92"/>
      <c r="OF26" s="92"/>
      <c r="OG26" s="92"/>
      <c r="OH26" s="92"/>
      <c r="OI26" s="92"/>
      <c r="OJ26" s="92"/>
      <c r="OK26" s="92"/>
      <c r="OL26" s="92"/>
      <c r="OM26" s="92"/>
      <c r="ON26" s="92"/>
      <c r="OO26" s="92"/>
      <c r="OP26" s="92"/>
      <c r="OQ26" s="92"/>
      <c r="OR26" s="92"/>
      <c r="OS26" s="92"/>
      <c r="OT26" s="92"/>
      <c r="OU26" s="92"/>
      <c r="OV26" s="92"/>
      <c r="OW26" s="92"/>
      <c r="OX26" s="92"/>
      <c r="OY26" s="92"/>
      <c r="OZ26" s="92"/>
      <c r="PA26" s="92"/>
      <c r="PB26" s="92"/>
      <c r="PC26" s="92"/>
      <c r="PD26" s="92"/>
      <c r="PE26" s="92"/>
      <c r="PF26" s="92"/>
      <c r="PG26" s="92"/>
      <c r="PH26" s="92"/>
      <c r="PI26" s="92"/>
      <c r="PJ26" s="92"/>
      <c r="PK26" s="92"/>
      <c r="PL26" s="92"/>
      <c r="PM26" s="92"/>
      <c r="PN26" s="92"/>
      <c r="PO26" s="92"/>
      <c r="PP26" s="92"/>
      <c r="PQ26" s="92"/>
      <c r="PR26" s="92"/>
      <c r="PS26" s="92"/>
      <c r="PT26" s="92"/>
      <c r="PU26" s="92"/>
      <c r="PV26" s="92"/>
      <c r="PW26" s="92"/>
      <c r="PX26" s="92"/>
      <c r="PY26" s="92"/>
      <c r="PZ26" s="92"/>
      <c r="QA26" s="92"/>
      <c r="QB26" s="92"/>
      <c r="QC26" s="92"/>
      <c r="QD26" s="92"/>
      <c r="QE26" s="92"/>
      <c r="QF26" s="92"/>
      <c r="QG26" s="92"/>
      <c r="QH26" s="92"/>
      <c r="QI26" s="92"/>
      <c r="QJ26" s="92"/>
      <c r="QK26" s="92"/>
      <c r="QL26" s="92"/>
      <c r="QM26" s="92"/>
      <c r="QN26" s="92"/>
      <c r="QO26" s="92"/>
    </row>
    <row r="27" spans="1:457" ht="15.75">
      <c r="A27" s="90"/>
      <c r="B27" s="90"/>
      <c r="C27" s="102" t="s">
        <v>240</v>
      </c>
      <c r="D27" s="94"/>
      <c r="E27" s="94"/>
      <c r="F27" s="94"/>
      <c r="G27" s="222"/>
      <c r="H27" s="94"/>
      <c r="I27" s="94"/>
      <c r="J27" s="94"/>
      <c r="K27" s="94"/>
      <c r="L27" s="94"/>
      <c r="M27" s="94"/>
      <c r="N27" s="94"/>
      <c r="O27" s="95"/>
      <c r="P27" s="95"/>
      <c r="Q27" s="92"/>
      <c r="R27" s="92"/>
      <c r="S27" s="92"/>
      <c r="T27" s="56" t="s">
        <v>537</v>
      </c>
      <c r="U27" s="140">
        <f t="shared" ref="U27:Z27" si="14">SUM(U5:U26)</f>
        <v>577335.36400000006</v>
      </c>
      <c r="V27" s="140">
        <f t="shared" si="14"/>
        <v>146882.4016235492</v>
      </c>
      <c r="W27" s="140">
        <f t="shared" si="14"/>
        <v>278188.86500000005</v>
      </c>
      <c r="X27" s="140">
        <f t="shared" si="14"/>
        <v>390080.89199999999</v>
      </c>
      <c r="Y27" s="140">
        <f t="shared" si="14"/>
        <v>122706.81581652683</v>
      </c>
      <c r="Z27" s="140">
        <f t="shared" si="14"/>
        <v>1045.2850000000001</v>
      </c>
      <c r="AA27" s="140">
        <f t="shared" si="6"/>
        <v>967416.25600000005</v>
      </c>
      <c r="AB27" s="140">
        <f t="shared" si="6"/>
        <v>269589.21744007606</v>
      </c>
      <c r="AC27" s="140">
        <f t="shared" si="6"/>
        <v>279234.15000000002</v>
      </c>
      <c r="AD27" s="144">
        <f t="shared" si="7"/>
        <v>1516239.6234400761</v>
      </c>
      <c r="AF27" s="140"/>
      <c r="AG27" s="140"/>
      <c r="AH27" s="140"/>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c r="IW27" s="92"/>
      <c r="IX27" s="92"/>
      <c r="IY27" s="92"/>
      <c r="IZ27" s="92"/>
      <c r="JA27" s="92"/>
      <c r="JB27" s="92"/>
      <c r="JC27" s="92"/>
      <c r="JD27" s="92"/>
      <c r="JE27" s="92"/>
      <c r="JF27" s="92"/>
      <c r="JG27" s="92"/>
      <c r="JH27" s="92"/>
      <c r="JI27" s="92"/>
      <c r="JJ27" s="92"/>
      <c r="JK27" s="92"/>
      <c r="JL27" s="92"/>
      <c r="JM27" s="92"/>
      <c r="JN27" s="92"/>
      <c r="JO27" s="92"/>
      <c r="JP27" s="92"/>
      <c r="JQ27" s="92"/>
      <c r="JR27" s="92"/>
      <c r="JS27" s="92"/>
      <c r="JT27" s="92"/>
      <c r="JU27" s="92"/>
      <c r="JV27" s="92"/>
      <c r="JW27" s="92"/>
      <c r="JX27" s="92"/>
      <c r="JY27" s="92"/>
      <c r="JZ27" s="92"/>
      <c r="KA27" s="92"/>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2"/>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2"/>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2"/>
      <c r="MY27" s="92"/>
      <c r="MZ27" s="92"/>
      <c r="NA27" s="92"/>
      <c r="NB27" s="92"/>
      <c r="NC27" s="92"/>
      <c r="ND27" s="92"/>
      <c r="NE27" s="92"/>
      <c r="NF27" s="92"/>
      <c r="NG27" s="92"/>
      <c r="NH27" s="92"/>
      <c r="NI27" s="92"/>
      <c r="NJ27" s="92"/>
      <c r="NK27" s="92"/>
      <c r="NL27" s="92"/>
      <c r="NM27" s="92"/>
      <c r="NN27" s="92"/>
      <c r="NO27" s="92"/>
      <c r="NP27" s="92"/>
      <c r="NQ27" s="92"/>
      <c r="NR27" s="92"/>
      <c r="NS27" s="92"/>
      <c r="NT27" s="92"/>
      <c r="NU27" s="92"/>
      <c r="NV27" s="92"/>
      <c r="NW27" s="92"/>
      <c r="NX27" s="92"/>
      <c r="NY27" s="92"/>
      <c r="NZ27" s="92"/>
      <c r="OA27" s="92"/>
      <c r="OB27" s="92"/>
      <c r="OC27" s="92"/>
      <c r="OD27" s="92"/>
      <c r="OE27" s="92"/>
      <c r="OF27" s="92"/>
      <c r="OG27" s="92"/>
      <c r="OH27" s="92"/>
      <c r="OI27" s="92"/>
      <c r="OJ27" s="92"/>
      <c r="OK27" s="92"/>
      <c r="OL27" s="92"/>
      <c r="OM27" s="92"/>
      <c r="ON27" s="92"/>
      <c r="OO27" s="92"/>
      <c r="OP27" s="92"/>
      <c r="OQ27" s="92"/>
      <c r="OR27" s="92"/>
      <c r="OS27" s="92"/>
      <c r="OT27" s="92"/>
      <c r="OU27" s="92"/>
      <c r="OV27" s="92"/>
      <c r="OW27" s="92"/>
      <c r="OX27" s="92"/>
      <c r="OY27" s="92"/>
      <c r="OZ27" s="92"/>
      <c r="PA27" s="92"/>
      <c r="PB27" s="92"/>
      <c r="PC27" s="92"/>
      <c r="PD27" s="92"/>
      <c r="PE27" s="92"/>
      <c r="PF27" s="92"/>
      <c r="PG27" s="92"/>
      <c r="PH27" s="92"/>
      <c r="PI27" s="92"/>
      <c r="PJ27" s="92"/>
      <c r="PK27" s="92"/>
      <c r="PL27" s="92"/>
      <c r="PM27" s="92"/>
      <c r="PN27" s="92"/>
      <c r="PO27" s="92"/>
      <c r="PP27" s="92"/>
      <c r="PQ27" s="92"/>
      <c r="PR27" s="92"/>
      <c r="PS27" s="92"/>
      <c r="PT27" s="92"/>
      <c r="PU27" s="92"/>
      <c r="PV27" s="92"/>
      <c r="PW27" s="92"/>
      <c r="PX27" s="92"/>
      <c r="PY27" s="92"/>
      <c r="PZ27" s="92"/>
      <c r="QA27" s="92"/>
      <c r="QB27" s="92"/>
      <c r="QC27" s="92"/>
      <c r="QD27" s="92"/>
      <c r="QE27" s="92"/>
      <c r="QF27" s="92"/>
      <c r="QG27" s="92"/>
      <c r="QH27" s="92"/>
      <c r="QI27" s="92"/>
      <c r="QJ27" s="92"/>
      <c r="QK27" s="92"/>
      <c r="QL27" s="92"/>
      <c r="QM27" s="92"/>
      <c r="QN27" s="92"/>
      <c r="QO27" s="92"/>
    </row>
    <row r="28" spans="1:457" ht="15.75">
      <c r="C28" s="282" t="s">
        <v>378</v>
      </c>
      <c r="D28" s="94">
        <f>U29/U90</f>
        <v>995.46189945202002</v>
      </c>
      <c r="E28" s="94">
        <f>V29/V90</f>
        <v>0</v>
      </c>
      <c r="F28" s="94">
        <f>W29/W90</f>
        <v>4.5542567697503818E-2</v>
      </c>
      <c r="G28" s="280">
        <f t="shared" si="5"/>
        <v>995.50744201971747</v>
      </c>
      <c r="H28" s="94"/>
      <c r="I28" s="94"/>
      <c r="J28" s="94"/>
      <c r="K28" s="94"/>
      <c r="L28" s="94"/>
      <c r="M28" s="94"/>
      <c r="N28" s="94"/>
      <c r="O28" s="95"/>
      <c r="P28" s="95">
        <f t="shared" si="3"/>
        <v>995.50744201971747</v>
      </c>
      <c r="Q28" s="92"/>
      <c r="R28" s="92"/>
      <c r="S28" s="92"/>
      <c r="T28" s="187" t="s">
        <v>240</v>
      </c>
      <c r="U28" s="139">
        <f t="array" ref="U28:W28">TRANSPOSE([2]Step8!$BI$25:$BI$27)</f>
        <v>363423.54499999998</v>
      </c>
      <c r="V28" s="139">
        <v>9122.0974100000003</v>
      </c>
      <c r="W28" s="139">
        <v>37854.733</v>
      </c>
      <c r="X28" s="139">
        <f t="array" ref="X28:Z28">TRANSPOSE([2]Step8!$AM$70:$AM$72)</f>
        <v>18.373000000000001</v>
      </c>
      <c r="Y28" s="139">
        <v>161.10099</v>
      </c>
      <c r="Z28" s="139">
        <v>0</v>
      </c>
      <c r="AA28" s="139">
        <f>U28+X28</f>
        <v>363441.91800000001</v>
      </c>
      <c r="AB28" s="139">
        <f>V28+Y28</f>
        <v>9283.1984000000011</v>
      </c>
      <c r="AC28" s="139">
        <f>W28+Z28</f>
        <v>37854.733</v>
      </c>
      <c r="AD28" s="144">
        <f>SUM(AA28:AC28)</f>
        <v>410579.84940000001</v>
      </c>
      <c r="AF28" s="140"/>
      <c r="AG28" s="140"/>
      <c r="AH28" s="140"/>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c r="IX28" s="92"/>
      <c r="IY28" s="92"/>
      <c r="IZ28" s="92"/>
      <c r="JA28" s="92"/>
      <c r="JB28" s="92"/>
      <c r="JC28" s="92"/>
      <c r="JD28" s="92"/>
      <c r="JE28" s="92"/>
      <c r="JF28" s="92"/>
      <c r="JG28" s="92"/>
      <c r="JH28" s="92"/>
      <c r="JI28" s="92"/>
      <c r="JJ28" s="92"/>
      <c r="JK28" s="92"/>
      <c r="JL28" s="92"/>
      <c r="JM28" s="92"/>
      <c r="JN28" s="92"/>
      <c r="JO28" s="92"/>
      <c r="JP28" s="92"/>
      <c r="JQ28" s="92"/>
      <c r="JR28" s="92"/>
      <c r="JS28" s="92"/>
      <c r="JT28" s="92"/>
      <c r="JU28" s="92"/>
      <c r="JV28" s="92"/>
      <c r="JW28" s="92"/>
      <c r="JX28" s="92"/>
      <c r="JY28" s="92"/>
      <c r="JZ28" s="92"/>
      <c r="KA28" s="92"/>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2"/>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2"/>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2"/>
      <c r="MY28" s="92"/>
      <c r="MZ28" s="92"/>
      <c r="NA28" s="92"/>
      <c r="NB28" s="92"/>
      <c r="NC28" s="92"/>
      <c r="ND28" s="92"/>
      <c r="NE28" s="92"/>
      <c r="NF28" s="92"/>
      <c r="NG28" s="92"/>
      <c r="NH28" s="92"/>
      <c r="NI28" s="92"/>
      <c r="NJ28" s="92"/>
      <c r="NK28" s="92"/>
      <c r="NL28" s="92"/>
      <c r="NM28" s="92"/>
      <c r="NN28" s="92"/>
      <c r="NO28" s="92"/>
      <c r="NP28" s="92"/>
      <c r="NQ28" s="92"/>
      <c r="NR28" s="92"/>
      <c r="NS28" s="92"/>
      <c r="NT28" s="92"/>
      <c r="NU28" s="92"/>
      <c r="NV28" s="92"/>
      <c r="NW28" s="92"/>
      <c r="NX28" s="92"/>
      <c r="NY28" s="92"/>
      <c r="NZ28" s="92"/>
      <c r="OA28" s="92"/>
      <c r="OB28" s="92"/>
      <c r="OC28" s="92"/>
      <c r="OD28" s="92"/>
      <c r="OE28" s="92"/>
      <c r="OF28" s="92"/>
      <c r="OG28" s="92"/>
      <c r="OH28" s="92"/>
      <c r="OI28" s="92"/>
      <c r="OJ28" s="92"/>
      <c r="OK28" s="92"/>
      <c r="OL28" s="92"/>
      <c r="OM28" s="92"/>
      <c r="ON28" s="92"/>
      <c r="OO28" s="92"/>
      <c r="OP28" s="92"/>
      <c r="OQ28" s="92"/>
      <c r="OR28" s="92"/>
      <c r="OS28" s="92"/>
      <c r="OT28" s="92"/>
      <c r="OU28" s="92"/>
      <c r="OV28" s="92"/>
      <c r="OW28" s="92"/>
      <c r="OX28" s="92"/>
      <c r="OY28" s="92"/>
      <c r="OZ28" s="92"/>
      <c r="PA28" s="92"/>
      <c r="PB28" s="92"/>
      <c r="PC28" s="92"/>
      <c r="PD28" s="92"/>
      <c r="PE28" s="92"/>
      <c r="PF28" s="92"/>
      <c r="PG28" s="92"/>
      <c r="PH28" s="92"/>
      <c r="PI28" s="92"/>
      <c r="PJ28" s="92"/>
      <c r="PK28" s="92"/>
      <c r="PL28" s="92"/>
      <c r="PM28" s="92"/>
      <c r="PN28" s="92"/>
      <c r="PO28" s="92"/>
      <c r="PP28" s="92"/>
      <c r="PQ28" s="92"/>
      <c r="PR28" s="92"/>
      <c r="PS28" s="92"/>
      <c r="PT28" s="92"/>
      <c r="PU28" s="92"/>
      <c r="PV28" s="92"/>
      <c r="PW28" s="92"/>
      <c r="PX28" s="92"/>
      <c r="PY28" s="92"/>
      <c r="PZ28" s="92"/>
      <c r="QA28" s="92"/>
      <c r="QB28" s="92"/>
      <c r="QC28" s="92"/>
      <c r="QD28" s="92"/>
      <c r="QE28" s="92"/>
      <c r="QF28" s="92"/>
      <c r="QG28" s="92"/>
      <c r="QH28" s="92"/>
      <c r="QI28" s="92"/>
      <c r="QJ28" s="92"/>
      <c r="QK28" s="92"/>
      <c r="QL28" s="92"/>
      <c r="QM28" s="92"/>
      <c r="QN28" s="92"/>
      <c r="QO28" s="92"/>
    </row>
    <row r="29" spans="1:457">
      <c r="C29" s="282" t="s">
        <v>281</v>
      </c>
      <c r="D29" s="94">
        <f>AA30/U93</f>
        <v>258.308876</v>
      </c>
      <c r="E29" s="94">
        <f>AB30/V93</f>
        <v>33.802999999999997</v>
      </c>
      <c r="F29" s="94">
        <f>AC30/W93</f>
        <v>191.13900000000001</v>
      </c>
      <c r="G29" s="280">
        <f>SUM(D29:F29)</f>
        <v>483.25087600000001</v>
      </c>
      <c r="H29" s="94"/>
      <c r="I29" s="94">
        <f>'AggrStep1-energy'!I72</f>
        <v>255.42239699999999</v>
      </c>
      <c r="J29" s="94"/>
      <c r="K29" s="94"/>
      <c r="L29" s="94">
        <f>'AggrStep1-energy'!L72</f>
        <v>4.0359999999999996</v>
      </c>
      <c r="M29" s="94"/>
      <c r="N29" s="94"/>
      <c r="O29" s="95"/>
      <c r="P29" s="95">
        <f t="shared" si="3"/>
        <v>742.70927299999994</v>
      </c>
      <c r="Q29" s="92"/>
      <c r="R29" s="92"/>
      <c r="S29" s="92"/>
      <c r="T29" s="270" t="s">
        <v>378</v>
      </c>
      <c r="U29" s="271">
        <f t="shared" ref="U29:W30" si="15">U$28*U52/U$54</f>
        <v>215734.68126501434</v>
      </c>
      <c r="V29" s="271">
        <f t="shared" si="15"/>
        <v>0</v>
      </c>
      <c r="W29" s="271">
        <f t="shared" si="15"/>
        <v>44.759939941194922</v>
      </c>
      <c r="X29" s="271">
        <f t="shared" ref="X29:Z30" si="16">X$28*U52/U$54</f>
        <v>10.906539637882045</v>
      </c>
      <c r="Y29" s="271">
        <f t="shared" si="16"/>
        <v>0</v>
      </c>
      <c r="Z29" s="271">
        <f t="shared" si="16"/>
        <v>0</v>
      </c>
      <c r="AA29" s="271">
        <f t="shared" ref="AA29:AC30" si="17">AA$28*U52/U$54</f>
        <v>215745.58780465226</v>
      </c>
      <c r="AB29" s="271">
        <f t="shared" si="17"/>
        <v>0</v>
      </c>
      <c r="AC29" s="271">
        <f t="shared" si="17"/>
        <v>44.759939941194922</v>
      </c>
      <c r="AD29" s="272">
        <f t="shared" ref="AD29:AD30" si="18">SUM(AA29:AC29)</f>
        <v>215790.34774459345</v>
      </c>
      <c r="AF29" s="140"/>
      <c r="AG29" s="140"/>
      <c r="AH29" s="140"/>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c r="IW29" s="92"/>
      <c r="IX29" s="92"/>
      <c r="IY29" s="92"/>
      <c r="IZ29" s="92"/>
      <c r="JA29" s="92"/>
      <c r="JB29" s="92"/>
      <c r="JC29" s="92"/>
      <c r="JD29" s="92"/>
      <c r="JE29" s="92"/>
      <c r="JF29" s="92"/>
      <c r="JG29" s="92"/>
      <c r="JH29" s="92"/>
      <c r="JI29" s="92"/>
      <c r="JJ29" s="92"/>
      <c r="JK29" s="92"/>
      <c r="JL29" s="92"/>
      <c r="JM29" s="92"/>
      <c r="JN29" s="92"/>
      <c r="JO29" s="92"/>
      <c r="JP29" s="92"/>
      <c r="JQ29" s="92"/>
      <c r="JR29" s="92"/>
      <c r="JS29" s="92"/>
      <c r="JT29" s="92"/>
      <c r="JU29" s="92"/>
      <c r="JV29" s="92"/>
      <c r="JW29" s="92"/>
      <c r="JX29" s="92"/>
      <c r="JY29" s="92"/>
      <c r="JZ29" s="92"/>
      <c r="KA29" s="92"/>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2"/>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2"/>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2"/>
      <c r="MY29" s="92"/>
      <c r="MZ29" s="92"/>
      <c r="NA29" s="92"/>
      <c r="NB29" s="92"/>
      <c r="NC29" s="92"/>
      <c r="ND29" s="92"/>
      <c r="NE29" s="92"/>
      <c r="NF29" s="92"/>
      <c r="NG29" s="92"/>
      <c r="NH29" s="92"/>
      <c r="NI29" s="92"/>
      <c r="NJ29" s="92"/>
      <c r="NK29" s="92"/>
      <c r="NL29" s="92"/>
      <c r="NM29" s="92"/>
      <c r="NN29" s="92"/>
      <c r="NO29" s="92"/>
      <c r="NP29" s="92"/>
      <c r="NQ29" s="92"/>
      <c r="NR29" s="92"/>
      <c r="NS29" s="92"/>
      <c r="NT29" s="92"/>
      <c r="NU29" s="92"/>
      <c r="NV29" s="92"/>
      <c r="NW29" s="92"/>
      <c r="NX29" s="92"/>
      <c r="NY29" s="92"/>
      <c r="NZ29" s="92"/>
      <c r="OA29" s="92"/>
      <c r="OB29" s="92"/>
      <c r="OC29" s="92"/>
      <c r="OD29" s="92"/>
      <c r="OE29" s="92"/>
      <c r="OF29" s="92"/>
      <c r="OG29" s="92"/>
      <c r="OH29" s="92"/>
      <c r="OI29" s="92"/>
      <c r="OJ29" s="92"/>
      <c r="OK29" s="92"/>
      <c r="OL29" s="92"/>
      <c r="OM29" s="92"/>
      <c r="ON29" s="92"/>
      <c r="OO29" s="92"/>
      <c r="OP29" s="92"/>
      <c r="OQ29" s="92"/>
      <c r="OR29" s="92"/>
      <c r="OS29" s="92"/>
      <c r="OT29" s="92"/>
      <c r="OU29" s="92"/>
      <c r="OV29" s="92"/>
      <c r="OW29" s="92"/>
      <c r="OX29" s="92"/>
      <c r="OY29" s="92"/>
      <c r="OZ29" s="92"/>
      <c r="PA29" s="92"/>
      <c r="PB29" s="92"/>
      <c r="PC29" s="92"/>
      <c r="PD29" s="92"/>
      <c r="PE29" s="92"/>
      <c r="PF29" s="92"/>
      <c r="PG29" s="92"/>
      <c r="PH29" s="92"/>
      <c r="PI29" s="92"/>
      <c r="PJ29" s="92"/>
      <c r="PK29" s="92"/>
      <c r="PL29" s="92"/>
      <c r="PM29" s="92"/>
      <c r="PN29" s="92"/>
      <c r="PO29" s="92"/>
      <c r="PP29" s="92"/>
      <c r="PQ29" s="92"/>
      <c r="PR29" s="92"/>
      <c r="PS29" s="92"/>
      <c r="PT29" s="92"/>
      <c r="PU29" s="92"/>
      <c r="PV29" s="92"/>
      <c r="PW29" s="92"/>
      <c r="PX29" s="92"/>
      <c r="PY29" s="92"/>
      <c r="PZ29" s="92"/>
      <c r="QA29" s="92"/>
      <c r="QB29" s="92"/>
      <c r="QC29" s="92"/>
      <c r="QD29" s="92"/>
      <c r="QE29" s="92"/>
      <c r="QF29" s="92"/>
      <c r="QG29" s="92"/>
      <c r="QH29" s="92"/>
      <c r="QI29" s="92"/>
      <c r="QJ29" s="92"/>
      <c r="QK29" s="92"/>
      <c r="QL29" s="92"/>
      <c r="QM29" s="92"/>
      <c r="QN29" s="92"/>
      <c r="QO29" s="92"/>
    </row>
    <row r="30" spans="1:457">
      <c r="C30" s="101"/>
      <c r="D30" s="94"/>
      <c r="E30" s="94"/>
      <c r="F30" s="94"/>
      <c r="G30" s="94"/>
      <c r="H30" s="94"/>
      <c r="I30" s="94"/>
      <c r="J30" s="94"/>
      <c r="K30" s="94"/>
      <c r="L30" s="94"/>
      <c r="M30" s="94"/>
      <c r="N30" s="94"/>
      <c r="O30" s="95"/>
      <c r="P30" s="95"/>
      <c r="Q30" s="92"/>
      <c r="R30" s="92"/>
      <c r="S30" s="92"/>
      <c r="T30" s="273" t="s">
        <v>241</v>
      </c>
      <c r="U30" s="274">
        <f t="shared" si="15"/>
        <v>147688.86373498561</v>
      </c>
      <c r="V30" s="274">
        <f t="shared" si="15"/>
        <v>9122.0974100000003</v>
      </c>
      <c r="W30" s="274">
        <f t="shared" si="15"/>
        <v>37809.973060058808</v>
      </c>
      <c r="X30" s="274">
        <f t="shared" si="16"/>
        <v>7.4664603621179557</v>
      </c>
      <c r="Y30" s="274">
        <f t="shared" si="16"/>
        <v>161.10099</v>
      </c>
      <c r="Z30" s="274">
        <f t="shared" si="16"/>
        <v>0</v>
      </c>
      <c r="AA30" s="274">
        <f t="shared" si="17"/>
        <v>147696.33019534775</v>
      </c>
      <c r="AB30" s="274">
        <f t="shared" si="17"/>
        <v>9283.1984000000011</v>
      </c>
      <c r="AC30" s="274">
        <f t="shared" si="17"/>
        <v>37809.973060058808</v>
      </c>
      <c r="AD30" s="275">
        <f t="shared" si="18"/>
        <v>194789.50165540655</v>
      </c>
      <c r="AF30" s="140"/>
      <c r="AG30" s="140"/>
      <c r="AH30" s="140"/>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row>
    <row r="31" spans="1:457" ht="15.75">
      <c r="C31" s="102" t="s">
        <v>546</v>
      </c>
      <c r="D31" s="94">
        <f>D25+D28+D29</f>
        <v>11114.022885952374</v>
      </c>
      <c r="E31" s="94">
        <f t="shared" ref="E31:F31" si="19">E25+E28+E29</f>
        <v>2864.6867270879038</v>
      </c>
      <c r="F31" s="94">
        <f t="shared" si="19"/>
        <v>886.9870655951504</v>
      </c>
      <c r="G31" s="280">
        <f t="shared" si="5"/>
        <v>14865.69667863543</v>
      </c>
      <c r="H31" s="94"/>
      <c r="I31" s="94">
        <f t="shared" ref="I31:O31" si="20">I25+I28+I29</f>
        <v>379.74684000000002</v>
      </c>
      <c r="J31" s="94">
        <f t="shared" si="20"/>
        <v>0</v>
      </c>
      <c r="K31" s="94">
        <f t="shared" si="20"/>
        <v>15.064</v>
      </c>
      <c r="L31" s="94">
        <f t="shared" si="20"/>
        <v>7.5960000000000001</v>
      </c>
      <c r="M31" s="94">
        <f t="shared" si="20"/>
        <v>100.87700000000001</v>
      </c>
      <c r="N31" s="94">
        <f t="shared" si="20"/>
        <v>131.316</v>
      </c>
      <c r="O31" s="94">
        <f t="shared" si="20"/>
        <v>122.598</v>
      </c>
      <c r="P31" s="95">
        <f t="shared" si="3"/>
        <v>15622.89451863543</v>
      </c>
      <c r="Q31" s="92"/>
      <c r="R31" s="92"/>
      <c r="S31" s="92"/>
      <c r="T31" s="187"/>
      <c r="U31" s="139"/>
      <c r="V31" s="139"/>
      <c r="W31" s="139"/>
      <c r="X31" s="139"/>
      <c r="Y31" s="139"/>
      <c r="Z31" s="139"/>
      <c r="AA31" s="139"/>
      <c r="AB31" s="139"/>
      <c r="AC31" s="139"/>
      <c r="AD31" s="144"/>
      <c r="AF31" s="140"/>
      <c r="AG31" s="140"/>
      <c r="AH31" s="140"/>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row>
    <row r="32" spans="1:457">
      <c r="C32" s="101"/>
      <c r="D32" s="94"/>
      <c r="E32" s="94"/>
      <c r="F32" s="94"/>
      <c r="G32" s="94"/>
      <c r="H32" s="94"/>
      <c r="I32" s="94"/>
      <c r="J32" s="94"/>
      <c r="K32" s="94"/>
      <c r="L32" s="94"/>
      <c r="M32" s="94"/>
      <c r="N32" s="94"/>
      <c r="O32" s="95"/>
      <c r="P32" s="101"/>
      <c r="Q32" s="92"/>
      <c r="R32" s="92"/>
      <c r="S32" s="92"/>
      <c r="T32" s="90" t="s">
        <v>372</v>
      </c>
      <c r="U32" s="115">
        <f t="shared" ref="U32:AD32" si="21">U27+U28</f>
        <v>940758.90899999999</v>
      </c>
      <c r="V32" s="115">
        <f t="shared" si="21"/>
        <v>156004.49903354919</v>
      </c>
      <c r="W32" s="115">
        <f t="shared" si="21"/>
        <v>316043.59800000006</v>
      </c>
      <c r="X32" s="115">
        <f t="shared" si="21"/>
        <v>390099.26500000001</v>
      </c>
      <c r="Y32" s="115">
        <f t="shared" si="21"/>
        <v>122867.91680652683</v>
      </c>
      <c r="Z32" s="115">
        <f t="shared" si="21"/>
        <v>1045.2850000000001</v>
      </c>
      <c r="AA32" s="115">
        <f t="shared" si="21"/>
        <v>1330858.1740000001</v>
      </c>
      <c r="AB32" s="115">
        <f t="shared" si="21"/>
        <v>278872.41584007605</v>
      </c>
      <c r="AC32" s="115">
        <f t="shared" si="21"/>
        <v>317088.88300000003</v>
      </c>
      <c r="AD32" s="115">
        <f t="shared" si="21"/>
        <v>1926819.4728400761</v>
      </c>
      <c r="AF32" s="140"/>
      <c r="AG32" s="140"/>
      <c r="AH32" s="140"/>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row>
    <row r="33" spans="2:457" ht="30">
      <c r="B33" s="283"/>
      <c r="C33" s="284" t="s">
        <v>0</v>
      </c>
      <c r="D33" s="220" t="s">
        <v>383</v>
      </c>
      <c r="E33" s="220" t="s">
        <v>384</v>
      </c>
      <c r="F33" s="221" t="s">
        <v>172</v>
      </c>
      <c r="G33" s="221" t="s">
        <v>560</v>
      </c>
      <c r="H33" s="149"/>
      <c r="I33" s="149" t="s">
        <v>386</v>
      </c>
      <c r="J33" s="149" t="s">
        <v>385</v>
      </c>
      <c r="K33" s="149" t="s">
        <v>219</v>
      </c>
      <c r="L33" s="149" t="s">
        <v>11</v>
      </c>
      <c r="M33" s="149" t="s">
        <v>218</v>
      </c>
      <c r="N33" s="149" t="s">
        <v>171</v>
      </c>
      <c r="O33" s="149" t="s">
        <v>187</v>
      </c>
      <c r="P33" s="224" t="s">
        <v>7</v>
      </c>
      <c r="Q33" s="92"/>
      <c r="R33" s="92"/>
      <c r="S33" s="92"/>
      <c r="T33" s="56"/>
      <c r="U33" s="140"/>
      <c r="V33" s="140"/>
      <c r="W33" s="140"/>
      <c r="X33" s="140"/>
      <c r="Y33" s="140"/>
      <c r="Z33" s="140"/>
      <c r="AA33" s="140"/>
      <c r="AB33" s="140"/>
      <c r="AC33" s="140"/>
      <c r="AD33" s="144"/>
      <c r="AF33" s="140"/>
      <c r="AG33" s="140"/>
      <c r="AH33" s="140"/>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row>
    <row r="34" spans="2:457">
      <c r="C34" s="267" t="s">
        <v>226</v>
      </c>
      <c r="D34" s="94">
        <f>D3+D4</f>
        <v>121.58713299999999</v>
      </c>
      <c r="E34" s="94">
        <f t="shared" ref="E34:F34" si="22">E3+E4</f>
        <v>6.5447287070636406E-2</v>
      </c>
      <c r="F34" s="94">
        <f t="shared" si="22"/>
        <v>37.028000000000006</v>
      </c>
      <c r="G34" s="280">
        <f t="shared" ref="G34:G43" si="23">SUM(D34:F34)</f>
        <v>158.68058028707065</v>
      </c>
      <c r="H34" s="94"/>
      <c r="I34" s="94">
        <f>'AggrStep1-energy'!I94</f>
        <v>0</v>
      </c>
      <c r="J34" s="94">
        <f>'AggrStep1-energy'!J94</f>
        <v>0</v>
      </c>
      <c r="K34" s="94">
        <f>'AggrStep1-energy'!K94</f>
        <v>0</v>
      </c>
      <c r="L34" s="94">
        <f>'AggrStep1-energy'!L94</f>
        <v>0</v>
      </c>
      <c r="M34" s="94">
        <f>'AggrStep1-energy'!M94</f>
        <v>0</v>
      </c>
      <c r="N34" s="94">
        <f>'AggrStep1-energy'!N94</f>
        <v>0</v>
      </c>
      <c r="O34" s="94">
        <f>'AggrStep1-energy'!O94</f>
        <v>0</v>
      </c>
      <c r="P34" s="102">
        <f>SUM(G34,I34:O34)</f>
        <v>158.68058028707065</v>
      </c>
      <c r="Q34" s="92"/>
      <c r="R34" s="92"/>
      <c r="S34" s="92"/>
      <c r="T34" s="57"/>
      <c r="U34" s="57"/>
      <c r="V34" s="57"/>
      <c r="W34" s="57"/>
      <c r="X34" s="57"/>
      <c r="Y34" s="57"/>
      <c r="Z34" s="57"/>
      <c r="AA34" s="57"/>
      <c r="AB34" s="57"/>
      <c r="AC34" s="57"/>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row>
    <row r="35" spans="2:457">
      <c r="C35" s="267" t="s">
        <v>387</v>
      </c>
      <c r="D35" s="94">
        <f>SUM(D5:D10,D12:D13)</f>
        <v>411.05060300000002</v>
      </c>
      <c r="E35" s="94">
        <f t="shared" ref="E35:F35" si="24">SUM(E5:E10,E12:E13)</f>
        <v>593.18299999999999</v>
      </c>
      <c r="F35" s="94">
        <f t="shared" si="24"/>
        <v>530.60299999999995</v>
      </c>
      <c r="G35" s="280">
        <f t="shared" si="23"/>
        <v>1534.836603</v>
      </c>
      <c r="H35" s="94"/>
      <c r="I35" s="94">
        <f>'AggrStep1-energy'!I95</f>
        <v>63.782443000000001</v>
      </c>
      <c r="J35" s="94">
        <f>'AggrStep1-energy'!J95</f>
        <v>0</v>
      </c>
      <c r="K35" s="94">
        <f>'AggrStep1-energy'!K95</f>
        <v>0</v>
      </c>
      <c r="L35" s="94">
        <f>'AggrStep1-energy'!L95</f>
        <v>0.38100000000000001</v>
      </c>
      <c r="M35" s="94">
        <f>'AggrStep1-energy'!M95</f>
        <v>0</v>
      </c>
      <c r="N35" s="94">
        <f>'AggrStep1-energy'!N95</f>
        <v>0</v>
      </c>
      <c r="O35" s="94">
        <f>'AggrStep1-energy'!O95</f>
        <v>0</v>
      </c>
      <c r="P35" s="102">
        <f t="shared" ref="P35:P39" si="25">SUM(G35,I35:O35)</f>
        <v>1599.0000460000001</v>
      </c>
      <c r="Q35" s="92"/>
      <c r="R35" s="92"/>
      <c r="S35" s="92"/>
      <c r="T35" s="90" t="s">
        <v>422</v>
      </c>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row>
    <row r="36" spans="2:457">
      <c r="C36" s="226" t="s">
        <v>570</v>
      </c>
      <c r="D36" s="94">
        <f>SUM(D14:D19,D28)</f>
        <v>2256.1218240876301</v>
      </c>
      <c r="E36" s="94">
        <f t="shared" ref="E36" si="26">SUM(E14:E19,E28)</f>
        <v>1.3886131564022892</v>
      </c>
      <c r="F36" s="94">
        <f>SUM(F14:F19,F28)</f>
        <v>4.226999960136375</v>
      </c>
      <c r="G36" s="280">
        <f t="shared" si="23"/>
        <v>2261.7374372041686</v>
      </c>
      <c r="H36" s="94"/>
      <c r="I36" s="94">
        <f>'AggrStep1-energy'!I96</f>
        <v>0</v>
      </c>
      <c r="J36" s="94">
        <f>'AggrStep1-energy'!J96</f>
        <v>0</v>
      </c>
      <c r="K36" s="94">
        <f>'AggrStep1-energy'!K96</f>
        <v>0</v>
      </c>
      <c r="L36" s="94">
        <f>'AggrStep1-energy'!L96</f>
        <v>0</v>
      </c>
      <c r="M36" s="94">
        <f>'AggrStep1-energy'!M96</f>
        <v>0</v>
      </c>
      <c r="N36" s="94">
        <f>'AggrStep1-energy'!N96</f>
        <v>0</v>
      </c>
      <c r="O36" s="94">
        <f>'AggrStep1-energy'!O96</f>
        <v>0</v>
      </c>
      <c r="P36" s="102">
        <f t="shared" si="25"/>
        <v>2261.7374372041686</v>
      </c>
      <c r="Q36" s="92"/>
      <c r="R36" s="92"/>
      <c r="S36" s="92"/>
      <c r="T36" s="146" t="s">
        <v>226</v>
      </c>
      <c r="U36" s="78">
        <f t="shared" ref="U36:AC36" si="27">U5+U6</f>
        <v>16798.418000000001</v>
      </c>
      <c r="V36" s="78">
        <f t="shared" si="27"/>
        <v>5.9706494829678478</v>
      </c>
      <c r="W36" s="78">
        <f t="shared" si="27"/>
        <v>3001.944</v>
      </c>
      <c r="X36" s="78">
        <f t="shared" si="27"/>
        <v>59.913999999999987</v>
      </c>
      <c r="Y36" s="78">
        <f t="shared" si="27"/>
        <v>3.7266061988958232</v>
      </c>
      <c r="Z36" s="78">
        <f t="shared" si="27"/>
        <v>6.9869999999999974</v>
      </c>
      <c r="AA36" s="78">
        <f t="shared" si="27"/>
        <v>16858.332000000002</v>
      </c>
      <c r="AB36" s="78">
        <f t="shared" si="27"/>
        <v>9.6972556818636715</v>
      </c>
      <c r="AC36" s="78">
        <f t="shared" si="27"/>
        <v>3008.931</v>
      </c>
      <c r="AD36" s="140">
        <f>SUM(AA36:AC36)</f>
        <v>19876.960255681865</v>
      </c>
      <c r="AE36" s="142"/>
      <c r="AF36" s="145"/>
      <c r="AG36" s="145"/>
      <c r="AH36" s="145"/>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row>
    <row r="37" spans="2:457" ht="15.75">
      <c r="C37" s="66" t="s">
        <v>214</v>
      </c>
      <c r="D37" s="94">
        <f>D20</f>
        <v>69.427136802081847</v>
      </c>
      <c r="E37" s="94">
        <f t="shared" ref="E37:F38" si="28">E20</f>
        <v>11.097</v>
      </c>
      <c r="F37" s="94">
        <f t="shared" si="28"/>
        <v>50.080999638307667</v>
      </c>
      <c r="G37" s="280">
        <f>SUM(D37:F37)</f>
        <v>130.60513644038951</v>
      </c>
      <c r="H37" s="94"/>
      <c r="I37" s="94">
        <f>'AggrStep1-energy'!I97</f>
        <v>0</v>
      </c>
      <c r="J37" s="94">
        <f>'AggrStep1-energy'!J97</f>
        <v>0</v>
      </c>
      <c r="K37" s="94">
        <f>'AggrStep1-energy'!K97</f>
        <v>0</v>
      </c>
      <c r="L37" s="94">
        <f>'AggrStep1-energy'!L97</f>
        <v>2.819</v>
      </c>
      <c r="M37" s="94">
        <f>'AggrStep1-energy'!M97</f>
        <v>0</v>
      </c>
      <c r="N37" s="94">
        <f>'AggrStep1-energy'!N97</f>
        <v>0</v>
      </c>
      <c r="O37" s="94">
        <f>'AggrStep1-energy'!O97</f>
        <v>0</v>
      </c>
      <c r="P37" s="102">
        <f t="shared" si="25"/>
        <v>133.4241364403895</v>
      </c>
      <c r="Q37" s="92"/>
      <c r="R37" s="92"/>
      <c r="S37" s="92"/>
      <c r="T37" s="147" t="s">
        <v>387</v>
      </c>
      <c r="U37" s="148">
        <f t="shared" ref="U37:AC37" si="29">SUM(U7:U12,U14:U15)</f>
        <v>144957.04499999998</v>
      </c>
      <c r="V37" s="148">
        <f t="shared" si="29"/>
        <v>38240.270169186995</v>
      </c>
      <c r="W37" s="148">
        <f t="shared" si="29"/>
        <v>166341.18569645286</v>
      </c>
      <c r="X37" s="148">
        <f t="shared" si="29"/>
        <v>13084.055</v>
      </c>
      <c r="Y37" s="148">
        <f t="shared" si="29"/>
        <v>49651.030977132672</v>
      </c>
      <c r="Z37" s="148">
        <f t="shared" si="29"/>
        <v>763.59716641477121</v>
      </c>
      <c r="AA37" s="148">
        <f t="shared" si="29"/>
        <v>158041.09999999998</v>
      </c>
      <c r="AB37" s="148">
        <f t="shared" si="29"/>
        <v>87891.301146319689</v>
      </c>
      <c r="AC37" s="148">
        <f t="shared" si="29"/>
        <v>167104.78286286767</v>
      </c>
      <c r="AD37" s="140">
        <f t="shared" ref="AD37:AD44" si="30">SUM(AA37:AC37)</f>
        <v>413037.18400918733</v>
      </c>
      <c r="AE37" s="142"/>
      <c r="AF37" s="145"/>
      <c r="AG37" s="145"/>
      <c r="AH37" s="145"/>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row>
    <row r="38" spans="2:457" ht="15.75">
      <c r="C38" s="66" t="s">
        <v>215</v>
      </c>
      <c r="D38" s="94">
        <f>D21</f>
        <v>25.019572918588906</v>
      </c>
      <c r="E38" s="94">
        <f t="shared" si="28"/>
        <v>0</v>
      </c>
      <c r="F38" s="94">
        <f t="shared" si="28"/>
        <v>33.427</v>
      </c>
      <c r="G38" s="280">
        <f t="shared" ref="G38:G39" si="31">SUM(D38:F38)</f>
        <v>58.446572918588906</v>
      </c>
      <c r="H38" s="94"/>
      <c r="I38" s="94">
        <f>'AggrStep1-energy'!I98</f>
        <v>0</v>
      </c>
      <c r="J38" s="94">
        <f>'AggrStep1-energy'!J98</f>
        <v>0</v>
      </c>
      <c r="K38" s="94">
        <f>'AggrStep1-energy'!K98</f>
        <v>0</v>
      </c>
      <c r="L38" s="94">
        <f>'AggrStep1-energy'!L98</f>
        <v>0</v>
      </c>
      <c r="M38" s="94">
        <f>'AggrStep1-energy'!M98</f>
        <v>0</v>
      </c>
      <c r="N38" s="94">
        <f>'AggrStep1-energy'!N98</f>
        <v>0</v>
      </c>
      <c r="O38" s="94">
        <f>'AggrStep1-energy'!O98</f>
        <v>0</v>
      </c>
      <c r="P38" s="102">
        <f t="shared" si="25"/>
        <v>58.446572918588906</v>
      </c>
      <c r="Q38" s="92"/>
      <c r="R38" s="92"/>
      <c r="S38" s="92"/>
      <c r="T38" s="226" t="s">
        <v>570</v>
      </c>
      <c r="U38" s="148">
        <f t="shared" ref="U38:AC38" si="32">SUM(U16:U21,U29)</f>
        <v>442313.53426501434</v>
      </c>
      <c r="V38" s="148">
        <f t="shared" si="32"/>
        <v>132.18724999999998</v>
      </c>
      <c r="W38" s="148">
        <f t="shared" si="32"/>
        <v>4144.8219399411946</v>
      </c>
      <c r="X38" s="148">
        <f t="shared" si="32"/>
        <v>46639.96553963788</v>
      </c>
      <c r="Y38" s="148">
        <f t="shared" si="32"/>
        <v>177.46520000000001</v>
      </c>
      <c r="Z38" s="148">
        <f t="shared" si="32"/>
        <v>9.5389999999999997</v>
      </c>
      <c r="AA38" s="148">
        <f t="shared" si="32"/>
        <v>488953.4998046523</v>
      </c>
      <c r="AB38" s="148">
        <f t="shared" si="32"/>
        <v>309.65244999999999</v>
      </c>
      <c r="AC38" s="148">
        <f t="shared" si="32"/>
        <v>4154.3609399411953</v>
      </c>
      <c r="AD38" s="140">
        <f t="shared" si="30"/>
        <v>493417.51319459348</v>
      </c>
      <c r="AE38" s="142"/>
      <c r="AF38" s="145"/>
      <c r="AG38" s="145"/>
      <c r="AH38" s="145"/>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row>
    <row r="39" spans="2:457" ht="15.75">
      <c r="C39" s="276" t="s">
        <v>241</v>
      </c>
      <c r="D39" s="94">
        <f>D29</f>
        <v>258.308876</v>
      </c>
      <c r="E39" s="94">
        <f t="shared" ref="E39:F39" si="33">E29</f>
        <v>33.802999999999997</v>
      </c>
      <c r="F39" s="94">
        <f t="shared" si="33"/>
        <v>191.13900000000001</v>
      </c>
      <c r="G39" s="280">
        <f t="shared" si="31"/>
        <v>483.25087600000001</v>
      </c>
      <c r="H39" s="94"/>
      <c r="I39" s="94">
        <f>'AggrStep1-energy'!I99</f>
        <v>255.42239699999999</v>
      </c>
      <c r="J39" s="94">
        <f>'AggrStep1-energy'!J99</f>
        <v>0</v>
      </c>
      <c r="K39" s="94">
        <f>'AggrStep1-energy'!K99</f>
        <v>0</v>
      </c>
      <c r="L39" s="94">
        <f>'AggrStep1-energy'!L99</f>
        <v>4.0359999999999996</v>
      </c>
      <c r="M39" s="94">
        <f>'AggrStep1-energy'!M99</f>
        <v>0</v>
      </c>
      <c r="N39" s="94">
        <f>'AggrStep1-energy'!N99</f>
        <v>0</v>
      </c>
      <c r="O39" s="94">
        <f>'AggrStep1-energy'!O99</f>
        <v>0</v>
      </c>
      <c r="P39" s="102">
        <f t="shared" si="25"/>
        <v>742.70927299999994</v>
      </c>
      <c r="Q39" s="92"/>
      <c r="R39" s="92"/>
      <c r="S39" s="92"/>
      <c r="T39" s="66" t="s">
        <v>214</v>
      </c>
      <c r="U39" s="148">
        <f t="shared" ref="U39:AC39" si="34">U22</f>
        <v>71886.799000000014</v>
      </c>
      <c r="V39" s="148">
        <f t="shared" si="34"/>
        <v>906.27792000000022</v>
      </c>
      <c r="W39" s="148">
        <f t="shared" si="34"/>
        <v>85005.48900000006</v>
      </c>
      <c r="X39" s="148">
        <f t="shared" si="34"/>
        <v>1294.8979999999992</v>
      </c>
      <c r="Y39" s="148">
        <f t="shared" si="34"/>
        <v>1568.2868799999999</v>
      </c>
      <c r="Z39" s="148">
        <f t="shared" si="34"/>
        <v>196.09000000000003</v>
      </c>
      <c r="AA39" s="148">
        <f t="shared" si="34"/>
        <v>73181.697000000015</v>
      </c>
      <c r="AB39" s="148">
        <f t="shared" si="34"/>
        <v>2474.5648000000001</v>
      </c>
      <c r="AC39" s="148">
        <f t="shared" si="34"/>
        <v>85201.579000000056</v>
      </c>
      <c r="AD39" s="140">
        <f t="shared" si="30"/>
        <v>160857.84080000006</v>
      </c>
      <c r="AE39" s="92"/>
      <c r="AF39" s="145"/>
      <c r="AG39" s="145"/>
      <c r="AH39" s="145"/>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row>
    <row r="40" spans="2:457" ht="15.75">
      <c r="C40" s="51" t="s">
        <v>586</v>
      </c>
      <c r="D40" s="95">
        <f>SUM(D34:D39)</f>
        <v>3141.515145808301</v>
      </c>
      <c r="E40" s="95">
        <f t="shared" ref="E40:F40" si="35">SUM(E34:E39)</f>
        <v>639.5370604434728</v>
      </c>
      <c r="F40" s="95">
        <f t="shared" si="35"/>
        <v>846.50499959844399</v>
      </c>
      <c r="G40" s="280">
        <f>SUM(D40:F40)</f>
        <v>4627.5572058502175</v>
      </c>
      <c r="H40" s="94"/>
      <c r="I40" s="95">
        <f>SUM(I34:I39)</f>
        <v>319.20483999999999</v>
      </c>
      <c r="J40" s="95">
        <f t="shared" ref="J40:O40" si="36">SUM(J34:J39)</f>
        <v>0</v>
      </c>
      <c r="K40" s="95">
        <f t="shared" si="36"/>
        <v>0</v>
      </c>
      <c r="L40" s="95">
        <f t="shared" si="36"/>
        <v>7.2359999999999998</v>
      </c>
      <c r="M40" s="95">
        <f t="shared" si="36"/>
        <v>0</v>
      </c>
      <c r="N40" s="95">
        <f t="shared" si="36"/>
        <v>0</v>
      </c>
      <c r="O40" s="95">
        <f t="shared" si="36"/>
        <v>0</v>
      </c>
      <c r="P40" s="102">
        <f>SUM(G40,I40:O40)</f>
        <v>4953.9980458502177</v>
      </c>
      <c r="Q40" s="92"/>
      <c r="R40" s="92"/>
      <c r="S40" s="92"/>
      <c r="T40" s="66" t="s">
        <v>215</v>
      </c>
      <c r="U40" s="148">
        <f t="shared" ref="U40:AC40" si="37">U23</f>
        <v>14162.569</v>
      </c>
      <c r="V40" s="148">
        <f t="shared" si="37"/>
        <v>0</v>
      </c>
      <c r="W40" s="148">
        <f t="shared" si="37"/>
        <v>14479.469000000001</v>
      </c>
      <c r="X40" s="148">
        <f t="shared" si="37"/>
        <v>143.16899999999998</v>
      </c>
      <c r="Y40" s="148">
        <f t="shared" si="37"/>
        <v>0</v>
      </c>
      <c r="Z40" s="148">
        <f t="shared" si="37"/>
        <v>58.888999999999996</v>
      </c>
      <c r="AA40" s="148">
        <f t="shared" si="37"/>
        <v>14305.737999999999</v>
      </c>
      <c r="AB40" s="148">
        <f t="shared" si="37"/>
        <v>0</v>
      </c>
      <c r="AC40" s="148">
        <f t="shared" si="37"/>
        <v>14538.358</v>
      </c>
      <c r="AD40" s="140">
        <f t="shared" si="30"/>
        <v>28844.095999999998</v>
      </c>
      <c r="AE40" s="92"/>
      <c r="AF40" s="145"/>
      <c r="AG40" s="145"/>
      <c r="AH40" s="145"/>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row>
    <row r="41" spans="2:457">
      <c r="C41" s="51"/>
      <c r="D41" s="94"/>
      <c r="E41" s="94"/>
      <c r="F41" s="94"/>
      <c r="G41" s="94"/>
      <c r="H41" s="94"/>
      <c r="I41" s="94"/>
      <c r="J41" s="94"/>
      <c r="K41" s="94"/>
      <c r="L41" s="94"/>
      <c r="M41" s="94"/>
      <c r="N41" s="94"/>
      <c r="O41" s="95"/>
      <c r="P41" s="102"/>
      <c r="Q41" s="92"/>
      <c r="R41" s="92"/>
      <c r="S41" s="92"/>
      <c r="T41" s="276" t="s">
        <v>241</v>
      </c>
      <c r="U41" s="148">
        <f t="shared" ref="U41:AC41" si="38">U30</f>
        <v>147688.86373498561</v>
      </c>
      <c r="V41" s="148">
        <f t="shared" si="38"/>
        <v>9122.0974100000003</v>
      </c>
      <c r="W41" s="148">
        <f t="shared" si="38"/>
        <v>37809.973060058808</v>
      </c>
      <c r="X41" s="148">
        <f t="shared" si="38"/>
        <v>7.4664603621179557</v>
      </c>
      <c r="Y41" s="148">
        <f t="shared" si="38"/>
        <v>161.10099</v>
      </c>
      <c r="Z41" s="148">
        <f t="shared" si="38"/>
        <v>0</v>
      </c>
      <c r="AA41" s="148">
        <f t="shared" si="38"/>
        <v>147696.33019534775</v>
      </c>
      <c r="AB41" s="148">
        <f t="shared" si="38"/>
        <v>9283.1984000000011</v>
      </c>
      <c r="AC41" s="148">
        <f t="shared" si="38"/>
        <v>37809.973060058808</v>
      </c>
      <c r="AD41" s="140">
        <f t="shared" si="30"/>
        <v>194789.50165540655</v>
      </c>
      <c r="AE41" s="92"/>
      <c r="AF41" s="145"/>
      <c r="AG41" s="145"/>
      <c r="AH41" s="145"/>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row>
    <row r="42" spans="2:457">
      <c r="C42" s="267" t="s">
        <v>388</v>
      </c>
      <c r="D42" s="94">
        <f>SUM(D11,D22:D23)</f>
        <v>7144.3407401440736</v>
      </c>
      <c r="E42" s="94">
        <f>SUM(E11,E22:E23)</f>
        <v>921.45966664443108</v>
      </c>
      <c r="F42" s="94">
        <f>SUM(F11,F22:F23)</f>
        <v>3.9515303405667268</v>
      </c>
      <c r="G42" s="280">
        <f t="shared" si="23"/>
        <v>8069.7519371290718</v>
      </c>
      <c r="H42" s="94"/>
      <c r="I42" s="94">
        <f>'AggrStep1-energy'!I102</f>
        <v>0</v>
      </c>
      <c r="J42" s="94">
        <f>'AggrStep1-energy'!J102</f>
        <v>0</v>
      </c>
      <c r="K42" s="94">
        <f>'AggrStep1-energy'!K102</f>
        <v>0</v>
      </c>
      <c r="L42" s="94">
        <f>'AggrStep1-energy'!L102</f>
        <v>0</v>
      </c>
      <c r="M42" s="94">
        <f>'AggrStep1-energy'!M102</f>
        <v>0</v>
      </c>
      <c r="N42" s="94">
        <f>'AggrStep1-energy'!N102</f>
        <v>0</v>
      </c>
      <c r="O42" s="94">
        <f>'AggrStep1-energy'!O102</f>
        <v>0</v>
      </c>
      <c r="P42" s="102">
        <f>SUM(G42,I42:O42)</f>
        <v>8069.7519371290718</v>
      </c>
      <c r="Q42" s="92"/>
      <c r="R42" s="92"/>
      <c r="S42" s="92"/>
      <c r="T42" s="147" t="s">
        <v>388</v>
      </c>
      <c r="U42" s="148">
        <f t="shared" ref="U42:AC42" si="39">SUM(U13,U24:U25)</f>
        <v>21729.329999999998</v>
      </c>
      <c r="V42" s="148">
        <f t="shared" si="39"/>
        <v>80040.761686362894</v>
      </c>
      <c r="W42" s="148">
        <f t="shared" si="39"/>
        <v>3874.6193035470906</v>
      </c>
      <c r="X42" s="148">
        <f t="shared" si="39"/>
        <v>328447.84599999996</v>
      </c>
      <c r="Y42" s="148">
        <f t="shared" si="39"/>
        <v>68684.086583629323</v>
      </c>
      <c r="Z42" s="148">
        <f t="shared" si="39"/>
        <v>9.0058335852289435</v>
      </c>
      <c r="AA42" s="148">
        <f t="shared" si="39"/>
        <v>350177.17599999998</v>
      </c>
      <c r="AB42" s="148">
        <f t="shared" si="39"/>
        <v>148724.84826999222</v>
      </c>
      <c r="AC42" s="148">
        <f t="shared" si="39"/>
        <v>3883.6251371323192</v>
      </c>
      <c r="AD42" s="140">
        <f t="shared" si="30"/>
        <v>502785.6494071245</v>
      </c>
      <c r="AF42" s="145"/>
      <c r="AG42" s="145"/>
      <c r="AH42" s="145"/>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row>
    <row r="43" spans="2:457">
      <c r="C43" s="267" t="s">
        <v>574</v>
      </c>
      <c r="D43" s="94">
        <f>D24</f>
        <v>828.16699999999992</v>
      </c>
      <c r="E43" s="94">
        <f t="shared" ref="E43:F43" si="40">E24</f>
        <v>1303.69</v>
      </c>
      <c r="F43" s="94">
        <f t="shared" si="40"/>
        <v>36.530535656139875</v>
      </c>
      <c r="G43" s="280">
        <f t="shared" si="23"/>
        <v>2168.3875356561398</v>
      </c>
      <c r="H43" s="94"/>
      <c r="I43" s="94">
        <f>'AggrStep1-energy'!I103</f>
        <v>60.542000000000002</v>
      </c>
      <c r="J43" s="94">
        <f>'AggrStep1-energy'!J103</f>
        <v>0</v>
      </c>
      <c r="K43" s="94">
        <f>'AggrStep1-energy'!K103</f>
        <v>15.064</v>
      </c>
      <c r="L43" s="94">
        <f>'AggrStep1-energy'!L103</f>
        <v>0.36</v>
      </c>
      <c r="M43" s="94">
        <f>'AggrStep1-energy'!M103</f>
        <v>100.87700000000001</v>
      </c>
      <c r="N43" s="94">
        <f>'AggrStep1-energy'!N103</f>
        <v>131.316</v>
      </c>
      <c r="O43" s="94">
        <f>'AggrStep1-energy'!O103</f>
        <v>122.598</v>
      </c>
      <c r="P43" s="102">
        <f>SUM(G43,I43:O43)</f>
        <v>2599.1445356561394</v>
      </c>
      <c r="Q43" s="92"/>
      <c r="R43" s="92"/>
      <c r="S43" s="92"/>
      <c r="T43" s="147" t="s">
        <v>421</v>
      </c>
      <c r="U43" s="148">
        <f t="shared" ref="U43:AC43" si="41">U26</f>
        <v>81222.350000000006</v>
      </c>
      <c r="V43" s="148">
        <f t="shared" si="41"/>
        <v>27556.933948516333</v>
      </c>
      <c r="W43" s="148">
        <f t="shared" si="41"/>
        <v>1386.096</v>
      </c>
      <c r="X43" s="148">
        <f t="shared" si="41"/>
        <v>421.95100000000002</v>
      </c>
      <c r="Y43" s="148">
        <f t="shared" si="41"/>
        <v>2622.2195695659325</v>
      </c>
      <c r="Z43" s="148">
        <f t="shared" si="41"/>
        <v>1.177</v>
      </c>
      <c r="AA43" s="148">
        <f t="shared" si="41"/>
        <v>81644.301000000007</v>
      </c>
      <c r="AB43" s="148">
        <f t="shared" si="41"/>
        <v>30179.153518082265</v>
      </c>
      <c r="AC43" s="148">
        <f t="shared" si="41"/>
        <v>1387.2729999999999</v>
      </c>
      <c r="AD43" s="140">
        <f t="shared" si="30"/>
        <v>113210.72751808228</v>
      </c>
      <c r="AE43" s="92"/>
      <c r="AF43" s="145"/>
      <c r="AG43" s="145"/>
      <c r="AH43" s="145"/>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row>
    <row r="44" spans="2:457">
      <c r="C44" s="267"/>
      <c r="D44" s="94"/>
      <c r="E44" s="94"/>
      <c r="F44" s="94"/>
      <c r="G44" s="94"/>
      <c r="H44" s="94"/>
      <c r="I44" s="94"/>
      <c r="J44" s="94"/>
      <c r="K44" s="94"/>
      <c r="L44" s="94"/>
      <c r="M44" s="94"/>
      <c r="N44" s="94"/>
      <c r="O44" s="95"/>
      <c r="P44" s="102"/>
      <c r="Q44" s="92"/>
      <c r="R44" s="92"/>
      <c r="S44" s="92"/>
      <c r="T44" s="98" t="s">
        <v>7</v>
      </c>
      <c r="U44" s="144">
        <f t="shared" ref="U44:AC44" si="42">SUM(U36:U43)</f>
        <v>940758.90899999987</v>
      </c>
      <c r="V44" s="144">
        <f t="shared" si="42"/>
        <v>156004.49903354919</v>
      </c>
      <c r="W44" s="144">
        <f t="shared" si="42"/>
        <v>316043.598</v>
      </c>
      <c r="X44" s="144">
        <f t="shared" si="42"/>
        <v>390099.26499999996</v>
      </c>
      <c r="Y44" s="144">
        <f t="shared" si="42"/>
        <v>122867.91680652683</v>
      </c>
      <c r="Z44" s="144">
        <f t="shared" si="42"/>
        <v>1045.2849999999999</v>
      </c>
      <c r="AA44" s="144">
        <f t="shared" si="42"/>
        <v>1330858.1740000001</v>
      </c>
      <c r="AB44" s="144">
        <f t="shared" si="42"/>
        <v>278872.41584007605</v>
      </c>
      <c r="AC44" s="144">
        <f t="shared" si="42"/>
        <v>317088.88300000003</v>
      </c>
      <c r="AD44" s="140">
        <f t="shared" si="30"/>
        <v>1926819.4728400763</v>
      </c>
      <c r="AE44" s="92"/>
      <c r="AF44" s="145"/>
      <c r="AG44" s="145"/>
      <c r="AH44" s="145"/>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row>
    <row r="45" spans="2:457">
      <c r="C45" s="51" t="s">
        <v>546</v>
      </c>
      <c r="D45" s="95">
        <f>D40+D42+D43</f>
        <v>11114.022885952374</v>
      </c>
      <c r="E45" s="95">
        <f t="shared" ref="E45:F45" si="43">E40+E42+E43</f>
        <v>2864.6867270879038</v>
      </c>
      <c r="F45" s="95">
        <f t="shared" si="43"/>
        <v>886.98706559515063</v>
      </c>
      <c r="G45" s="280">
        <f>SUM(D45:F45)</f>
        <v>14865.69667863543</v>
      </c>
      <c r="H45" s="94"/>
      <c r="I45" s="95">
        <f>I40+I42+I43</f>
        <v>379.74684000000002</v>
      </c>
      <c r="J45" s="95">
        <f t="shared" ref="J45:O45" si="44">J40+J42+J43</f>
        <v>0</v>
      </c>
      <c r="K45" s="95">
        <f t="shared" si="44"/>
        <v>15.064</v>
      </c>
      <c r="L45" s="95">
        <f t="shared" si="44"/>
        <v>7.5960000000000001</v>
      </c>
      <c r="M45" s="95">
        <f t="shared" si="44"/>
        <v>100.87700000000001</v>
      </c>
      <c r="N45" s="95">
        <f t="shared" si="44"/>
        <v>131.316</v>
      </c>
      <c r="O45" s="95">
        <f t="shared" si="44"/>
        <v>122.598</v>
      </c>
      <c r="P45" s="102">
        <f>SUM(G45,I45:O45)</f>
        <v>15622.89451863543</v>
      </c>
      <c r="Q45" s="92"/>
      <c r="R45" s="92"/>
      <c r="S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row>
    <row r="46" spans="2:457">
      <c r="D46" s="94"/>
      <c r="E46" s="94"/>
      <c r="F46" s="94"/>
      <c r="G46" s="94"/>
      <c r="H46" s="94"/>
      <c r="I46" s="94"/>
      <c r="J46" s="94"/>
      <c r="K46" s="94"/>
      <c r="L46" s="94"/>
      <c r="M46" s="94"/>
      <c r="N46" s="94"/>
      <c r="O46" s="95"/>
      <c r="P46" s="101"/>
      <c r="Q46" s="92"/>
      <c r="R46" s="92"/>
      <c r="S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row>
    <row r="47" spans="2:457">
      <c r="B47" s="283"/>
      <c r="C47" s="310" t="s">
        <v>591</v>
      </c>
      <c r="D47" s="277"/>
      <c r="E47" s="277"/>
      <c r="F47" s="277"/>
      <c r="G47" s="277"/>
      <c r="H47" s="277"/>
      <c r="I47" s="277"/>
      <c r="J47" s="277"/>
      <c r="K47" s="277"/>
      <c r="L47" s="277"/>
      <c r="M47" s="277"/>
      <c r="N47" s="277"/>
      <c r="O47" s="278"/>
      <c r="P47" s="316"/>
      <c r="Q47" s="92"/>
      <c r="R47" s="92"/>
      <c r="S47" s="92"/>
      <c r="T47" s="90"/>
      <c r="U47" s="148"/>
      <c r="V47" s="148"/>
      <c r="W47" s="148"/>
      <c r="X47" s="148"/>
      <c r="Y47" s="148"/>
      <c r="Z47" s="148"/>
      <c r="AA47" s="148"/>
      <c r="AB47" s="148"/>
      <c r="AC47" s="148"/>
      <c r="AD47" s="148"/>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row>
    <row r="48" spans="2:457" ht="37.5">
      <c r="C48" s="311" t="s">
        <v>226</v>
      </c>
      <c r="D48" s="307">
        <f>D34-'AggrStep1-energy'!D94</f>
        <v>0</v>
      </c>
      <c r="E48" s="307">
        <f>E34-'AggrStep1-energy'!E94</f>
        <v>6.5447287070636406E-2</v>
      </c>
      <c r="F48" s="307">
        <f>F34-'AggrStep1-energy'!F94</f>
        <v>0</v>
      </c>
      <c r="G48" s="308">
        <f>SUM(D48:F48)</f>
        <v>6.5447287070636406E-2</v>
      </c>
      <c r="H48" s="94"/>
      <c r="I48" s="94"/>
      <c r="J48" s="94"/>
      <c r="K48" s="94"/>
      <c r="L48" s="94"/>
      <c r="M48" s="94"/>
      <c r="N48" s="94"/>
      <c r="O48" s="95"/>
      <c r="P48" s="101"/>
      <c r="Q48" s="92"/>
      <c r="R48" s="92"/>
      <c r="S48" s="92"/>
      <c r="T48" s="412" t="s">
        <v>569</v>
      </c>
      <c r="U48" s="412"/>
      <c r="V48" s="412"/>
      <c r="W48" s="412"/>
      <c r="X48" s="412"/>
      <c r="Y48" s="412"/>
      <c r="Z48" s="412"/>
      <c r="AA48" s="412"/>
      <c r="AB48" s="412"/>
      <c r="AC48" s="412"/>
      <c r="AD48" s="148"/>
      <c r="AE48" s="92"/>
      <c r="AF48" s="92"/>
      <c r="AG48" s="92"/>
      <c r="AH48" s="92"/>
      <c r="AI48" s="186"/>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row>
    <row r="49" spans="1:457">
      <c r="C49" s="311" t="s">
        <v>387</v>
      </c>
      <c r="D49" s="307">
        <f>D35-'AggrStep1-energy'!D95</f>
        <v>0</v>
      </c>
      <c r="E49" s="307">
        <f>E35-'AggrStep1-energy'!E95</f>
        <v>0</v>
      </c>
      <c r="F49" s="307">
        <f>F35-'AggrStep1-energy'!F95</f>
        <v>0</v>
      </c>
      <c r="G49" s="308">
        <f t="shared" ref="G49" si="45">SUM(D49:F49)</f>
        <v>0</v>
      </c>
      <c r="H49" s="94"/>
      <c r="I49" s="94"/>
      <c r="J49" s="94"/>
      <c r="K49" s="94"/>
      <c r="L49" s="94"/>
      <c r="M49" s="94"/>
      <c r="N49" s="94"/>
      <c r="O49" s="95"/>
      <c r="P49" s="101"/>
      <c r="Q49" s="92"/>
      <c r="R49" s="92"/>
      <c r="S49" s="92"/>
      <c r="T49" s="90"/>
      <c r="U49" s="148"/>
      <c r="V49" s="148"/>
      <c r="W49" s="148"/>
      <c r="X49" s="148"/>
      <c r="Y49" s="148"/>
      <c r="Z49" s="148"/>
      <c r="AA49" s="148"/>
      <c r="AB49" s="148"/>
      <c r="AC49" s="148"/>
      <c r="AD49" s="148"/>
      <c r="AE49" s="92"/>
      <c r="AF49" s="92"/>
      <c r="AG49" s="92"/>
      <c r="AH49" s="92"/>
      <c r="AI49" s="186"/>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row>
    <row r="50" spans="1:457" ht="18.75" customHeight="1">
      <c r="C50" s="312" t="s">
        <v>570</v>
      </c>
      <c r="D50" s="307">
        <f>D36-'AggrStep1-energy'!D96</f>
        <v>-5.0325912369771686E-2</v>
      </c>
      <c r="E50" s="307">
        <f>E36-'AggrStep1-energy'!E96</f>
        <v>0.52161315640228922</v>
      </c>
      <c r="F50" s="307">
        <f>F36-'AggrStep1-energy'!F96</f>
        <v>-3.9863624401448305E-8</v>
      </c>
      <c r="G50" s="308">
        <f>SUM(D50:F50)</f>
        <v>0.47128720416889314</v>
      </c>
      <c r="H50" s="94"/>
      <c r="I50" s="94"/>
      <c r="J50" s="94"/>
      <c r="K50" s="94"/>
      <c r="L50" s="94"/>
      <c r="M50" s="94"/>
      <c r="N50" s="94"/>
      <c r="O50" s="95"/>
      <c r="P50" s="101"/>
      <c r="Q50" s="92"/>
      <c r="R50" s="92"/>
      <c r="S50" s="92"/>
      <c r="T50" s="90"/>
      <c r="U50" s="148"/>
      <c r="V50" s="148"/>
      <c r="W50" s="148"/>
      <c r="X50" s="148"/>
      <c r="Y50" s="148"/>
      <c r="Z50" s="148"/>
      <c r="AA50" s="148"/>
      <c r="AB50" s="148"/>
      <c r="AC50" s="148"/>
      <c r="AD50" s="148"/>
      <c r="AE50" s="92"/>
      <c r="AF50" s="92"/>
      <c r="AG50" s="92"/>
      <c r="AH50" s="92"/>
      <c r="AI50" s="186"/>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row>
    <row r="51" spans="1:457" ht="15.75">
      <c r="C51" s="313" t="s">
        <v>214</v>
      </c>
      <c r="D51" s="307">
        <f>D37-'AggrStep1-energy'!D97</f>
        <v>-1.9791815475400654E-7</v>
      </c>
      <c r="E51" s="307">
        <f>E37-'AggrStep1-energy'!E97</f>
        <v>0</v>
      </c>
      <c r="F51" s="307">
        <f>F37-'AggrStep1-energy'!F97</f>
        <v>-3.6169233652572075E-7</v>
      </c>
      <c r="G51" s="308">
        <f>SUM(D51:F51)</f>
        <v>-5.5961049127972728E-7</v>
      </c>
      <c r="H51" s="94"/>
      <c r="I51" s="94"/>
      <c r="J51" s="94"/>
      <c r="K51" s="94"/>
      <c r="L51" s="94"/>
      <c r="M51" s="94"/>
      <c r="N51" s="94"/>
      <c r="O51" s="95"/>
      <c r="P51" s="101"/>
      <c r="Q51" s="92"/>
      <c r="R51" s="92"/>
      <c r="S51" s="92"/>
      <c r="T51" s="147"/>
      <c r="U51" s="53" t="s">
        <v>419</v>
      </c>
      <c r="V51" s="53" t="s">
        <v>384</v>
      </c>
      <c r="W51" s="53" t="s">
        <v>172</v>
      </c>
      <c r="X51" s="98"/>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row>
    <row r="52" spans="1:457" ht="15.75">
      <c r="C52" s="313" t="s">
        <v>215</v>
      </c>
      <c r="D52" s="307">
        <f>D38-'AggrStep1-energy'!D98</f>
        <v>25.019572918588906</v>
      </c>
      <c r="E52" s="307">
        <f>E38-'AggrStep1-energy'!E98</f>
        <v>0</v>
      </c>
      <c r="F52" s="307">
        <f>F38-'AggrStep1-energy'!F98</f>
        <v>0</v>
      </c>
      <c r="G52" s="308">
        <f t="shared" ref="G52:G54" si="46">SUM(D52:F52)</f>
        <v>25.019572918588906</v>
      </c>
      <c r="H52" s="94"/>
      <c r="I52" s="94"/>
      <c r="J52" s="94"/>
      <c r="K52" s="94"/>
      <c r="L52" s="94"/>
      <c r="M52" s="94"/>
      <c r="N52" s="94"/>
      <c r="O52" s="95"/>
      <c r="P52" s="101"/>
      <c r="Q52" s="92"/>
      <c r="R52" s="92"/>
      <c r="S52" s="92"/>
      <c r="T52" t="s">
        <v>378</v>
      </c>
      <c r="U52" s="269">
        <v>531.90704357166976</v>
      </c>
      <c r="V52" s="269">
        <v>0</v>
      </c>
      <c r="W52" s="269">
        <v>0.23391442734934734</v>
      </c>
      <c r="X52" s="269"/>
      <c r="Y52" s="268"/>
      <c r="Z52" s="268"/>
      <c r="AA52" s="268"/>
      <c r="AB52"/>
      <c r="AC52" s="268"/>
      <c r="AD52" s="268"/>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row>
    <row r="53" spans="1:457" ht="15.75">
      <c r="C53" s="314" t="s">
        <v>241</v>
      </c>
      <c r="D53" s="307">
        <f>D39-'AggrStep1-energy'!D99</f>
        <v>0</v>
      </c>
      <c r="E53" s="307">
        <f>E39-'AggrStep1-energy'!E99</f>
        <v>0</v>
      </c>
      <c r="F53" s="307">
        <f>F39-'AggrStep1-energy'!F99</f>
        <v>0</v>
      </c>
      <c r="G53" s="308">
        <f t="shared" si="46"/>
        <v>0</v>
      </c>
      <c r="H53" s="94"/>
      <c r="I53" s="94"/>
      <c r="J53" s="94"/>
      <c r="K53" s="94"/>
      <c r="L53" s="94"/>
      <c r="M53" s="94"/>
      <c r="N53" s="94"/>
      <c r="O53" s="95"/>
      <c r="P53" s="101"/>
      <c r="Q53" s="92"/>
      <c r="R53" s="92"/>
      <c r="S53" s="92"/>
      <c r="T53" t="s">
        <v>281</v>
      </c>
      <c r="U53" s="269">
        <v>364.13592110966226</v>
      </c>
      <c r="V53" s="269">
        <v>34.156922416949669</v>
      </c>
      <c r="W53" s="269">
        <v>197.59405861709018</v>
      </c>
      <c r="X53" s="269"/>
      <c r="Y53" s="269"/>
      <c r="Z53" s="269"/>
      <c r="AA53" s="269"/>
      <c r="AB53"/>
      <c r="AC53" s="269"/>
      <c r="AD53" s="269"/>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row>
    <row r="54" spans="1:457" ht="15.75">
      <c r="C54" s="315" t="s">
        <v>586</v>
      </c>
      <c r="D54" s="309">
        <f>SUM(D48:D53)</f>
        <v>24.96924680830098</v>
      </c>
      <c r="E54" s="309">
        <f>SUM(E48:E53)</f>
        <v>0.58706044347292563</v>
      </c>
      <c r="F54" s="309">
        <f>SUM(F48:F53)</f>
        <v>-4.0155596092716905E-7</v>
      </c>
      <c r="G54" s="308">
        <f t="shared" si="46"/>
        <v>25.556306850217943</v>
      </c>
      <c r="H54" s="94"/>
      <c r="I54" s="94"/>
      <c r="J54" s="94"/>
      <c r="K54" s="94"/>
      <c r="L54" s="94"/>
      <c r="M54" s="94"/>
      <c r="N54" s="94"/>
      <c r="O54" s="95"/>
      <c r="P54" s="101"/>
      <c r="Q54" s="92"/>
      <c r="R54" s="92"/>
      <c r="S54" s="92"/>
      <c r="T54" s="320" t="s">
        <v>240</v>
      </c>
      <c r="U54" s="321">
        <f>U52+U53</f>
        <v>896.04296468133202</v>
      </c>
      <c r="V54" s="321">
        <f t="shared" ref="V54:W54" si="47">V52+V53</f>
        <v>34.156922416949669</v>
      </c>
      <c r="W54" s="321">
        <f t="shared" si="47"/>
        <v>197.82797304443952</v>
      </c>
      <c r="X54" s="321"/>
      <c r="Y54" s="321"/>
      <c r="Z54" s="321"/>
      <c r="AA54" s="321"/>
      <c r="AB54" s="320"/>
      <c r="AC54" s="321"/>
      <c r="AD54" s="321"/>
      <c r="AE54" s="268"/>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row>
    <row r="55" spans="1:457" ht="15.75">
      <c r="C55" s="315"/>
      <c r="D55" s="307"/>
      <c r="E55" s="307"/>
      <c r="F55" s="307"/>
      <c r="G55" s="307"/>
      <c r="H55" s="94"/>
      <c r="I55" s="94"/>
      <c r="J55" s="94"/>
      <c r="K55" s="94"/>
      <c r="L55" s="94"/>
      <c r="M55" s="94"/>
      <c r="N55" s="94"/>
      <c r="O55" s="95"/>
      <c r="P55" s="101"/>
      <c r="Q55" s="92"/>
      <c r="R55" s="92"/>
      <c r="S55" s="92"/>
      <c r="T55" s="147"/>
      <c r="U55" s="148"/>
      <c r="V55" s="92"/>
      <c r="W55" s="92"/>
      <c r="X55" s="92"/>
      <c r="Y55" s="92"/>
      <c r="Z55" s="92"/>
      <c r="AA55" s="92"/>
      <c r="AB55" s="92"/>
      <c r="AC55" s="92"/>
      <c r="AD55" s="92"/>
      <c r="AE55" s="269"/>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row>
    <row r="56" spans="1:457">
      <c r="C56" s="311" t="s">
        <v>388</v>
      </c>
      <c r="D56" s="307">
        <f>D42-'AggrStep1-energy'!D102-D64</f>
        <v>-1.9526851247064769E-9</v>
      </c>
      <c r="E56" s="307">
        <f>E42-'AggrStep1-energy'!E102-E64</f>
        <v>1.6886616549527389E-9</v>
      </c>
      <c r="F56" s="307">
        <f>F42-'AggrStep1-energy'!F102-F64</f>
        <v>2.5237585689571218</v>
      </c>
      <c r="G56" s="308">
        <f t="shared" ref="G56:G57" si="48">SUM(D56:F56)</f>
        <v>2.5237585686930983</v>
      </c>
      <c r="H56" s="94"/>
      <c r="I56" s="94"/>
      <c r="J56" s="94"/>
      <c r="K56" s="94"/>
      <c r="L56" s="94"/>
      <c r="M56" s="94"/>
      <c r="N56" s="94"/>
      <c r="O56" s="95"/>
      <c r="P56" s="101"/>
      <c r="Q56" s="92"/>
      <c r="R56" s="92"/>
      <c r="S56" s="92"/>
      <c r="T56" s="147"/>
      <c r="U56" s="148"/>
      <c r="V56" s="92"/>
      <c r="W56" s="92"/>
      <c r="X56" s="92"/>
      <c r="Y56" s="92"/>
      <c r="Z56" s="92"/>
      <c r="AA56" s="92"/>
      <c r="AB56" s="92"/>
      <c r="AC56" s="92"/>
      <c r="AD56" s="92"/>
      <c r="AE56" s="321"/>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row>
    <row r="57" spans="1:457">
      <c r="C57" s="311" t="s">
        <v>574</v>
      </c>
      <c r="D57" s="307">
        <f>D43-'AggrStep1-energy'!D103</f>
        <v>0</v>
      </c>
      <c r="E57" s="307">
        <f>E43-'AggrStep1-energy'!E103</f>
        <v>0</v>
      </c>
      <c r="F57" s="307">
        <f>F43-PRODESEN!K52*'Step1-V2'!V80</f>
        <v>-4.266309829858983E-7</v>
      </c>
      <c r="G57" s="308">
        <f t="shared" si="48"/>
        <v>-4.266309829858983E-7</v>
      </c>
      <c r="H57" s="94"/>
      <c r="I57" s="94"/>
      <c r="J57" s="94"/>
      <c r="K57" s="94"/>
      <c r="L57" s="94"/>
      <c r="M57" s="94"/>
      <c r="N57" s="94"/>
      <c r="O57" s="95"/>
      <c r="P57" s="101"/>
      <c r="Q57" s="92"/>
      <c r="R57" s="92"/>
      <c r="S57" s="92"/>
      <c r="T57" s="147"/>
      <c r="U57" s="148"/>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row>
    <row r="58" spans="1:457" ht="18.75">
      <c r="C58" s="311"/>
      <c r="D58" s="307"/>
      <c r="E58" s="307"/>
      <c r="F58" s="307"/>
      <c r="G58" s="307"/>
      <c r="H58" s="94"/>
      <c r="I58" s="94"/>
      <c r="J58" s="94"/>
      <c r="K58" s="94"/>
      <c r="L58" s="94"/>
      <c r="M58" s="94"/>
      <c r="N58" s="94"/>
      <c r="O58" s="95"/>
      <c r="P58" s="101"/>
      <c r="Q58" s="92"/>
      <c r="R58" s="92"/>
      <c r="S58" s="92"/>
      <c r="T58" s="412" t="s">
        <v>538</v>
      </c>
      <c r="U58" s="412"/>
      <c r="V58" s="412"/>
      <c r="W58" s="412"/>
      <c r="X58" s="412"/>
      <c r="Y58" s="412"/>
      <c r="Z58" s="412"/>
      <c r="AA58" s="412"/>
      <c r="AB58" s="412"/>
      <c r="AC58" s="41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row>
    <row r="59" spans="1:457">
      <c r="C59" s="315" t="s">
        <v>546</v>
      </c>
      <c r="D59" s="309">
        <f>D54+D56+D57</f>
        <v>24.969246806348295</v>
      </c>
      <c r="E59" s="309">
        <f t="shared" ref="E59:F59" si="49">E54+E56+E57</f>
        <v>0.58706044516158729</v>
      </c>
      <c r="F59" s="309">
        <f t="shared" si="49"/>
        <v>2.5237577407701779</v>
      </c>
      <c r="G59" s="308">
        <f>SUM(D59:F59)</f>
        <v>28.080064992280061</v>
      </c>
      <c r="H59" s="94"/>
      <c r="I59" s="94"/>
      <c r="J59" s="94"/>
      <c r="K59" s="94"/>
      <c r="L59" s="94"/>
      <c r="M59" s="94"/>
      <c r="N59" s="94"/>
      <c r="O59" s="95"/>
      <c r="P59" s="101"/>
      <c r="Q59" s="92"/>
      <c r="R59" s="92"/>
      <c r="S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row>
    <row r="60" spans="1:457" ht="26.25">
      <c r="A60" s="83"/>
      <c r="B60" s="51"/>
      <c r="C60" s="102"/>
      <c r="D60" s="103"/>
      <c r="E60" s="95"/>
      <c r="F60" s="95"/>
      <c r="G60" s="95"/>
      <c r="H60" s="95"/>
      <c r="I60" s="95"/>
      <c r="J60" s="95"/>
      <c r="K60" s="95"/>
      <c r="L60" s="95"/>
      <c r="M60" s="95"/>
      <c r="N60" s="95"/>
      <c r="O60" s="95"/>
      <c r="P60" s="101"/>
      <c r="Q60" s="92"/>
      <c r="R60" s="92"/>
      <c r="S60" s="92"/>
      <c r="T60" s="183" t="s">
        <v>526</v>
      </c>
      <c r="U60" s="183" t="s">
        <v>527</v>
      </c>
      <c r="V60" s="183" t="s">
        <v>528</v>
      </c>
      <c r="W60" s="183" t="s">
        <v>532</v>
      </c>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row>
    <row r="61" spans="1:457">
      <c r="A61" s="83"/>
      <c r="B61" s="51"/>
      <c r="C61" s="101"/>
      <c r="D61" s="101"/>
      <c r="E61" s="101"/>
      <c r="F61" s="101"/>
      <c r="G61" s="101"/>
      <c r="H61" s="101"/>
      <c r="I61" s="101"/>
      <c r="J61" s="101"/>
      <c r="K61" s="101"/>
      <c r="L61" s="101"/>
      <c r="M61" s="101"/>
      <c r="N61" s="101"/>
      <c r="O61" s="101"/>
      <c r="P61" s="101"/>
      <c r="Q61" s="92"/>
      <c r="R61" s="92"/>
      <c r="S61" s="92"/>
      <c r="T61" s="184" t="s">
        <v>529</v>
      </c>
      <c r="U61" s="184">
        <v>2017</v>
      </c>
      <c r="V61" s="184" t="s">
        <v>530</v>
      </c>
      <c r="W61" s="185">
        <v>73.227099999999993</v>
      </c>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row>
    <row r="62" spans="1:457">
      <c r="A62" s="84"/>
      <c r="B62" s="84"/>
      <c r="C62" s="104"/>
      <c r="D62" s="104"/>
      <c r="E62" s="104"/>
      <c r="F62" s="104"/>
      <c r="G62" s="104"/>
      <c r="H62" s="104"/>
      <c r="I62" s="104"/>
      <c r="J62" s="104"/>
      <c r="K62" s="104"/>
      <c r="L62" s="104"/>
      <c r="M62" s="104"/>
      <c r="N62" s="104"/>
      <c r="O62" s="104"/>
      <c r="P62" s="104"/>
      <c r="Q62" s="105"/>
      <c r="R62" s="105"/>
      <c r="S62" s="105"/>
      <c r="T62" s="184" t="s">
        <v>534</v>
      </c>
      <c r="U62" s="184">
        <v>2017</v>
      </c>
      <c r="V62" s="184" t="s">
        <v>531</v>
      </c>
      <c r="W62" s="185">
        <v>481.25633586548514</v>
      </c>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row>
    <row r="63" spans="1:457">
      <c r="A63" s="83"/>
      <c r="B63" s="90"/>
      <c r="C63" s="90"/>
      <c r="D63" s="91"/>
      <c r="E63" s="91"/>
      <c r="F63" s="91"/>
      <c r="G63" s="91"/>
      <c r="H63" s="91"/>
      <c r="I63" s="91"/>
      <c r="J63" s="91"/>
      <c r="K63" s="91"/>
      <c r="L63" s="91"/>
      <c r="M63" s="91"/>
      <c r="N63" s="91"/>
      <c r="O63" s="91"/>
      <c r="P63" s="101"/>
      <c r="Q63" s="92"/>
      <c r="R63" s="92"/>
      <c r="S63" s="92"/>
      <c r="T63" s="184" t="s">
        <v>533</v>
      </c>
      <c r="U63" s="184">
        <v>2017</v>
      </c>
      <c r="V63" s="184" t="s">
        <v>531</v>
      </c>
      <c r="W63" s="185">
        <v>535.15942793952775</v>
      </c>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row>
    <row r="64" spans="1:457">
      <c r="A64" s="83"/>
      <c r="C64" s="363" t="s">
        <v>737</v>
      </c>
      <c r="D64" s="101">
        <f>SUM(PEMEX!D5:D8)</f>
        <v>7140.814008146026</v>
      </c>
      <c r="E64" s="101">
        <f>SUM(PEMEX!E5:E8)</f>
        <v>63.028300255103019</v>
      </c>
      <c r="F64" s="101">
        <f>SUM(PEMEX!F5:F8)</f>
        <v>1.427771771609605</v>
      </c>
      <c r="G64" s="101">
        <f>SUM(D64:F64)</f>
        <v>7205.2700801727387</v>
      </c>
      <c r="H64" s="101"/>
      <c r="I64" s="101"/>
      <c r="J64" s="101"/>
      <c r="K64" s="101"/>
      <c r="L64" s="101"/>
      <c r="M64" s="101"/>
      <c r="N64" s="101"/>
      <c r="O64" s="102"/>
      <c r="P64" s="101"/>
      <c r="Q64" s="92"/>
      <c r="R64" s="92"/>
      <c r="S64" s="92"/>
      <c r="T64" s="184" t="s">
        <v>3</v>
      </c>
      <c r="U64" s="184">
        <v>2017</v>
      </c>
      <c r="V64" s="184" t="s">
        <v>531</v>
      </c>
      <c r="W64" s="185">
        <v>463.84352633049798</v>
      </c>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row>
    <row r="65" spans="1:457">
      <c r="A65" s="83"/>
      <c r="C65" s="363"/>
      <c r="D65" s="101"/>
      <c r="E65" s="101"/>
      <c r="F65" s="101"/>
      <c r="G65" s="101"/>
      <c r="H65" s="101"/>
      <c r="I65" s="101"/>
      <c r="J65" s="101"/>
      <c r="K65" s="101"/>
      <c r="L65" s="101"/>
      <c r="M65" s="101"/>
      <c r="N65" s="101"/>
      <c r="O65" s="102"/>
      <c r="P65" s="101"/>
      <c r="Q65" s="92"/>
      <c r="R65" s="92"/>
      <c r="S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row>
    <row r="66" spans="1:457" ht="15.75">
      <c r="A66" s="83"/>
      <c r="C66" s="106"/>
      <c r="D66" s="101"/>
      <c r="E66" s="101"/>
      <c r="F66" s="101"/>
      <c r="G66" s="101"/>
      <c r="H66" s="101"/>
      <c r="I66" s="101"/>
      <c r="J66" s="101"/>
      <c r="K66" s="101"/>
      <c r="L66" s="101"/>
      <c r="M66" s="101"/>
      <c r="N66" s="101"/>
      <c r="O66" s="102"/>
      <c r="P66" s="101"/>
      <c r="Q66" s="92"/>
      <c r="R66" s="92"/>
      <c r="S66" s="92"/>
      <c r="T66" s="182" t="s">
        <v>535</v>
      </c>
      <c r="U66" s="182"/>
      <c r="V66" s="182"/>
      <c r="W66" s="182"/>
      <c r="X66" s="182"/>
      <c r="Y66" s="182"/>
      <c r="Z66" s="18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row>
    <row r="67" spans="1:457">
      <c r="A67" s="83"/>
      <c r="C67" s="106"/>
      <c r="D67" s="101"/>
      <c r="E67" s="101"/>
      <c r="F67" s="101"/>
      <c r="G67" s="101"/>
      <c r="H67" s="101"/>
      <c r="I67" s="101"/>
      <c r="J67" s="101"/>
      <c r="K67" s="101"/>
      <c r="L67" s="101"/>
      <c r="M67" s="101"/>
      <c r="N67" s="101"/>
      <c r="O67" s="102"/>
      <c r="P67" s="101"/>
      <c r="Q67" s="92"/>
      <c r="R67" s="92"/>
      <c r="S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row>
    <row r="68" spans="1:457">
      <c r="A68" s="83"/>
      <c r="C68" s="106"/>
      <c r="D68" s="101"/>
      <c r="E68" s="101"/>
      <c r="F68" s="101"/>
      <c r="G68" s="101"/>
      <c r="H68" s="101"/>
      <c r="I68" s="101"/>
      <c r="J68" s="101"/>
      <c r="K68" s="101"/>
      <c r="L68" s="101"/>
      <c r="M68" s="101"/>
      <c r="N68" s="101"/>
      <c r="O68" s="102"/>
      <c r="P68" s="101"/>
      <c r="Q68" s="92"/>
      <c r="R68" s="92"/>
      <c r="S68" s="92"/>
      <c r="U68" s="300" t="s">
        <v>589</v>
      </c>
      <c r="V68" s="299" t="s">
        <v>587</v>
      </c>
      <c r="W68" s="285"/>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row>
    <row r="69" spans="1:457">
      <c r="A69" s="83"/>
      <c r="C69" s="106"/>
      <c r="D69" s="101"/>
      <c r="E69" s="101"/>
      <c r="F69" s="101"/>
      <c r="G69" s="101"/>
      <c r="H69" s="101"/>
      <c r="I69" s="101"/>
      <c r="J69" s="101"/>
      <c r="K69" s="101"/>
      <c r="L69" s="101"/>
      <c r="M69" s="101"/>
      <c r="N69" s="101"/>
      <c r="O69" s="102"/>
      <c r="P69" s="101"/>
      <c r="Q69" s="92"/>
      <c r="R69" s="92"/>
      <c r="S69" s="92"/>
      <c r="T69" s="286" t="s">
        <v>575</v>
      </c>
      <c r="U69" s="303">
        <v>152.69999999999999</v>
      </c>
      <c r="V69" s="304">
        <f>U69/0.36</f>
        <v>424.16666666666663</v>
      </c>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row>
    <row r="70" spans="1:457">
      <c r="A70" s="83"/>
      <c r="C70" s="106"/>
      <c r="D70" s="101"/>
      <c r="E70" s="101"/>
      <c r="F70" s="101"/>
      <c r="G70" s="101"/>
      <c r="H70" s="101"/>
      <c r="I70" s="101"/>
      <c r="J70" s="101"/>
      <c r="K70" s="101"/>
      <c r="L70" s="101"/>
      <c r="M70" s="101"/>
      <c r="N70" s="101"/>
      <c r="O70" s="102"/>
      <c r="P70" s="101"/>
      <c r="Q70" s="92"/>
      <c r="R70" s="92"/>
      <c r="S70" s="92"/>
      <c r="T70" s="287" t="s">
        <v>576</v>
      </c>
      <c r="U70" s="303">
        <v>116</v>
      </c>
      <c r="V70" s="304">
        <f t="shared" ref="V70:V76" si="50">U70/0.36</f>
        <v>322.22222222222223</v>
      </c>
      <c r="Z70" s="276"/>
      <c r="AA70" s="302"/>
      <c r="AB70" s="276"/>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2"/>
      <c r="EN70" s="92"/>
      <c r="EO70" s="92"/>
      <c r="EP70" s="92"/>
      <c r="EQ70" s="92"/>
      <c r="ER70" s="92"/>
      <c r="ES70" s="92"/>
      <c r="ET70" s="92"/>
      <c r="EU70" s="92"/>
      <c r="EV70" s="92"/>
      <c r="EW70" s="92"/>
      <c r="EX70" s="92"/>
      <c r="EY70" s="92"/>
      <c r="EZ70" s="92"/>
      <c r="FA70" s="92"/>
      <c r="FB70" s="92"/>
      <c r="FC70" s="92"/>
      <c r="FD70" s="92"/>
      <c r="FE70" s="92"/>
      <c r="FF70" s="92"/>
      <c r="FG70" s="92"/>
      <c r="FH70" s="92"/>
      <c r="FI70" s="92"/>
      <c r="FJ70" s="92"/>
      <c r="FK70" s="92"/>
      <c r="FL70" s="92"/>
      <c r="FM70" s="92"/>
      <c r="FN70" s="92"/>
      <c r="FO70" s="92"/>
      <c r="FP70" s="92"/>
      <c r="FQ70" s="92"/>
      <c r="FR70" s="92"/>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c r="IX70" s="92"/>
      <c r="IY70" s="92"/>
      <c r="IZ70" s="92"/>
      <c r="JA70" s="92"/>
      <c r="JB70" s="92"/>
      <c r="JC70" s="92"/>
      <c r="JD70" s="92"/>
      <c r="JE70" s="92"/>
      <c r="JF70" s="92"/>
      <c r="JG70" s="92"/>
      <c r="JH70" s="92"/>
      <c r="JI70" s="92"/>
      <c r="JJ70" s="92"/>
      <c r="JK70" s="92"/>
      <c r="JL70" s="92"/>
      <c r="JM70" s="92"/>
      <c r="JN70" s="92"/>
      <c r="JO70" s="92"/>
      <c r="JP70" s="92"/>
      <c r="JQ70" s="92"/>
      <c r="JR70" s="92"/>
      <c r="JS70" s="92"/>
      <c r="JT70" s="92"/>
      <c r="JU70" s="92"/>
      <c r="JV70" s="92"/>
      <c r="JW70" s="92"/>
      <c r="JX70" s="92"/>
      <c r="JY70" s="92"/>
      <c r="JZ70" s="92"/>
      <c r="KA70" s="92"/>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2"/>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2"/>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2"/>
      <c r="MY70" s="92"/>
      <c r="MZ70" s="92"/>
      <c r="NA70" s="92"/>
      <c r="NB70" s="92"/>
      <c r="NC70" s="92"/>
      <c r="ND70" s="92"/>
      <c r="NE70" s="92"/>
      <c r="NF70" s="92"/>
      <c r="NG70" s="92"/>
      <c r="NH70" s="92"/>
      <c r="NI70" s="92"/>
      <c r="NJ70" s="92"/>
      <c r="NK70" s="92"/>
      <c r="NL70" s="92"/>
      <c r="NM70" s="92"/>
      <c r="NN70" s="92"/>
      <c r="NO70" s="92"/>
      <c r="NP70" s="92"/>
      <c r="NQ70" s="92"/>
      <c r="NR70" s="92"/>
      <c r="NS70" s="92"/>
      <c r="NT70" s="92"/>
      <c r="NU70" s="92"/>
      <c r="NV70" s="92"/>
      <c r="NW70" s="92"/>
      <c r="NX70" s="92"/>
      <c r="NY70" s="92"/>
      <c r="NZ70" s="92"/>
      <c r="OA70" s="92"/>
      <c r="OB70" s="92"/>
      <c r="OC70" s="92"/>
      <c r="OD70" s="92"/>
      <c r="OE70" s="92"/>
      <c r="OF70" s="92"/>
      <c r="OG70" s="92"/>
      <c r="OH70" s="92"/>
      <c r="OI70" s="92"/>
      <c r="OJ70" s="92"/>
      <c r="OK70" s="92"/>
      <c r="OL70" s="92"/>
      <c r="OM70" s="92"/>
      <c r="ON70" s="92"/>
      <c r="OO70" s="92"/>
      <c r="OP70" s="92"/>
      <c r="OQ70" s="92"/>
      <c r="OR70" s="92"/>
      <c r="OS70" s="92"/>
      <c r="OT70" s="92"/>
      <c r="OU70" s="92"/>
      <c r="OV70" s="92"/>
      <c r="OW70" s="92"/>
      <c r="OX70" s="92"/>
      <c r="OY70" s="92"/>
      <c r="OZ70" s="92"/>
      <c r="PA70" s="92"/>
      <c r="PB70" s="92"/>
      <c r="PC70" s="92"/>
      <c r="PD70" s="92"/>
      <c r="PE70" s="92"/>
      <c r="PF70" s="92"/>
      <c r="PG70" s="92"/>
      <c r="PH70" s="92"/>
      <c r="PI70" s="92"/>
      <c r="PJ70" s="92"/>
      <c r="PK70" s="92"/>
      <c r="PL70" s="92"/>
      <c r="PM70" s="92"/>
      <c r="PN70" s="92"/>
      <c r="PO70" s="92"/>
      <c r="PP70" s="92"/>
      <c r="PQ70" s="92"/>
      <c r="PR70" s="92"/>
      <c r="PS70" s="92"/>
      <c r="PT70" s="92"/>
      <c r="PU70" s="92"/>
      <c r="PV70" s="92"/>
      <c r="PW70" s="92"/>
      <c r="PX70" s="92"/>
      <c r="PY70" s="92"/>
      <c r="PZ70" s="92"/>
      <c r="QA70" s="92"/>
      <c r="QB70" s="92"/>
      <c r="QC70" s="92"/>
      <c r="QD70" s="92"/>
      <c r="QE70" s="92"/>
      <c r="QF70" s="92"/>
      <c r="QG70" s="92"/>
      <c r="QH70" s="92"/>
      <c r="QI70" s="92"/>
      <c r="QJ70" s="92"/>
      <c r="QK70" s="92"/>
      <c r="QL70" s="92"/>
      <c r="QM70" s="92"/>
      <c r="QN70" s="92"/>
      <c r="QO70" s="92"/>
    </row>
    <row r="71" spans="1:457">
      <c r="A71" s="83"/>
      <c r="C71" s="106"/>
      <c r="D71" s="79"/>
      <c r="E71" s="79"/>
      <c r="F71" s="79"/>
      <c r="G71" s="79"/>
      <c r="H71" s="79"/>
      <c r="I71" s="79"/>
      <c r="J71" s="79"/>
      <c r="K71" s="79"/>
      <c r="L71" s="79"/>
      <c r="M71" s="79"/>
      <c r="N71" s="79"/>
      <c r="O71" s="102"/>
      <c r="P71" s="52"/>
      <c r="Q71" s="92"/>
      <c r="R71" s="92"/>
      <c r="S71" s="92"/>
      <c r="T71" s="287" t="s">
        <v>398</v>
      </c>
      <c r="U71" s="303">
        <v>225.9</v>
      </c>
      <c r="V71" s="304">
        <f t="shared" si="50"/>
        <v>627.5</v>
      </c>
      <c r="Y71" s="298"/>
      <c r="Z71" s="276"/>
      <c r="AA71" s="302"/>
      <c r="AB71" s="276"/>
      <c r="AC71" s="297"/>
      <c r="AD71" s="297"/>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row>
    <row r="72" spans="1:457">
      <c r="A72" s="83"/>
      <c r="C72" s="106"/>
      <c r="D72" s="80"/>
      <c r="E72" s="80"/>
      <c r="F72" s="80"/>
      <c r="G72" s="80"/>
      <c r="H72" s="80"/>
      <c r="I72" s="80"/>
      <c r="J72" s="80"/>
      <c r="K72" s="80"/>
      <c r="L72" s="80"/>
      <c r="M72" s="80"/>
      <c r="N72" s="80"/>
      <c r="O72" s="102"/>
      <c r="P72" s="83"/>
      <c r="Q72" s="92"/>
      <c r="R72" s="92"/>
      <c r="S72" s="92"/>
      <c r="T72" s="287" t="s">
        <v>577</v>
      </c>
      <c r="U72" s="303">
        <v>294.60000000000002</v>
      </c>
      <c r="V72" s="304">
        <f t="shared" si="50"/>
        <v>818.33333333333337</v>
      </c>
      <c r="Z72" s="276"/>
      <c r="AA72" s="30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row>
    <row r="73" spans="1:457">
      <c r="A73" s="83"/>
      <c r="C73" s="106"/>
      <c r="D73" s="81"/>
      <c r="E73" s="81"/>
      <c r="F73" s="81"/>
      <c r="G73" s="81"/>
      <c r="H73" s="81"/>
      <c r="I73" s="81"/>
      <c r="J73" s="81"/>
      <c r="K73" s="81"/>
      <c r="L73" s="81"/>
      <c r="M73" s="81"/>
      <c r="N73" s="81"/>
      <c r="O73" s="102"/>
      <c r="P73" s="83"/>
      <c r="Q73" s="92"/>
      <c r="R73" s="92"/>
      <c r="S73" s="92"/>
      <c r="T73" s="287" t="s">
        <v>578</v>
      </c>
      <c r="U73" s="303">
        <v>53.7</v>
      </c>
      <c r="V73" s="304">
        <f t="shared" si="50"/>
        <v>149.16666666666669</v>
      </c>
      <c r="Z73" s="276"/>
      <c r="AA73" s="302"/>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row>
    <row r="74" spans="1:457">
      <c r="A74" s="83"/>
      <c r="C74" s="106"/>
      <c r="D74" s="82"/>
      <c r="E74" s="82"/>
      <c r="F74" s="82"/>
      <c r="G74" s="82"/>
      <c r="H74" s="82"/>
      <c r="I74" s="82"/>
      <c r="J74" s="82"/>
      <c r="K74" s="82"/>
      <c r="L74" s="82"/>
      <c r="M74" s="82"/>
      <c r="N74" s="82"/>
      <c r="O74" s="102"/>
      <c r="P74" s="83"/>
      <c r="Q74" s="92"/>
      <c r="R74" s="92"/>
      <c r="S74" s="92"/>
      <c r="T74" s="286" t="s">
        <v>579</v>
      </c>
      <c r="U74" s="303">
        <v>155.19999999999999</v>
      </c>
      <c r="V74" s="304">
        <f t="shared" si="50"/>
        <v>431.11111111111109</v>
      </c>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row>
    <row r="75" spans="1:457">
      <c r="A75" s="83"/>
      <c r="C75" s="106"/>
      <c r="D75" s="82"/>
      <c r="E75" s="82"/>
      <c r="F75" s="82"/>
      <c r="G75" s="82"/>
      <c r="H75" s="82"/>
      <c r="I75" s="82"/>
      <c r="J75" s="82"/>
      <c r="K75" s="82"/>
      <c r="L75" s="82"/>
      <c r="M75" s="82"/>
      <c r="N75" s="82"/>
      <c r="O75" s="102"/>
      <c r="P75" s="83"/>
      <c r="Q75" s="92"/>
      <c r="R75" s="92"/>
      <c r="S75" s="92"/>
      <c r="T75" s="287" t="s">
        <v>580</v>
      </c>
      <c r="U75" s="303">
        <v>168.6</v>
      </c>
      <c r="V75" s="304">
        <f t="shared" si="50"/>
        <v>468.33333333333331</v>
      </c>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row>
    <row r="76" spans="1:457">
      <c r="A76" s="83"/>
      <c r="C76" s="106"/>
      <c r="D76" s="82"/>
      <c r="E76" s="82"/>
      <c r="F76" s="82"/>
      <c r="G76" s="82"/>
      <c r="H76" s="82"/>
      <c r="I76" s="82"/>
      <c r="J76" s="82"/>
      <c r="K76" s="82"/>
      <c r="L76" s="82"/>
      <c r="M76" s="82"/>
      <c r="N76" s="82"/>
      <c r="O76" s="102"/>
      <c r="P76" s="83"/>
      <c r="Q76" s="92"/>
      <c r="R76" s="92"/>
      <c r="S76" s="92"/>
      <c r="T76" s="287" t="s">
        <v>581</v>
      </c>
      <c r="U76" s="303">
        <v>132.1</v>
      </c>
      <c r="V76" s="304">
        <f t="shared" si="50"/>
        <v>366.94444444444446</v>
      </c>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row>
    <row r="77" spans="1:457">
      <c r="A77" s="83"/>
      <c r="C77" s="106"/>
      <c r="D77" s="82"/>
      <c r="E77" s="82"/>
      <c r="F77" s="82"/>
      <c r="G77" s="82"/>
      <c r="H77" s="82"/>
      <c r="I77" s="82"/>
      <c r="J77" s="82"/>
      <c r="K77" s="82"/>
      <c r="L77" s="82"/>
      <c r="M77" s="82"/>
      <c r="N77" s="82"/>
      <c r="O77" s="102"/>
      <c r="P77" s="83"/>
      <c r="Q77" s="92"/>
      <c r="R77" s="92"/>
      <c r="S77" s="92"/>
      <c r="T77" s="288"/>
      <c r="U77" s="288"/>
      <c r="V77" s="288"/>
      <c r="W77" s="285"/>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row>
    <row r="78" spans="1:457">
      <c r="A78" s="83"/>
      <c r="C78" s="106"/>
      <c r="D78" s="82"/>
      <c r="E78" s="82"/>
      <c r="F78" s="82"/>
      <c r="G78" s="82"/>
      <c r="H78" s="82"/>
      <c r="I78" s="82"/>
      <c r="J78" s="82"/>
      <c r="K78" s="82"/>
      <c r="L78" s="82"/>
      <c r="M78" s="82"/>
      <c r="N78" s="82"/>
      <c r="O78" s="102"/>
      <c r="P78" s="83"/>
      <c r="Q78" s="54"/>
      <c r="R78" s="83"/>
      <c r="S78" s="83"/>
      <c r="T78" s="289" t="s">
        <v>582</v>
      </c>
      <c r="U78" s="290" t="s">
        <v>568</v>
      </c>
      <c r="V78" s="490" t="s">
        <v>583</v>
      </c>
      <c r="W78" s="295"/>
      <c r="AE78" s="92"/>
      <c r="AF78" s="92"/>
      <c r="AG78" s="92"/>
      <c r="AH78" s="92"/>
      <c r="AI78" s="92"/>
      <c r="AJ78" s="92"/>
      <c r="AK78" s="92"/>
      <c r="AL78" s="92"/>
      <c r="AM78" s="92"/>
      <c r="AN78" s="92"/>
      <c r="AO78" s="92"/>
      <c r="AP78" s="92"/>
      <c r="AQ78" s="92"/>
      <c r="AR78" s="92"/>
      <c r="AS78" s="92"/>
      <c r="AT78" s="92"/>
      <c r="AU78" s="92"/>
      <c r="AV78" s="92"/>
    </row>
    <row r="79" spans="1:457" ht="15.75">
      <c r="A79" s="83"/>
      <c r="C79" s="106"/>
      <c r="D79" s="82"/>
      <c r="E79" s="82"/>
      <c r="F79" s="82"/>
      <c r="G79" s="82"/>
      <c r="H79" s="82"/>
      <c r="I79" s="82"/>
      <c r="J79" s="82"/>
      <c r="K79" s="82"/>
      <c r="L79" s="82"/>
      <c r="M79" s="82"/>
      <c r="N79" s="82"/>
      <c r="O79" s="102"/>
      <c r="P79" s="83"/>
      <c r="Q79" s="54"/>
      <c r="R79" s="83"/>
      <c r="S79" s="83"/>
      <c r="T79" s="488" t="s">
        <v>584</v>
      </c>
      <c r="U79" s="486" t="s">
        <v>568</v>
      </c>
      <c r="V79" s="7" t="s">
        <v>585</v>
      </c>
      <c r="W79" s="411"/>
      <c r="AE79" s="92"/>
      <c r="AF79" s="92"/>
      <c r="AG79" s="92"/>
      <c r="AH79" s="92"/>
      <c r="AI79" s="92"/>
      <c r="AJ79" s="92"/>
      <c r="AK79" s="92"/>
      <c r="AL79" s="92"/>
      <c r="AM79" s="92"/>
      <c r="AN79" s="92"/>
      <c r="AO79" s="92"/>
      <c r="AP79" s="92"/>
      <c r="AQ79" s="92"/>
      <c r="AR79" s="92"/>
      <c r="AS79" s="92"/>
      <c r="AT79" s="92"/>
      <c r="AU79" s="92"/>
      <c r="AV79" s="92"/>
    </row>
    <row r="80" spans="1:457">
      <c r="A80" s="83"/>
      <c r="C80" s="106"/>
      <c r="D80" s="82"/>
      <c r="E80" s="82"/>
      <c r="F80" s="82"/>
      <c r="G80" s="82"/>
      <c r="H80" s="82"/>
      <c r="I80" s="82"/>
      <c r="J80" s="82"/>
      <c r="K80" s="82"/>
      <c r="L80" s="82"/>
      <c r="M80" s="82"/>
      <c r="N80" s="82"/>
      <c r="O80" s="102"/>
      <c r="P80" s="83"/>
      <c r="Q80" s="54"/>
      <c r="R80" s="83"/>
      <c r="S80" s="83"/>
      <c r="T80" s="291" t="s">
        <v>918</v>
      </c>
      <c r="U80" s="491"/>
      <c r="V80" s="491">
        <v>3.5999999999999999E-3</v>
      </c>
      <c r="W80" s="485" t="s">
        <v>390</v>
      </c>
      <c r="AE80" s="92"/>
      <c r="AF80" s="92"/>
      <c r="AG80" s="92"/>
      <c r="AH80" s="92"/>
      <c r="AI80" s="92"/>
      <c r="AJ80" s="92"/>
      <c r="AK80" s="92"/>
      <c r="AL80" s="92"/>
      <c r="AM80" s="92"/>
      <c r="AN80" s="92"/>
      <c r="AO80" s="92"/>
      <c r="AP80" s="92"/>
      <c r="AQ80" s="92"/>
      <c r="AR80" s="92"/>
      <c r="AS80" s="92"/>
      <c r="AT80" s="92"/>
      <c r="AU80" s="92"/>
      <c r="AV80" s="92"/>
    </row>
    <row r="81" spans="1:48">
      <c r="A81" s="83"/>
      <c r="C81" s="106"/>
      <c r="D81" s="82"/>
      <c r="E81" s="82"/>
      <c r="F81" s="82"/>
      <c r="G81" s="82"/>
      <c r="H81" s="82"/>
      <c r="I81" s="82"/>
      <c r="J81" s="82"/>
      <c r="K81" s="82"/>
      <c r="L81" s="82"/>
      <c r="M81" s="82"/>
      <c r="N81" s="82"/>
      <c r="O81" s="102"/>
      <c r="P81" s="83"/>
      <c r="Q81" s="54"/>
      <c r="R81" s="83"/>
      <c r="S81" s="83"/>
      <c r="AE81" s="92"/>
      <c r="AF81" s="92"/>
      <c r="AG81" s="92"/>
      <c r="AH81" s="92"/>
      <c r="AI81" s="92"/>
      <c r="AJ81" s="92"/>
      <c r="AK81" s="92"/>
      <c r="AL81" s="92"/>
      <c r="AM81" s="92"/>
      <c r="AN81" s="92"/>
      <c r="AO81" s="92"/>
      <c r="AP81" s="92"/>
      <c r="AQ81" s="92"/>
      <c r="AR81" s="92"/>
      <c r="AS81" s="92"/>
      <c r="AT81" s="92"/>
      <c r="AU81" s="92"/>
      <c r="AV81" s="92"/>
    </row>
    <row r="82" spans="1:48" ht="24">
      <c r="A82" s="83"/>
      <c r="C82" s="106"/>
      <c r="D82" s="82"/>
      <c r="E82" s="82"/>
      <c r="F82" s="82"/>
      <c r="G82" s="82"/>
      <c r="H82" s="82"/>
      <c r="I82" s="82"/>
      <c r="J82" s="82"/>
      <c r="K82" s="82"/>
      <c r="L82" s="82"/>
      <c r="M82" s="82"/>
      <c r="N82" s="82"/>
      <c r="O82" s="102"/>
      <c r="P82" s="83"/>
      <c r="Q82" s="54"/>
      <c r="R82" s="83"/>
      <c r="S82" s="83"/>
      <c r="T82" s="414" t="s">
        <v>588</v>
      </c>
      <c r="U82" s="414"/>
      <c r="V82" s="414"/>
      <c r="W82" s="414"/>
      <c r="X82" s="414"/>
      <c r="AE82" s="92"/>
      <c r="AF82" s="92"/>
      <c r="AG82" s="92"/>
      <c r="AH82" s="92"/>
      <c r="AI82" s="92"/>
      <c r="AJ82" s="92"/>
      <c r="AK82" s="92"/>
      <c r="AL82" s="92"/>
      <c r="AM82" s="92"/>
      <c r="AN82" s="92"/>
      <c r="AO82" s="92"/>
      <c r="AP82" s="92"/>
      <c r="AQ82" s="92"/>
      <c r="AR82" s="92"/>
      <c r="AS82" s="92"/>
      <c r="AT82" s="92"/>
      <c r="AU82" s="92"/>
      <c r="AV82" s="92"/>
    </row>
    <row r="83" spans="1:48">
      <c r="A83" s="83"/>
      <c r="C83" s="106"/>
      <c r="D83" s="82"/>
      <c r="E83" s="82"/>
      <c r="F83" s="82"/>
      <c r="G83" s="82"/>
      <c r="H83" s="82"/>
      <c r="I83" s="82"/>
      <c r="J83" s="82"/>
      <c r="K83" s="82"/>
      <c r="L83" s="82"/>
      <c r="M83" s="82"/>
      <c r="N83" s="82"/>
      <c r="O83" s="102"/>
      <c r="P83" s="83"/>
      <c r="Q83" s="54"/>
      <c r="R83" s="83"/>
      <c r="S83" s="83"/>
      <c r="T83" s="414"/>
      <c r="U83" s="414"/>
      <c r="V83" s="414"/>
      <c r="W83" s="414"/>
      <c r="X83" s="414"/>
      <c r="AE83" s="92"/>
      <c r="AF83" s="92"/>
      <c r="AG83" s="92"/>
      <c r="AH83" s="92"/>
    </row>
    <row r="84" spans="1:48" ht="15" customHeight="1">
      <c r="A84" s="83"/>
      <c r="C84" s="106"/>
      <c r="D84" s="82"/>
      <c r="E84" s="82"/>
      <c r="F84" s="82"/>
      <c r="G84" s="82"/>
      <c r="H84" s="82"/>
      <c r="I84" s="82"/>
      <c r="J84" s="82"/>
      <c r="K84" s="82"/>
      <c r="L84" s="82"/>
      <c r="M84" s="82"/>
      <c r="N84" s="82"/>
      <c r="O84" s="102"/>
      <c r="P84" s="83"/>
      <c r="Q84" s="54"/>
      <c r="R84" s="83"/>
      <c r="S84" s="83"/>
      <c r="T84" s="293"/>
      <c r="U84" s="293"/>
      <c r="V84" s="293"/>
      <c r="W84" s="293"/>
      <c r="X84" s="293"/>
      <c r="AE84" s="92"/>
      <c r="AF84" s="92"/>
      <c r="AG84" s="92"/>
      <c r="AH84" s="92"/>
    </row>
    <row r="85" spans="1:48" ht="37.5">
      <c r="A85" s="83"/>
      <c r="C85" s="106"/>
      <c r="D85" s="82"/>
      <c r="E85" s="82"/>
      <c r="F85" s="82"/>
      <c r="G85" s="82"/>
      <c r="H85" s="82"/>
      <c r="I85" s="82"/>
      <c r="J85" s="82"/>
      <c r="K85" s="82"/>
      <c r="L85" s="82"/>
      <c r="M85" s="82"/>
      <c r="N85" s="82"/>
      <c r="O85" s="102"/>
      <c r="P85" s="83"/>
      <c r="Q85" s="54"/>
      <c r="R85" s="83"/>
      <c r="S85" s="83"/>
      <c r="T85" s="412" t="s">
        <v>525</v>
      </c>
      <c r="U85" s="412"/>
      <c r="V85" s="412"/>
      <c r="W85" s="412"/>
      <c r="X85" s="412"/>
      <c r="Y85" s="412"/>
      <c r="Z85" s="412"/>
      <c r="AA85" s="412"/>
      <c r="AB85" s="412"/>
      <c r="AC85" s="412"/>
      <c r="AD85" s="92"/>
      <c r="AE85" s="92"/>
      <c r="AF85" s="92"/>
      <c r="AG85" s="92"/>
      <c r="AH85" s="92"/>
    </row>
    <row r="86" spans="1:48" ht="18.75">
      <c r="A86" s="83"/>
      <c r="C86" s="106"/>
      <c r="D86" s="82"/>
      <c r="E86" s="82"/>
      <c r="F86" s="82"/>
      <c r="G86" s="82"/>
      <c r="H86" s="82"/>
      <c r="I86" s="82"/>
      <c r="J86" s="82"/>
      <c r="K86" s="82"/>
      <c r="L86" s="82"/>
      <c r="M86" s="82"/>
      <c r="N86" s="82"/>
      <c r="O86" s="102"/>
      <c r="P86" s="83"/>
      <c r="Q86" s="54"/>
      <c r="R86" s="83"/>
      <c r="S86" s="83"/>
      <c r="T86" s="413" t="s">
        <v>571</v>
      </c>
      <c r="U86" s="413"/>
      <c r="V86" s="413"/>
      <c r="W86" s="413"/>
      <c r="X86" s="413"/>
      <c r="Y86" s="412"/>
      <c r="Z86" s="413" t="s">
        <v>594</v>
      </c>
      <c r="AA86" s="413"/>
      <c r="AB86" s="413"/>
      <c r="AC86" s="413"/>
      <c r="AD86" s="413"/>
      <c r="AE86" s="92"/>
      <c r="AF86" s="92"/>
      <c r="AG86" s="92"/>
      <c r="AH86" s="92"/>
    </row>
    <row r="87" spans="1:48" ht="18.75" customHeight="1">
      <c r="A87" s="83"/>
      <c r="C87" s="106"/>
      <c r="D87" s="82"/>
      <c r="E87" s="82"/>
      <c r="F87" s="82"/>
      <c r="G87" s="82"/>
      <c r="H87" s="82"/>
      <c r="I87" s="82"/>
      <c r="J87" s="82"/>
      <c r="K87" s="82"/>
      <c r="L87" s="82"/>
      <c r="M87" s="82"/>
      <c r="N87" s="82"/>
      <c r="O87" s="102"/>
      <c r="P87" s="83"/>
      <c r="Q87" s="54"/>
      <c r="R87" s="83"/>
      <c r="S87" s="83"/>
      <c r="U87" s="53" t="s">
        <v>419</v>
      </c>
      <c r="V87" s="53" t="s">
        <v>384</v>
      </c>
      <c r="W87" s="53" t="s">
        <v>172</v>
      </c>
      <c r="X87" s="98" t="s">
        <v>590</v>
      </c>
      <c r="Y87" s="92"/>
      <c r="AA87" s="53" t="s">
        <v>419</v>
      </c>
      <c r="AB87" s="53" t="s">
        <v>384</v>
      </c>
      <c r="AC87" s="53" t="s">
        <v>172</v>
      </c>
      <c r="AD87" s="98" t="s">
        <v>7</v>
      </c>
      <c r="AE87" s="92"/>
      <c r="AF87" s="92"/>
      <c r="AG87" s="92"/>
      <c r="AH87" s="92"/>
    </row>
    <row r="88" spans="1:48">
      <c r="A88" s="83"/>
      <c r="C88" s="106"/>
      <c r="D88" s="82"/>
      <c r="E88" s="82"/>
      <c r="F88" s="82"/>
      <c r="G88" s="82"/>
      <c r="H88" s="82"/>
      <c r="I88" s="82"/>
      <c r="J88" s="82"/>
      <c r="K88" s="82"/>
      <c r="L88" s="82"/>
      <c r="M88" s="82"/>
      <c r="N88" s="82"/>
      <c r="O88" s="102"/>
      <c r="P88" s="83"/>
      <c r="Q88" s="54"/>
      <c r="R88" s="83"/>
      <c r="S88" s="83"/>
      <c r="T88" s="215" t="s">
        <v>226</v>
      </c>
      <c r="U88" s="213">
        <f>AA88</f>
        <v>138.65227005558231</v>
      </c>
      <c r="V88" s="218">
        <f>V89</f>
        <v>148.16894810930131</v>
      </c>
      <c r="W88" s="214">
        <f>AC88</f>
        <v>81.260964675380791</v>
      </c>
      <c r="X88" s="214">
        <f>AVERAGE(U88:W88)</f>
        <v>122.6940609467548</v>
      </c>
      <c r="Y88" s="92"/>
      <c r="Z88" s="215" t="s">
        <v>226</v>
      </c>
      <c r="AA88" s="213">
        <f>IF('AggrStep1-energy'!D94=0,"NA",AA36/'AggrStep1-energy'!D94)</f>
        <v>138.65227005558231</v>
      </c>
      <c r="AB88" s="213" t="str">
        <f>IF('AggrStep1-energy'!E94=0,"NA",AB36/'AggrStep1-energy'!E94)</f>
        <v>NA</v>
      </c>
      <c r="AC88" s="213">
        <f>IF('AggrStep1-energy'!F94=0,"NA",AC36/'AggrStep1-energy'!F94)</f>
        <v>81.260964675380791</v>
      </c>
      <c r="AD88" s="213">
        <f>AD36/'AggrStep1-energy'!G94</f>
        <v>125.31566112094656</v>
      </c>
      <c r="AE88" s="92"/>
      <c r="AF88" s="92"/>
      <c r="AG88" s="92"/>
      <c r="AH88" s="92"/>
    </row>
    <row r="89" spans="1:48">
      <c r="A89" s="83"/>
      <c r="C89" s="106"/>
      <c r="D89" s="82"/>
      <c r="E89" s="82"/>
      <c r="F89" s="82"/>
      <c r="G89" s="82"/>
      <c r="H89" s="82"/>
      <c r="I89" s="82"/>
      <c r="J89" s="82"/>
      <c r="K89" s="82"/>
      <c r="L89" s="82"/>
      <c r="M89" s="82"/>
      <c r="N89" s="82"/>
      <c r="O89" s="102"/>
      <c r="P89" s="83"/>
      <c r="Q89" s="54"/>
      <c r="R89" s="83"/>
      <c r="S89" s="83"/>
      <c r="T89" s="216" t="s">
        <v>387</v>
      </c>
      <c r="U89" s="213">
        <f>AA89</f>
        <v>384.48088592148343</v>
      </c>
      <c r="V89" s="213">
        <f t="shared" ref="V89" si="51">AB89</f>
        <v>148.16894810930131</v>
      </c>
      <c r="W89" s="213">
        <f t="shared" ref="W89" si="52">AC89</f>
        <v>314.93373174080745</v>
      </c>
      <c r="X89" s="214">
        <f t="shared" ref="X89:X94" si="53">AVERAGE(U89:W89)</f>
        <v>282.52785525719742</v>
      </c>
      <c r="Y89" s="92"/>
      <c r="Z89" s="216" t="s">
        <v>387</v>
      </c>
      <c r="AA89" s="213">
        <f>IF('AggrStep1-energy'!D95=0,"NA",AA37/'AggrStep1-energy'!D95)</f>
        <v>384.48088592148343</v>
      </c>
      <c r="AB89" s="213">
        <f>IF('AggrStep1-energy'!E95=0,"NA",AB37/'AggrStep1-energy'!E95)</f>
        <v>148.16894810930131</v>
      </c>
      <c r="AC89" s="213">
        <f>IF('AggrStep1-energy'!F95=0,"NA",AC37/'AggrStep1-energy'!F95)</f>
        <v>314.93373174080745</v>
      </c>
      <c r="AD89" s="213">
        <f>AD37/'AggrStep1-energy'!G95</f>
        <v>269.10824461826263</v>
      </c>
      <c r="AE89" s="92"/>
      <c r="AF89" s="92"/>
      <c r="AG89" s="92"/>
    </row>
    <row r="90" spans="1:48">
      <c r="A90" s="83"/>
      <c r="C90" s="106"/>
      <c r="D90" s="82"/>
      <c r="E90" s="82"/>
      <c r="F90" s="82"/>
      <c r="G90" s="82"/>
      <c r="H90" s="82"/>
      <c r="I90" s="82"/>
      <c r="J90" s="82"/>
      <c r="K90" s="82"/>
      <c r="L90" s="82"/>
      <c r="M90" s="82"/>
      <c r="N90" s="82"/>
      <c r="O90" s="102"/>
      <c r="P90" s="83"/>
      <c r="Q90" s="54"/>
      <c r="R90" s="83"/>
      <c r="S90" s="83"/>
      <c r="T90" s="216" t="s">
        <v>239</v>
      </c>
      <c r="U90" s="213">
        <f>IF('AggrStep1-energy'!D96=0,0,AA38/'AggrStep1-energy'!D96)</f>
        <v>216.7181701115548</v>
      </c>
      <c r="V90" s="217">
        <f>V91</f>
        <v>222.99403442371815</v>
      </c>
      <c r="W90" s="218">
        <v>982.81546702620824</v>
      </c>
      <c r="X90" s="214">
        <f t="shared" si="53"/>
        <v>474.17589052049374</v>
      </c>
      <c r="Y90" s="92"/>
      <c r="Z90" s="216" t="s">
        <v>239</v>
      </c>
      <c r="AA90" s="213">
        <f>IF('AggrStep1-energy'!D96=0,"NA",AA38/'AggrStep1-energy'!D96)</f>
        <v>216.7181701115548</v>
      </c>
      <c r="AB90" s="213">
        <f>IF('AggrStep1-energy'!E96=0,"NA",AB38/'AggrStep1-energy'!E96)</f>
        <v>357.15392156862742</v>
      </c>
      <c r="AC90" s="213">
        <f>IF('AggrStep1-energy'!F96=0,"NA",AC38/'AggrStep1-energy'!F96)</f>
        <v>982.81545775755762</v>
      </c>
      <c r="AD90" s="213">
        <f>AD38/'AggrStep1-energy'!G96</f>
        <v>218.20408588108634</v>
      </c>
      <c r="AE90" s="92"/>
      <c r="AF90" s="92"/>
      <c r="AG90" s="92"/>
    </row>
    <row r="91" spans="1:48" ht="15.75">
      <c r="A91" s="83"/>
      <c r="C91" s="106"/>
      <c r="D91" s="82"/>
      <c r="E91" s="82"/>
      <c r="F91" s="82"/>
      <c r="G91" s="82"/>
      <c r="H91" s="82"/>
      <c r="I91" s="82"/>
      <c r="J91" s="82"/>
      <c r="K91" s="82"/>
      <c r="L91" s="82"/>
      <c r="M91" s="82"/>
      <c r="N91" s="82"/>
      <c r="O91" s="102"/>
      <c r="P91" s="83"/>
      <c r="Q91" s="54"/>
      <c r="R91" s="83"/>
      <c r="S91" s="83"/>
      <c r="T91" s="66" t="s">
        <v>214</v>
      </c>
      <c r="U91" s="213">
        <v>1054.0791449980345</v>
      </c>
      <c r="V91" s="217">
        <f>AB91</f>
        <v>222.99403442371815</v>
      </c>
      <c r="W91" s="213">
        <v>1701.2755259547207</v>
      </c>
      <c r="X91" s="214">
        <f t="shared" si="53"/>
        <v>992.78290179215776</v>
      </c>
      <c r="Y91" s="92"/>
      <c r="Z91" s="66" t="s">
        <v>214</v>
      </c>
      <c r="AA91" s="213">
        <f>IF('AggrStep1-energy'!D97=0,"NA",AA39/'AggrStep1-energy'!D97)</f>
        <v>1054.0791419931375</v>
      </c>
      <c r="AB91" s="213">
        <f>IF('AggrStep1-energy'!E97=0,"NA",AB39/'AggrStep1-energy'!E97)</f>
        <v>222.99403442371815</v>
      </c>
      <c r="AC91" s="213">
        <f>IF('AggrStep1-energy'!F97=0,"NA",AC39/'AggrStep1-energy'!F97)</f>
        <v>1701.2755136678591</v>
      </c>
      <c r="AD91" s="213">
        <f>AD39/'AggrStep1-energy'!G97</f>
        <v>1231.6348690021284</v>
      </c>
      <c r="AE91" s="92"/>
      <c r="AF91" s="92"/>
      <c r="AG91" s="92"/>
    </row>
    <row r="92" spans="1:48" ht="15.75">
      <c r="A92" s="83"/>
      <c r="C92" s="106"/>
      <c r="D92" s="82"/>
      <c r="E92" s="82"/>
      <c r="F92" s="82"/>
      <c r="G92" s="82"/>
      <c r="H92" s="82"/>
      <c r="I92" s="82"/>
      <c r="J92" s="82"/>
      <c r="K92" s="82"/>
      <c r="L92" s="82"/>
      <c r="M92" s="82"/>
      <c r="N92" s="82"/>
      <c r="O92" s="102"/>
      <c r="P92" s="83"/>
      <c r="Q92" s="54"/>
      <c r="R92" s="83"/>
      <c r="S92" s="83"/>
      <c r="T92" s="66" t="s">
        <v>215</v>
      </c>
      <c r="U92" s="213">
        <f>$AA$93</f>
        <v>571.7818624062603</v>
      </c>
      <c r="V92" s="217">
        <v>200</v>
      </c>
      <c r="W92" s="305">
        <f>AC92</f>
        <v>434.92859066024471</v>
      </c>
      <c r="X92" s="214">
        <f t="shared" si="53"/>
        <v>402.23681768883506</v>
      </c>
      <c r="Y92" s="92"/>
      <c r="Z92" s="66" t="s">
        <v>215</v>
      </c>
      <c r="AA92" s="213" t="str">
        <f>IF('AggrStep1-energy'!D98=0,"NA",AA40/'AggrStep1-energy'!D98)</f>
        <v>NA</v>
      </c>
      <c r="AB92" s="213" t="str">
        <f>IF('AggrStep1-energy'!E98=0,"NA",AB40/'AggrStep1-energy'!E98)</f>
        <v>NA</v>
      </c>
      <c r="AC92" s="213">
        <f>IF('AggrStep1-energy'!F98=0,"NA",AC40/'AggrStep1-energy'!F98)</f>
        <v>434.92859066024471</v>
      </c>
      <c r="AD92" s="213">
        <f>AD40/'AggrStep1-energy'!G98</f>
        <v>862.8981362371735</v>
      </c>
      <c r="AE92" s="92"/>
      <c r="AF92" s="92"/>
      <c r="AG92" s="92"/>
    </row>
    <row r="93" spans="1:48">
      <c r="A93" s="83"/>
      <c r="C93" s="106"/>
      <c r="D93" s="82"/>
      <c r="E93" s="82"/>
      <c r="F93" s="82"/>
      <c r="G93" s="82"/>
      <c r="H93" s="82"/>
      <c r="I93" s="82"/>
      <c r="J93" s="82"/>
      <c r="K93" s="82"/>
      <c r="L93" s="82"/>
      <c r="M93" s="82"/>
      <c r="N93" s="82"/>
      <c r="O93" s="102"/>
      <c r="P93" s="83"/>
      <c r="Q93" s="54"/>
      <c r="R93" s="83"/>
      <c r="S93" s="83"/>
      <c r="T93" s="276" t="s">
        <v>241</v>
      </c>
      <c r="U93" s="213">
        <f>$AA$93</f>
        <v>571.7818624062603</v>
      </c>
      <c r="V93" s="217">
        <f>AB93</f>
        <v>274.6264651066474</v>
      </c>
      <c r="W93" s="306">
        <f>AC93</f>
        <v>197.8140152457573</v>
      </c>
      <c r="X93" s="214">
        <f t="shared" si="53"/>
        <v>348.07411425288836</v>
      </c>
      <c r="Y93" s="92"/>
      <c r="Z93" s="276" t="s">
        <v>241</v>
      </c>
      <c r="AA93" s="213">
        <f>IF('AggrStep1-energy'!D99=0,"NA",AA41/'AggrStep1-energy'!D99)</f>
        <v>571.7818624062603</v>
      </c>
      <c r="AB93" s="213">
        <f>IF('AggrStep1-energy'!E99=0,"NA",AB41/'AggrStep1-energy'!E99)</f>
        <v>274.6264651066474</v>
      </c>
      <c r="AC93" s="213">
        <f>IF('AggrStep1-energy'!F99=0,"NA",AC41/'AggrStep1-energy'!F99)</f>
        <v>197.8140152457573</v>
      </c>
      <c r="AD93" s="213">
        <f>AD41/'AggrStep1-energy'!G99</f>
        <v>403.08152831037302</v>
      </c>
      <c r="AE93" s="92"/>
      <c r="AF93" s="92"/>
      <c r="AG93" s="92"/>
    </row>
    <row r="94" spans="1:48">
      <c r="A94" s="83"/>
      <c r="C94" s="106"/>
      <c r="D94" s="82"/>
      <c r="E94" s="82"/>
      <c r="F94" s="82"/>
      <c r="G94" s="82"/>
      <c r="H94" s="82"/>
      <c r="I94" s="82"/>
      <c r="J94" s="82"/>
      <c r="K94" s="82"/>
      <c r="L94" s="82"/>
      <c r="M94" s="82"/>
      <c r="N94" s="82"/>
      <c r="O94" s="102"/>
      <c r="P94" s="83"/>
      <c r="Q94" s="54"/>
      <c r="R94" s="83"/>
      <c r="S94" s="83"/>
      <c r="T94" s="216" t="s">
        <v>388</v>
      </c>
      <c r="U94" s="218">
        <v>49.014624125127924</v>
      </c>
      <c r="V94" s="217">
        <v>161.40136530509861</v>
      </c>
      <c r="W94" s="218">
        <f>W90</f>
        <v>982.81546702620824</v>
      </c>
      <c r="X94" s="214">
        <f t="shared" si="53"/>
        <v>397.74381881881163</v>
      </c>
      <c r="Y94" s="92"/>
      <c r="Z94" s="216" t="s">
        <v>388</v>
      </c>
      <c r="AA94" s="213">
        <f>IF('AggrStep1-energy'!D102=0,"NA",AA42/'AggrStep1-energy'!D102)</f>
        <v>99292.255833445801</v>
      </c>
      <c r="AB94" s="213">
        <f>IF('AggrStep1-energy'!E102=0,"NA",AB42/'AggrStep1-energy'!E102)</f>
        <v>173.25188022408884</v>
      </c>
      <c r="AC94" s="213" t="str">
        <f>IF('AggrStep1-energy'!F102=0,"NA",AC42/'AggrStep1-energy'!F102)</f>
        <v>NA</v>
      </c>
      <c r="AD94" s="213">
        <f>AD42/'AggrStep1-energy'!G102</f>
        <v>583.30636993564383</v>
      </c>
      <c r="AE94" s="92"/>
      <c r="AF94" s="92"/>
      <c r="AG94" s="92"/>
    </row>
    <row r="95" spans="1:48">
      <c r="A95" s="83"/>
      <c r="C95" s="106"/>
      <c r="D95" s="82"/>
      <c r="E95" s="82"/>
      <c r="F95" s="82"/>
      <c r="G95" s="82"/>
      <c r="H95" s="82"/>
      <c r="I95" s="82"/>
      <c r="J95" s="82"/>
      <c r="K95" s="82"/>
      <c r="L95" s="82"/>
      <c r="M95" s="82"/>
      <c r="N95" s="82"/>
      <c r="O95" s="102"/>
      <c r="P95" s="83"/>
      <c r="Q95" s="54"/>
      <c r="R95" s="83"/>
      <c r="S95" s="83"/>
      <c r="T95" s="216" t="s">
        <v>421</v>
      </c>
      <c r="U95" s="213">
        <f>AA95</f>
        <v>98.584344703423355</v>
      </c>
      <c r="V95" s="213">
        <f>AB95</f>
        <v>23.149025855903062</v>
      </c>
      <c r="W95" s="213">
        <v>37.975709227434606</v>
      </c>
      <c r="X95" s="214">
        <f>AVERAGE(U95:W95)</f>
        <v>53.236359928920344</v>
      </c>
      <c r="Y95" s="92"/>
      <c r="Z95" s="216" t="s">
        <v>421</v>
      </c>
      <c r="AA95" s="213">
        <f>IF('AggrStep1-energy'!D103=0,"NA",AA43/'AggrStep1-energy'!D103)</f>
        <v>98.584344703423355</v>
      </c>
      <c r="AB95" s="213">
        <f>IF('AggrStep1-energy'!E103=0,"NA",AB43/'AggrStep1-energy'!E103)</f>
        <v>23.149025855903062</v>
      </c>
      <c r="AC95" s="213">
        <f>IF('AggrStep1-energy'!R103=0,"NA",AC43/'AggrStep1-energy'!R103)</f>
        <v>3.7472090541982355</v>
      </c>
      <c r="AD95" s="213">
        <f>AD43/'AggrStep1-energy'!G103</f>
        <v>53.104278344223971</v>
      </c>
      <c r="AE95" s="92"/>
    </row>
    <row r="96" spans="1:48">
      <c r="A96" s="83"/>
      <c r="C96" s="106"/>
      <c r="D96" s="82"/>
      <c r="E96" s="82"/>
      <c r="F96" s="82"/>
      <c r="G96" s="82"/>
      <c r="H96" s="82"/>
      <c r="I96" s="82"/>
      <c r="J96" s="82"/>
      <c r="K96" s="82"/>
      <c r="L96" s="82"/>
      <c r="M96" s="82"/>
      <c r="N96" s="82"/>
      <c r="O96" s="102"/>
      <c r="P96" s="83"/>
      <c r="Q96" s="54"/>
      <c r="R96" s="83"/>
      <c r="S96" s="83"/>
      <c r="T96" s="147"/>
      <c r="U96" s="92"/>
      <c r="V96" s="92"/>
      <c r="W96" s="150"/>
      <c r="X96" s="92"/>
      <c r="Y96" s="92"/>
      <c r="AE96" s="92"/>
    </row>
    <row r="97" spans="1:31" ht="24" customHeight="1">
      <c r="A97" s="83"/>
      <c r="C97" s="106"/>
      <c r="D97" s="82"/>
      <c r="E97" s="82"/>
      <c r="F97" s="82"/>
      <c r="G97" s="82"/>
      <c r="H97" s="82"/>
      <c r="I97" s="82"/>
      <c r="J97" s="82"/>
      <c r="K97" s="82"/>
      <c r="L97" s="82"/>
      <c r="M97" s="82"/>
      <c r="N97" s="82"/>
      <c r="O97" s="102"/>
      <c r="P97" s="83"/>
      <c r="Q97" s="54"/>
      <c r="R97" s="83"/>
      <c r="S97" s="83"/>
      <c r="X97" s="92"/>
      <c r="Y97" s="92"/>
      <c r="Z97" s="92"/>
      <c r="AA97" s="92"/>
      <c r="AB97" s="92"/>
      <c r="AC97" s="92"/>
      <c r="AD97" s="92"/>
      <c r="AE97" s="92"/>
    </row>
    <row r="98" spans="1:31">
      <c r="A98" s="83"/>
      <c r="C98" s="106"/>
      <c r="D98" s="82"/>
      <c r="E98" s="82"/>
      <c r="F98" s="82"/>
      <c r="G98" s="82"/>
      <c r="H98" s="82"/>
      <c r="I98" s="82"/>
      <c r="J98" s="82"/>
      <c r="K98" s="82"/>
      <c r="L98" s="82"/>
      <c r="M98" s="82"/>
      <c r="N98" s="82"/>
      <c r="O98" s="102"/>
      <c r="P98" s="83"/>
      <c r="Q98" s="54"/>
      <c r="R98" s="83"/>
      <c r="S98" s="83"/>
      <c r="T98" s="318"/>
      <c r="X98" s="92"/>
      <c r="Y98" s="92"/>
      <c r="Z98" s="92"/>
      <c r="AA98" s="92"/>
      <c r="AB98" s="92"/>
      <c r="AC98" s="92"/>
      <c r="AD98" s="92"/>
      <c r="AE98" s="92"/>
    </row>
    <row r="99" spans="1:31">
      <c r="A99" s="83"/>
      <c r="B99" s="83"/>
      <c r="C99" s="54"/>
      <c r="D99" s="54"/>
      <c r="E99" s="54"/>
      <c r="F99" s="54"/>
      <c r="G99" s="54"/>
      <c r="H99" s="54"/>
      <c r="I99" s="54"/>
      <c r="J99" s="54"/>
      <c r="K99" s="54"/>
      <c r="L99" s="54"/>
      <c r="M99" s="54"/>
      <c r="N99" s="54"/>
      <c r="O99" s="102"/>
      <c r="P99" s="83"/>
      <c r="Q99" s="54"/>
      <c r="R99" s="83"/>
      <c r="S99" s="83"/>
      <c r="X99" s="92"/>
      <c r="Y99" s="92"/>
      <c r="Z99" s="92"/>
      <c r="AA99" s="92"/>
      <c r="AB99" s="92"/>
      <c r="AC99" s="92"/>
      <c r="AD99" s="92"/>
      <c r="AE99" s="92"/>
    </row>
    <row r="100" spans="1:31">
      <c r="A100" s="83"/>
      <c r="B100" s="83"/>
      <c r="C100" s="82"/>
      <c r="D100" s="82"/>
      <c r="E100" s="82"/>
      <c r="F100" s="82"/>
      <c r="G100" s="82"/>
      <c r="H100" s="82"/>
      <c r="I100" s="82"/>
      <c r="J100" s="82"/>
      <c r="K100" s="54"/>
      <c r="L100" s="83"/>
      <c r="M100" s="83"/>
      <c r="N100" s="83"/>
      <c r="O100" s="83"/>
      <c r="P100" s="83"/>
      <c r="Q100" s="54"/>
      <c r="R100" s="83"/>
      <c r="S100" s="83"/>
      <c r="X100" s="92"/>
      <c r="Y100" s="92"/>
      <c r="Z100" s="92"/>
      <c r="AA100" s="92"/>
      <c r="AB100" s="92"/>
      <c r="AC100" s="92"/>
      <c r="AD100" s="92"/>
      <c r="AE100" s="92"/>
    </row>
    <row r="101" spans="1:31">
      <c r="A101" s="317"/>
      <c r="B101" s="317"/>
      <c r="C101" s="223"/>
      <c r="D101" s="223"/>
      <c r="E101" s="223"/>
      <c r="F101" s="223"/>
      <c r="G101" s="223"/>
      <c r="H101" s="223"/>
      <c r="I101" s="223"/>
      <c r="J101" s="223"/>
      <c r="K101" s="223"/>
      <c r="L101" s="223"/>
      <c r="M101" s="223"/>
      <c r="N101" s="223"/>
      <c r="O101" s="223"/>
      <c r="P101" s="223"/>
      <c r="Q101" s="54"/>
      <c r="R101" s="83"/>
      <c r="S101" s="83"/>
      <c r="X101" s="92"/>
      <c r="Y101" s="92"/>
      <c r="Z101" s="92"/>
      <c r="AA101" s="92"/>
      <c r="AB101" s="92"/>
      <c r="AC101" s="92"/>
      <c r="AD101" s="92"/>
      <c r="AE101" s="92"/>
    </row>
    <row r="102" spans="1:31">
      <c r="A102" s="83"/>
      <c r="B102" s="83"/>
      <c r="C102" s="82"/>
      <c r="D102" s="82"/>
      <c r="E102" s="82"/>
      <c r="F102" s="82"/>
      <c r="G102" s="82"/>
      <c r="H102" s="82"/>
      <c r="I102" s="82"/>
      <c r="J102" s="82"/>
      <c r="K102" s="54"/>
      <c r="L102" s="83"/>
      <c r="M102" s="83"/>
      <c r="N102" s="83"/>
      <c r="O102" s="83"/>
      <c r="P102" s="83"/>
      <c r="Q102" s="54"/>
      <c r="R102" s="83"/>
      <c r="S102" s="83"/>
      <c r="X102" s="92"/>
      <c r="Y102" s="92"/>
      <c r="Z102" s="92"/>
      <c r="AA102" s="92"/>
      <c r="AB102" s="92"/>
      <c r="AC102" s="92"/>
      <c r="AD102" s="92"/>
      <c r="AE102" s="92"/>
    </row>
    <row r="103" spans="1:31">
      <c r="A103" s="124"/>
      <c r="C103" s="127"/>
      <c r="D103" s="128"/>
      <c r="E103" s="128"/>
      <c r="F103" s="129"/>
      <c r="G103" s="128"/>
      <c r="H103" s="128"/>
      <c r="I103" s="128"/>
      <c r="J103" s="128"/>
      <c r="K103" s="128"/>
      <c r="L103" s="83"/>
      <c r="M103" s="83"/>
      <c r="N103" s="83"/>
      <c r="O103" s="83"/>
      <c r="P103" s="83"/>
      <c r="Q103" s="54"/>
      <c r="R103" s="83"/>
      <c r="S103" s="83"/>
      <c r="X103" s="92"/>
      <c r="Y103" s="92"/>
      <c r="Z103" s="92"/>
      <c r="AA103" s="92"/>
      <c r="AB103" s="92"/>
      <c r="AC103" s="92"/>
      <c r="AD103" s="92"/>
      <c r="AE103" s="92"/>
    </row>
    <row r="104" spans="1:31">
      <c r="A104" s="124"/>
      <c r="C104" s="109"/>
      <c r="D104" s="125"/>
      <c r="E104" s="126"/>
      <c r="F104" s="126"/>
      <c r="G104" s="126"/>
      <c r="H104" s="126"/>
      <c r="I104" s="126"/>
      <c r="J104" s="126"/>
      <c r="K104" s="130"/>
      <c r="L104" s="83"/>
      <c r="M104" s="83"/>
      <c r="N104" s="83"/>
      <c r="O104" s="83"/>
      <c r="P104" s="83"/>
      <c r="Q104" s="83"/>
      <c r="R104" s="83"/>
      <c r="S104" s="83"/>
      <c r="X104" s="92"/>
      <c r="Y104" s="92"/>
      <c r="Z104" s="92"/>
      <c r="AA104" s="92"/>
      <c r="AB104" s="92"/>
      <c r="AC104" s="92"/>
      <c r="AD104" s="92"/>
      <c r="AE104" s="92"/>
    </row>
    <row r="105" spans="1:31">
      <c r="A105" s="124"/>
      <c r="C105" s="109"/>
      <c r="D105" s="125"/>
      <c r="E105" s="126"/>
      <c r="F105" s="126"/>
      <c r="G105" s="126"/>
      <c r="H105" s="126"/>
      <c r="I105" s="126"/>
      <c r="J105" s="126"/>
      <c r="K105" s="130"/>
      <c r="L105" s="83"/>
      <c r="M105" s="83"/>
      <c r="N105" s="83"/>
      <c r="O105" s="83"/>
      <c r="P105" s="83"/>
      <c r="Q105" s="55"/>
      <c r="R105" s="83"/>
      <c r="S105" s="83"/>
      <c r="X105" s="92"/>
      <c r="Y105" s="92"/>
      <c r="Z105" s="92"/>
      <c r="AA105" s="92"/>
      <c r="AB105" s="92"/>
      <c r="AC105" s="92"/>
      <c r="AD105" s="92"/>
      <c r="AE105" s="92"/>
    </row>
    <row r="106" spans="1:31">
      <c r="A106" s="124"/>
      <c r="C106" s="109"/>
      <c r="D106" s="125"/>
      <c r="E106" s="126"/>
      <c r="F106" s="126"/>
      <c r="G106" s="126"/>
      <c r="H106" s="126"/>
      <c r="I106" s="126"/>
      <c r="J106" s="126"/>
      <c r="K106" s="130"/>
      <c r="L106" s="51"/>
      <c r="M106" s="51"/>
      <c r="N106" s="51"/>
      <c r="O106" s="51"/>
      <c r="P106" s="51"/>
      <c r="Q106" s="54"/>
      <c r="R106" s="51"/>
      <c r="S106" s="51"/>
      <c r="X106" s="92"/>
      <c r="Y106" s="92"/>
      <c r="Z106" s="92"/>
      <c r="AA106" s="92"/>
      <c r="AB106" s="92"/>
      <c r="AC106" s="92"/>
      <c r="AD106" s="92"/>
      <c r="AE106" s="92"/>
    </row>
    <row r="107" spans="1:31">
      <c r="A107" s="124"/>
      <c r="C107" s="109"/>
      <c r="D107" s="125"/>
      <c r="E107" s="126"/>
      <c r="F107" s="126"/>
      <c r="G107" s="126"/>
      <c r="H107" s="126"/>
      <c r="I107" s="126"/>
      <c r="J107" s="126"/>
      <c r="K107" s="130"/>
      <c r="L107" s="83"/>
      <c r="M107" s="83"/>
      <c r="N107" s="83"/>
      <c r="O107" s="83"/>
      <c r="P107" s="83"/>
      <c r="Q107" s="54"/>
      <c r="R107" s="83"/>
      <c r="S107" s="83"/>
      <c r="X107" s="92"/>
      <c r="Y107" s="92"/>
      <c r="Z107" s="92"/>
      <c r="AA107" s="92"/>
      <c r="AB107" s="92"/>
      <c r="AC107" s="92"/>
      <c r="AD107" s="92"/>
      <c r="AE107" s="92"/>
    </row>
    <row r="108" spans="1:31">
      <c r="A108" s="124"/>
      <c r="C108" s="109"/>
      <c r="D108" s="125"/>
      <c r="E108" s="126"/>
      <c r="F108" s="126"/>
      <c r="G108" s="126"/>
      <c r="H108" s="126"/>
      <c r="I108" s="126"/>
      <c r="J108" s="126"/>
      <c r="K108" s="130"/>
      <c r="L108" s="83"/>
      <c r="M108" s="83"/>
      <c r="N108" s="83"/>
      <c r="O108" s="83"/>
      <c r="P108" s="83"/>
      <c r="Q108" s="54"/>
      <c r="R108" s="83"/>
      <c r="S108" s="83"/>
      <c r="X108" s="92"/>
      <c r="Y108" s="92"/>
      <c r="Z108" s="92"/>
      <c r="AA108" s="92"/>
      <c r="AB108" s="92"/>
      <c r="AC108" s="92"/>
      <c r="AD108" s="92"/>
      <c r="AE108" s="92"/>
    </row>
    <row r="109" spans="1:31">
      <c r="A109" s="124"/>
      <c r="C109" s="109"/>
      <c r="D109" s="125"/>
      <c r="E109" s="126"/>
      <c r="F109" s="126"/>
      <c r="G109" s="126"/>
      <c r="H109" s="126"/>
      <c r="I109" s="126"/>
      <c r="J109" s="126"/>
      <c r="K109" s="130"/>
      <c r="L109" s="83"/>
      <c r="M109" s="83"/>
      <c r="N109" s="83"/>
      <c r="O109" s="83"/>
      <c r="P109" s="83"/>
      <c r="Q109" s="54"/>
      <c r="R109" s="83"/>
      <c r="S109" s="83"/>
      <c r="X109" s="92"/>
      <c r="Y109" s="92"/>
      <c r="Z109" s="92"/>
      <c r="AA109" s="92"/>
      <c r="AB109" s="92"/>
      <c r="AC109" s="92"/>
      <c r="AD109" s="92"/>
      <c r="AE109" s="92"/>
    </row>
    <row r="110" spans="1:31">
      <c r="A110" s="124"/>
      <c r="C110" s="109"/>
      <c r="D110" s="125"/>
      <c r="E110" s="126"/>
      <c r="F110" s="126"/>
      <c r="G110" s="126"/>
      <c r="H110" s="126"/>
      <c r="I110" s="126"/>
      <c r="J110" s="126"/>
      <c r="K110" s="130"/>
      <c r="L110" s="83"/>
      <c r="M110" s="83"/>
      <c r="N110" s="83"/>
      <c r="O110" s="83"/>
      <c r="P110" s="83"/>
      <c r="Q110" s="54"/>
      <c r="R110" s="83"/>
      <c r="S110" s="83"/>
      <c r="X110" s="92"/>
      <c r="Y110" s="92"/>
      <c r="Z110" s="92"/>
      <c r="AA110" s="92"/>
      <c r="AB110" s="92"/>
      <c r="AC110" s="92"/>
      <c r="AD110" s="92"/>
      <c r="AE110" s="92"/>
    </row>
    <row r="111" spans="1:31">
      <c r="A111" s="124"/>
      <c r="C111" s="109"/>
      <c r="D111" s="125"/>
      <c r="E111" s="126"/>
      <c r="F111" s="126"/>
      <c r="G111" s="126"/>
      <c r="H111" s="126"/>
      <c r="I111" s="126"/>
      <c r="J111" s="126"/>
      <c r="K111" s="130"/>
      <c r="L111" s="83"/>
      <c r="M111" s="83"/>
      <c r="N111" s="83"/>
      <c r="O111" s="83"/>
      <c r="P111" s="83"/>
      <c r="Q111" s="54"/>
      <c r="R111" s="83"/>
      <c r="S111" s="83"/>
      <c r="X111" s="92"/>
      <c r="Y111" s="92"/>
      <c r="Z111" s="92"/>
      <c r="AA111" s="92"/>
      <c r="AB111" s="92"/>
      <c r="AC111" s="92"/>
      <c r="AD111" s="92"/>
      <c r="AE111" s="92"/>
    </row>
    <row r="112" spans="1:31">
      <c r="A112" s="124"/>
      <c r="C112" s="109"/>
      <c r="D112" s="125"/>
      <c r="E112" s="126"/>
      <c r="F112" s="126"/>
      <c r="G112" s="126"/>
      <c r="H112" s="126"/>
      <c r="I112" s="126"/>
      <c r="J112" s="126"/>
      <c r="K112" s="130"/>
      <c r="L112" s="83"/>
      <c r="M112" s="83"/>
      <c r="N112" s="83"/>
      <c r="O112" s="83"/>
      <c r="P112" s="83"/>
      <c r="Q112" s="54"/>
      <c r="R112" s="83"/>
      <c r="S112" s="83"/>
      <c r="T112" s="92"/>
      <c r="U112" s="92"/>
      <c r="V112" s="92"/>
      <c r="W112" s="92"/>
      <c r="X112" s="92"/>
      <c r="Y112" s="92"/>
      <c r="Z112" s="92"/>
      <c r="AA112" s="92"/>
      <c r="AB112" s="92"/>
      <c r="AC112" s="92"/>
      <c r="AD112" s="92"/>
      <c r="AE112" s="92"/>
    </row>
    <row r="113" spans="1:31">
      <c r="A113" s="124"/>
      <c r="C113" s="109"/>
      <c r="D113" s="125"/>
      <c r="E113" s="126"/>
      <c r="F113" s="126"/>
      <c r="G113" s="126"/>
      <c r="H113" s="126"/>
      <c r="I113" s="126"/>
      <c r="J113" s="126"/>
      <c r="K113" s="130"/>
      <c r="L113" s="83"/>
      <c r="M113" s="83"/>
      <c r="N113" s="83"/>
      <c r="O113" s="83"/>
      <c r="P113" s="83"/>
      <c r="Q113" s="54"/>
      <c r="R113" s="83"/>
      <c r="S113" s="83"/>
      <c r="T113" s="83"/>
      <c r="U113" s="83"/>
      <c r="V113" s="83"/>
      <c r="W113" s="83"/>
      <c r="X113" s="83"/>
      <c r="AE113" s="92"/>
    </row>
    <row r="114" spans="1:31">
      <c r="A114" s="124"/>
      <c r="C114" s="109"/>
      <c r="D114" s="125"/>
      <c r="E114" s="126"/>
      <c r="F114" s="126"/>
      <c r="G114" s="126"/>
      <c r="H114" s="126"/>
      <c r="I114" s="126"/>
      <c r="J114" s="126"/>
      <c r="K114" s="130"/>
      <c r="L114" s="83"/>
      <c r="M114" s="83"/>
      <c r="N114" s="83"/>
      <c r="O114" s="83"/>
      <c r="P114" s="83"/>
      <c r="Q114" s="54"/>
      <c r="R114" s="83"/>
      <c r="S114" s="83"/>
      <c r="T114" s="83"/>
      <c r="U114" s="83"/>
      <c r="V114" s="83"/>
      <c r="W114" s="83"/>
      <c r="X114" s="83"/>
      <c r="AE114" s="92"/>
    </row>
    <row r="115" spans="1:31">
      <c r="A115" s="124"/>
      <c r="C115" s="109"/>
      <c r="D115" s="125"/>
      <c r="E115" s="126"/>
      <c r="F115" s="126"/>
      <c r="G115" s="126"/>
      <c r="H115" s="126"/>
      <c r="I115" s="126"/>
      <c r="J115" s="126"/>
      <c r="K115" s="130"/>
      <c r="L115" s="83"/>
      <c r="M115" s="83"/>
      <c r="N115" s="83"/>
      <c r="O115" s="83"/>
      <c r="P115" s="83"/>
      <c r="Q115" s="54"/>
      <c r="R115" s="83"/>
      <c r="S115" s="83"/>
      <c r="T115" s="83"/>
      <c r="U115" s="83"/>
      <c r="V115" s="83"/>
      <c r="W115" s="83"/>
      <c r="X115" s="83"/>
    </row>
    <row r="116" spans="1:31">
      <c r="A116" s="124"/>
      <c r="C116" s="90"/>
      <c r="D116" s="115"/>
      <c r="E116" s="125"/>
      <c r="F116" s="125"/>
      <c r="G116" s="131"/>
      <c r="H116" s="131"/>
      <c r="I116" s="131"/>
      <c r="J116" s="131"/>
      <c r="K116" s="132"/>
      <c r="L116" s="83"/>
      <c r="M116" s="83"/>
      <c r="N116" s="83"/>
      <c r="O116" s="83"/>
      <c r="P116" s="83"/>
      <c r="Q116" s="54"/>
      <c r="R116" s="83"/>
      <c r="S116" s="83"/>
      <c r="T116" s="83"/>
      <c r="U116" s="83"/>
      <c r="V116" s="83"/>
      <c r="W116" s="83"/>
      <c r="X116" s="83"/>
    </row>
    <row r="117" spans="1:31">
      <c r="A117" s="83"/>
      <c r="B117" s="83"/>
      <c r="C117" s="82"/>
      <c r="D117" s="82"/>
      <c r="E117" s="82"/>
      <c r="F117" s="82"/>
      <c r="G117" s="82"/>
      <c r="H117" s="82"/>
      <c r="I117" s="82"/>
      <c r="J117" s="82"/>
      <c r="K117" s="54"/>
      <c r="L117" s="83"/>
      <c r="M117" s="83"/>
      <c r="N117" s="83"/>
      <c r="O117" s="83"/>
      <c r="P117" s="83"/>
      <c r="Q117" s="54"/>
      <c r="R117" s="83"/>
      <c r="S117" s="83"/>
      <c r="T117" s="83"/>
      <c r="U117" s="83"/>
      <c r="V117" s="83"/>
      <c r="W117" s="83"/>
      <c r="X117" s="83"/>
    </row>
    <row r="118" spans="1:31">
      <c r="A118" s="83"/>
      <c r="B118" s="83"/>
      <c r="C118" s="82"/>
      <c r="D118" s="82"/>
      <c r="E118" s="82"/>
      <c r="F118" s="82"/>
      <c r="G118" s="82"/>
      <c r="H118" s="82"/>
      <c r="I118" s="82"/>
      <c r="J118" s="82"/>
      <c r="K118" s="54"/>
      <c r="L118" s="83"/>
      <c r="M118" s="83"/>
      <c r="N118" s="83"/>
      <c r="O118" s="83"/>
      <c r="P118" s="83"/>
      <c r="Q118" s="54"/>
      <c r="R118" s="83"/>
      <c r="S118" s="83"/>
      <c r="T118" s="83"/>
      <c r="U118" s="83"/>
      <c r="V118" s="83"/>
      <c r="W118" s="83"/>
      <c r="X118" s="83"/>
    </row>
    <row r="119" spans="1:31">
      <c r="A119" s="83"/>
      <c r="B119" s="83"/>
      <c r="C119" s="82"/>
      <c r="D119" s="82"/>
      <c r="E119" s="82"/>
      <c r="F119" s="82"/>
      <c r="G119" s="82"/>
      <c r="H119" s="82"/>
      <c r="I119" s="82"/>
      <c r="J119" s="82"/>
      <c r="K119" s="54"/>
      <c r="L119" s="83"/>
      <c r="M119" s="83"/>
      <c r="N119" s="83"/>
      <c r="O119" s="83"/>
      <c r="P119" s="83"/>
      <c r="Q119" s="54"/>
      <c r="R119" s="83"/>
      <c r="S119" s="83"/>
      <c r="T119" s="83"/>
      <c r="U119" s="83"/>
      <c r="V119" s="83"/>
      <c r="W119" s="83"/>
      <c r="X119" s="83"/>
    </row>
    <row r="120" spans="1:31">
      <c r="A120" s="83"/>
      <c r="B120" s="83"/>
      <c r="C120" s="82"/>
      <c r="D120" s="82"/>
      <c r="E120" s="82"/>
      <c r="F120" s="82"/>
      <c r="G120" s="82"/>
      <c r="H120" s="82"/>
      <c r="I120" s="82"/>
      <c r="J120" s="82"/>
      <c r="K120" s="54"/>
      <c r="L120" s="83"/>
      <c r="M120" s="83"/>
      <c r="N120" s="83"/>
      <c r="O120" s="83"/>
      <c r="P120" s="83"/>
      <c r="Q120" s="54"/>
      <c r="R120" s="83"/>
      <c r="S120" s="83"/>
      <c r="T120" s="83"/>
      <c r="U120" s="83"/>
      <c r="V120" s="83"/>
      <c r="W120" s="83"/>
      <c r="X120" s="83"/>
    </row>
    <row r="121" spans="1:31">
      <c r="A121" s="83"/>
      <c r="B121" s="83"/>
      <c r="C121" s="82"/>
      <c r="D121" s="82"/>
      <c r="E121" s="82"/>
      <c r="F121" s="82"/>
      <c r="G121" s="82"/>
      <c r="H121" s="82"/>
      <c r="I121" s="82"/>
      <c r="J121" s="82"/>
      <c r="K121" s="54"/>
      <c r="L121" s="83"/>
      <c r="M121" s="83"/>
      <c r="N121" s="83"/>
      <c r="O121" s="83"/>
      <c r="P121" s="83"/>
      <c r="Q121" s="54"/>
      <c r="R121" s="83"/>
      <c r="S121" s="83"/>
      <c r="T121" s="83"/>
      <c r="U121" s="83"/>
      <c r="V121" s="83"/>
      <c r="W121" s="83"/>
      <c r="X121" s="83"/>
    </row>
    <row r="122" spans="1:31">
      <c r="A122" s="83"/>
      <c r="B122" s="83"/>
      <c r="C122" s="82"/>
      <c r="D122" s="82"/>
      <c r="E122" s="82"/>
      <c r="F122" s="82"/>
      <c r="G122" s="82"/>
      <c r="H122" s="82"/>
      <c r="I122" s="82"/>
      <c r="J122" s="82"/>
      <c r="K122" s="54"/>
      <c r="L122" s="83"/>
      <c r="M122" s="83"/>
      <c r="N122" s="83"/>
      <c r="O122" s="83"/>
      <c r="P122" s="83"/>
      <c r="Q122" s="54"/>
      <c r="R122" s="83"/>
      <c r="S122" s="83"/>
      <c r="T122" s="83"/>
      <c r="U122" s="83"/>
      <c r="V122" s="83"/>
      <c r="W122" s="83"/>
      <c r="X122" s="83"/>
    </row>
    <row r="123" spans="1:31">
      <c r="A123" s="83"/>
      <c r="B123" s="51"/>
      <c r="C123" s="54"/>
      <c r="D123" s="54"/>
      <c r="E123" s="54"/>
      <c r="F123" s="54"/>
      <c r="G123" s="54"/>
      <c r="H123" s="54"/>
      <c r="I123" s="54"/>
      <c r="J123" s="54"/>
      <c r="K123" s="54"/>
      <c r="L123" s="83"/>
      <c r="M123" s="83"/>
      <c r="N123" s="83"/>
      <c r="O123" s="83"/>
      <c r="P123" s="83"/>
      <c r="Q123" s="54"/>
      <c r="R123" s="83"/>
      <c r="S123" s="83"/>
      <c r="T123" s="83"/>
      <c r="U123" s="83"/>
      <c r="V123" s="83"/>
      <c r="W123" s="83"/>
      <c r="X123" s="83"/>
    </row>
    <row r="124" spans="1:31">
      <c r="A124" s="83"/>
      <c r="B124" s="83"/>
      <c r="C124" s="82"/>
      <c r="D124" s="82"/>
      <c r="E124" s="82"/>
      <c r="F124" s="82"/>
      <c r="G124" s="82"/>
      <c r="H124" s="82"/>
      <c r="I124" s="82"/>
      <c r="J124" s="82"/>
      <c r="K124" s="54"/>
      <c r="L124" s="83"/>
      <c r="M124" s="83"/>
      <c r="N124" s="83"/>
      <c r="O124" s="83"/>
      <c r="P124" s="83"/>
      <c r="Q124" s="54"/>
      <c r="R124" s="83"/>
      <c r="S124" s="83"/>
      <c r="T124" s="83"/>
      <c r="U124" s="83"/>
      <c r="V124" s="83"/>
      <c r="W124" s="83"/>
      <c r="X124" s="83"/>
    </row>
    <row r="125" spans="1:31">
      <c r="A125" s="83"/>
      <c r="B125" s="83"/>
      <c r="C125" s="82"/>
      <c r="D125" s="82"/>
      <c r="E125" s="82"/>
      <c r="F125" s="82"/>
      <c r="G125" s="82"/>
      <c r="H125" s="82"/>
      <c r="I125" s="82"/>
      <c r="J125" s="82"/>
      <c r="K125" s="54"/>
      <c r="L125" s="83"/>
      <c r="M125" s="83"/>
      <c r="N125" s="83"/>
      <c r="O125" s="83"/>
      <c r="P125" s="83"/>
      <c r="Q125" s="54"/>
      <c r="R125" s="83"/>
      <c r="S125" s="83"/>
      <c r="T125" s="83"/>
      <c r="U125" s="83"/>
      <c r="V125" s="83"/>
      <c r="W125" s="83"/>
      <c r="X125" s="83"/>
    </row>
    <row r="126" spans="1:31">
      <c r="A126" s="83"/>
      <c r="B126" s="83"/>
      <c r="C126" s="82"/>
      <c r="D126" s="82"/>
      <c r="E126" s="82"/>
      <c r="F126" s="82"/>
      <c r="G126" s="82"/>
      <c r="H126" s="82"/>
      <c r="I126" s="82"/>
      <c r="J126" s="82"/>
      <c r="K126" s="54"/>
      <c r="L126" s="83"/>
      <c r="M126" s="83"/>
      <c r="N126" s="83"/>
      <c r="O126" s="83"/>
      <c r="P126" s="83"/>
      <c r="Q126" s="54"/>
      <c r="R126" s="83"/>
      <c r="S126" s="83"/>
      <c r="T126" s="83"/>
      <c r="U126" s="83"/>
      <c r="V126" s="83"/>
      <c r="W126" s="83"/>
      <c r="X126" s="83"/>
    </row>
    <row r="127" spans="1:31">
      <c r="A127" s="83"/>
      <c r="B127" s="83"/>
      <c r="C127" s="82"/>
      <c r="D127" s="82"/>
      <c r="E127" s="82"/>
      <c r="F127" s="82"/>
      <c r="G127" s="82"/>
      <c r="H127" s="82"/>
      <c r="I127" s="82"/>
      <c r="J127" s="82"/>
      <c r="K127" s="54"/>
      <c r="L127" s="83"/>
      <c r="M127" s="83"/>
      <c r="N127" s="83"/>
      <c r="O127" s="83"/>
      <c r="P127" s="83"/>
      <c r="Q127" s="54"/>
      <c r="R127" s="83"/>
      <c r="S127" s="83"/>
      <c r="T127" s="83"/>
      <c r="U127" s="83"/>
      <c r="V127" s="83"/>
      <c r="W127" s="83"/>
      <c r="X127" s="83"/>
    </row>
    <row r="128" spans="1:31">
      <c r="A128" s="83"/>
      <c r="B128" s="83"/>
      <c r="C128" s="82"/>
      <c r="D128" s="82"/>
      <c r="E128" s="82"/>
      <c r="F128" s="82"/>
      <c r="G128" s="82"/>
      <c r="H128" s="82"/>
      <c r="I128" s="82"/>
      <c r="J128" s="82"/>
      <c r="K128" s="54"/>
      <c r="L128" s="83"/>
      <c r="M128" s="83"/>
      <c r="N128" s="83"/>
      <c r="O128" s="83"/>
      <c r="P128" s="83"/>
      <c r="Q128" s="54"/>
      <c r="R128" s="83"/>
      <c r="S128" s="83"/>
      <c r="T128" s="83"/>
      <c r="U128" s="83"/>
      <c r="V128" s="83"/>
      <c r="W128" s="83"/>
      <c r="X128" s="83"/>
    </row>
    <row r="129" spans="1:24">
      <c r="A129" s="83"/>
      <c r="B129" s="51"/>
      <c r="C129" s="54"/>
      <c r="D129" s="54"/>
      <c r="E129" s="54"/>
      <c r="F129" s="54"/>
      <c r="G129" s="54"/>
      <c r="H129" s="54"/>
      <c r="I129" s="54"/>
      <c r="J129" s="54"/>
      <c r="K129" s="54"/>
      <c r="L129" s="83"/>
      <c r="M129" s="83"/>
      <c r="N129" s="83"/>
      <c r="O129" s="83"/>
      <c r="P129" s="83"/>
      <c r="Q129" s="54"/>
      <c r="R129" s="83"/>
      <c r="S129" s="83"/>
      <c r="T129" s="83"/>
      <c r="U129" s="83"/>
      <c r="V129" s="83"/>
      <c r="W129" s="83"/>
      <c r="X129" s="83"/>
    </row>
    <row r="130" spans="1:24">
      <c r="A130" s="83"/>
      <c r="B130" s="83"/>
      <c r="C130" s="82"/>
      <c r="D130" s="82"/>
      <c r="E130" s="82"/>
      <c r="F130" s="82"/>
      <c r="G130" s="82"/>
      <c r="H130" s="82"/>
      <c r="I130" s="82"/>
      <c r="J130" s="82"/>
      <c r="K130" s="54"/>
      <c r="L130" s="83"/>
      <c r="M130" s="83"/>
      <c r="N130" s="83"/>
      <c r="O130" s="83"/>
      <c r="P130" s="83"/>
      <c r="Q130" s="54"/>
      <c r="R130" s="83"/>
      <c r="S130" s="83"/>
      <c r="T130" s="83"/>
      <c r="U130" s="83"/>
      <c r="V130" s="83"/>
      <c r="W130" s="83"/>
      <c r="X130" s="83"/>
    </row>
    <row r="131" spans="1:24">
      <c r="A131" s="83"/>
      <c r="B131" s="83"/>
      <c r="C131" s="82"/>
      <c r="D131" s="82"/>
      <c r="E131" s="82"/>
      <c r="F131" s="82"/>
      <c r="G131" s="82"/>
      <c r="H131" s="82"/>
      <c r="I131" s="82"/>
      <c r="J131" s="82"/>
      <c r="K131" s="54"/>
      <c r="L131" s="83"/>
      <c r="M131" s="83"/>
      <c r="N131" s="83"/>
      <c r="O131" s="83"/>
      <c r="P131" s="83"/>
      <c r="Q131" s="54"/>
      <c r="R131" s="83"/>
      <c r="S131" s="83"/>
      <c r="T131" s="83"/>
      <c r="U131" s="83"/>
      <c r="V131" s="83"/>
      <c r="W131" s="83"/>
      <c r="X131" s="83"/>
    </row>
    <row r="132" spans="1:24">
      <c r="A132" s="83"/>
      <c r="B132" s="83"/>
      <c r="C132" s="82"/>
      <c r="D132" s="82"/>
      <c r="E132" s="82"/>
      <c r="F132" s="82"/>
      <c r="G132" s="82"/>
      <c r="H132" s="82"/>
      <c r="I132" s="82"/>
      <c r="J132" s="82"/>
      <c r="K132" s="54"/>
      <c r="L132" s="83"/>
      <c r="M132" s="83"/>
      <c r="N132" s="83"/>
      <c r="O132" s="83"/>
      <c r="P132" s="83"/>
      <c r="Q132" s="54"/>
      <c r="R132" s="83"/>
      <c r="S132" s="83"/>
      <c r="T132" s="83"/>
      <c r="U132" s="83"/>
      <c r="V132" s="83"/>
      <c r="W132" s="83"/>
      <c r="X132" s="83"/>
    </row>
    <row r="133" spans="1:24">
      <c r="A133" s="83"/>
      <c r="B133" s="51"/>
      <c r="C133" s="54"/>
      <c r="D133" s="54"/>
      <c r="E133" s="54"/>
      <c r="F133" s="54"/>
      <c r="G133" s="54"/>
      <c r="H133" s="54"/>
      <c r="I133" s="54"/>
      <c r="J133" s="54"/>
      <c r="K133" s="54"/>
      <c r="L133" s="83"/>
      <c r="M133" s="83"/>
      <c r="N133" s="83"/>
      <c r="O133" s="83"/>
      <c r="P133" s="83"/>
      <c r="Q133" s="54"/>
      <c r="R133" s="83"/>
      <c r="S133" s="83"/>
      <c r="T133" s="83"/>
      <c r="U133" s="83"/>
      <c r="V133" s="83"/>
      <c r="W133" s="83"/>
      <c r="X133" s="83"/>
    </row>
    <row r="134" spans="1:24">
      <c r="A134" s="83"/>
      <c r="B134" s="83"/>
      <c r="C134" s="82"/>
      <c r="D134" s="82"/>
      <c r="E134" s="82"/>
      <c r="F134" s="82"/>
      <c r="G134" s="82"/>
      <c r="H134" s="82"/>
      <c r="I134" s="82"/>
      <c r="J134" s="82"/>
      <c r="K134" s="82"/>
      <c r="L134" s="83"/>
      <c r="M134" s="83"/>
      <c r="N134" s="83"/>
      <c r="O134" s="83"/>
      <c r="P134" s="83"/>
      <c r="Q134" s="82"/>
      <c r="R134" s="83"/>
      <c r="S134" s="83"/>
      <c r="T134" s="83"/>
      <c r="U134" s="83"/>
      <c r="V134" s="83"/>
      <c r="W134" s="83"/>
      <c r="X134" s="83"/>
    </row>
    <row r="135" spans="1:24">
      <c r="A135" s="83"/>
      <c r="B135" s="51"/>
      <c r="C135" s="54"/>
      <c r="D135" s="54"/>
      <c r="E135" s="54"/>
      <c r="F135" s="54"/>
      <c r="G135" s="54"/>
      <c r="H135" s="54"/>
      <c r="I135" s="54"/>
      <c r="J135" s="54"/>
      <c r="K135" s="54"/>
      <c r="L135" s="83"/>
      <c r="M135" s="83"/>
      <c r="N135" s="83"/>
      <c r="O135" s="83"/>
      <c r="P135" s="83"/>
      <c r="Q135" s="54"/>
      <c r="R135" s="83"/>
      <c r="S135" s="83"/>
      <c r="T135" s="83"/>
      <c r="U135" s="83"/>
      <c r="V135" s="83"/>
      <c r="W135" s="83"/>
      <c r="X135" s="83"/>
    </row>
    <row r="136" spans="1:24">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row>
    <row r="137" spans="1:24">
      <c r="A137" s="83"/>
      <c r="B137" s="83"/>
      <c r="C137" s="83"/>
      <c r="D137" s="83"/>
      <c r="E137" s="83"/>
      <c r="F137" s="83"/>
      <c r="G137" s="83"/>
      <c r="H137" s="83"/>
      <c r="I137" s="83"/>
      <c r="J137" s="83"/>
      <c r="K137" s="83"/>
      <c r="L137" s="83"/>
      <c r="M137" s="83"/>
      <c r="N137" s="83"/>
      <c r="O137" s="83"/>
      <c r="P137" s="83"/>
      <c r="Q137" s="83"/>
      <c r="R137" s="83"/>
      <c r="S137" s="83"/>
    </row>
    <row r="138" spans="1:24">
      <c r="A138" s="83"/>
      <c r="B138" s="83"/>
      <c r="C138" s="53"/>
      <c r="D138" s="55"/>
      <c r="E138" s="53"/>
      <c r="F138" s="55"/>
      <c r="G138" s="55"/>
      <c r="H138" s="55"/>
      <c r="I138" s="55"/>
      <c r="J138" s="55"/>
      <c r="K138" s="55"/>
      <c r="L138" s="83"/>
      <c r="M138" s="83"/>
      <c r="N138" s="83"/>
      <c r="O138" s="83"/>
      <c r="P138" s="83"/>
      <c r="Q138" s="55"/>
      <c r="R138" s="83"/>
      <c r="S138" s="83"/>
    </row>
    <row r="139" spans="1:24">
      <c r="A139" s="107"/>
      <c r="B139" s="83"/>
      <c r="C139" s="82"/>
      <c r="D139" s="82"/>
      <c r="E139" s="82"/>
      <c r="F139" s="82"/>
      <c r="G139" s="82"/>
      <c r="H139" s="82"/>
      <c r="I139" s="82"/>
      <c r="J139" s="82"/>
      <c r="K139" s="82"/>
      <c r="L139" s="83"/>
      <c r="M139" s="83"/>
      <c r="N139" s="83"/>
      <c r="O139" s="83"/>
      <c r="P139" s="83"/>
      <c r="Q139" s="82"/>
      <c r="R139" s="83"/>
      <c r="S139" s="83"/>
      <c r="T139" s="83"/>
      <c r="U139" s="83"/>
      <c r="V139" s="83"/>
      <c r="W139" s="83"/>
      <c r="X139" s="83"/>
    </row>
    <row r="140" spans="1:24">
      <c r="A140" s="107"/>
      <c r="B140" s="108"/>
      <c r="C140" s="82"/>
      <c r="D140" s="82"/>
      <c r="E140" s="82"/>
      <c r="F140" s="82"/>
      <c r="G140" s="82"/>
      <c r="H140" s="82"/>
      <c r="I140" s="82"/>
      <c r="J140" s="82"/>
      <c r="K140" s="82"/>
      <c r="L140" s="83"/>
      <c r="M140" s="83"/>
      <c r="N140" s="83"/>
      <c r="O140" s="83"/>
      <c r="P140" s="83"/>
      <c r="Q140" s="82"/>
      <c r="R140" s="83"/>
      <c r="S140" s="83"/>
      <c r="T140" s="83"/>
      <c r="U140" s="83"/>
      <c r="V140" s="83"/>
      <c r="W140" s="83"/>
      <c r="X140" s="83"/>
    </row>
    <row r="141" spans="1:24">
      <c r="A141" s="107"/>
      <c r="B141" s="108"/>
      <c r="C141" s="82"/>
      <c r="D141" s="82"/>
      <c r="E141" s="82"/>
      <c r="F141" s="82"/>
      <c r="G141" s="82"/>
      <c r="H141" s="82"/>
      <c r="I141" s="82"/>
      <c r="J141" s="82"/>
      <c r="K141" s="82"/>
      <c r="L141" s="83"/>
      <c r="M141" s="83"/>
      <c r="N141" s="83"/>
      <c r="O141" s="83"/>
      <c r="P141" s="83"/>
      <c r="Q141" s="82"/>
      <c r="R141" s="83"/>
      <c r="S141" s="83"/>
      <c r="T141" s="83"/>
      <c r="U141" s="83"/>
      <c r="V141" s="83"/>
      <c r="W141" s="83"/>
      <c r="X141" s="83"/>
    </row>
    <row r="142" spans="1:24">
      <c r="A142" s="107"/>
      <c r="B142" s="108"/>
      <c r="C142" s="82"/>
      <c r="D142" s="82"/>
      <c r="E142" s="82"/>
      <c r="F142" s="82"/>
      <c r="G142" s="82"/>
      <c r="H142" s="82"/>
      <c r="I142" s="82"/>
      <c r="J142" s="82"/>
      <c r="K142" s="82"/>
      <c r="L142" s="83"/>
      <c r="M142" s="83"/>
      <c r="N142" s="83"/>
      <c r="O142" s="83"/>
      <c r="P142" s="83"/>
      <c r="Q142" s="82"/>
      <c r="R142" s="83"/>
      <c r="S142" s="83"/>
      <c r="T142" s="83"/>
      <c r="U142" s="83"/>
      <c r="V142" s="83"/>
      <c r="W142" s="83"/>
      <c r="X142" s="83"/>
    </row>
    <row r="143" spans="1:24">
      <c r="A143" s="107"/>
      <c r="B143" s="108"/>
      <c r="C143" s="82"/>
      <c r="D143" s="82"/>
      <c r="E143" s="82"/>
      <c r="F143" s="82"/>
      <c r="G143" s="82"/>
      <c r="H143" s="82"/>
      <c r="I143" s="82"/>
      <c r="J143" s="82"/>
      <c r="K143" s="82"/>
      <c r="L143" s="83"/>
      <c r="M143" s="83"/>
      <c r="N143" s="83"/>
      <c r="O143" s="83"/>
      <c r="P143" s="83"/>
      <c r="Q143" s="82"/>
      <c r="R143" s="83"/>
      <c r="S143" s="83"/>
      <c r="T143" s="83"/>
      <c r="U143" s="83"/>
      <c r="V143" s="83"/>
      <c r="W143" s="83"/>
      <c r="X143" s="83"/>
    </row>
    <row r="144" spans="1:24">
      <c r="A144" s="107"/>
      <c r="B144" s="108"/>
      <c r="C144" s="82"/>
      <c r="D144" s="82"/>
      <c r="E144" s="82"/>
      <c r="F144" s="82"/>
      <c r="G144" s="82"/>
      <c r="H144" s="82"/>
      <c r="I144" s="82"/>
      <c r="J144" s="82"/>
      <c r="K144" s="82"/>
      <c r="L144" s="83"/>
      <c r="M144" s="83"/>
      <c r="N144" s="83"/>
      <c r="O144" s="83"/>
      <c r="P144" s="83"/>
      <c r="Q144" s="82"/>
      <c r="R144" s="83"/>
      <c r="S144" s="83"/>
      <c r="T144" s="83"/>
      <c r="U144" s="83"/>
      <c r="V144" s="83"/>
      <c r="W144" s="83"/>
      <c r="X144" s="83"/>
    </row>
    <row r="145" spans="1:24">
      <c r="A145" s="107"/>
      <c r="B145" s="83"/>
      <c r="C145" s="54"/>
      <c r="D145" s="54"/>
      <c r="E145" s="54"/>
      <c r="F145" s="54"/>
      <c r="G145" s="54"/>
      <c r="H145" s="54"/>
      <c r="I145" s="54"/>
      <c r="J145" s="54"/>
      <c r="K145" s="54"/>
      <c r="L145" s="83"/>
      <c r="M145" s="83"/>
      <c r="N145" s="83"/>
      <c r="O145" s="83"/>
      <c r="P145" s="83"/>
      <c r="Q145" s="54"/>
      <c r="R145" s="83"/>
      <c r="S145" s="83"/>
      <c r="T145" s="83"/>
      <c r="U145" s="83"/>
      <c r="V145" s="83"/>
      <c r="W145" s="83"/>
      <c r="X145" s="83"/>
    </row>
    <row r="146" spans="1:24">
      <c r="A146" s="107"/>
      <c r="B146" s="83"/>
      <c r="C146" s="82"/>
      <c r="D146" s="82"/>
      <c r="E146" s="82"/>
      <c r="F146" s="82"/>
      <c r="G146" s="82"/>
      <c r="H146" s="82"/>
      <c r="I146" s="82"/>
      <c r="J146" s="82"/>
      <c r="K146" s="82"/>
      <c r="L146" s="83"/>
      <c r="M146" s="83"/>
      <c r="N146" s="83"/>
      <c r="O146" s="83"/>
      <c r="P146" s="83"/>
      <c r="Q146" s="82"/>
      <c r="R146" s="83"/>
      <c r="S146" s="83"/>
      <c r="T146" s="83"/>
      <c r="U146" s="83"/>
      <c r="V146" s="83"/>
      <c r="W146" s="83"/>
      <c r="X146" s="83"/>
    </row>
    <row r="147" spans="1:24">
      <c r="A147" s="107"/>
      <c r="B147" s="109"/>
      <c r="C147" s="54"/>
      <c r="D147" s="54"/>
      <c r="E147" s="54"/>
      <c r="F147" s="54"/>
      <c r="G147" s="54"/>
      <c r="H147" s="54"/>
      <c r="I147" s="54"/>
      <c r="J147" s="54"/>
      <c r="K147" s="54"/>
      <c r="L147" s="83"/>
      <c r="M147" s="83"/>
      <c r="N147" s="83"/>
      <c r="O147" s="83"/>
      <c r="P147" s="83"/>
      <c r="Q147" s="54"/>
      <c r="R147" s="83"/>
      <c r="S147" s="83"/>
      <c r="T147" s="83"/>
      <c r="U147" s="83"/>
      <c r="V147" s="83"/>
      <c r="W147" s="83"/>
      <c r="X147" s="83"/>
    </row>
    <row r="148" spans="1:24">
      <c r="A148" s="107"/>
      <c r="B148" s="109"/>
      <c r="C148" s="83"/>
      <c r="D148" s="83"/>
      <c r="E148" s="83"/>
      <c r="F148" s="83"/>
      <c r="G148" s="83"/>
      <c r="H148" s="83"/>
      <c r="I148" s="83"/>
      <c r="J148" s="83"/>
      <c r="K148" s="83"/>
      <c r="L148" s="83"/>
      <c r="M148" s="83"/>
      <c r="N148" s="83"/>
      <c r="O148" s="83"/>
      <c r="P148" s="83"/>
      <c r="Q148" s="83"/>
      <c r="R148" s="83"/>
      <c r="S148" s="83"/>
      <c r="T148" s="83"/>
      <c r="U148" s="83"/>
      <c r="V148" s="83"/>
      <c r="W148" s="83"/>
      <c r="X148" s="83"/>
    </row>
    <row r="149" spans="1:24">
      <c r="A149" s="107"/>
      <c r="B149" s="109"/>
      <c r="C149" s="83"/>
      <c r="D149" s="83"/>
      <c r="E149" s="83"/>
      <c r="F149" s="83"/>
      <c r="G149" s="83"/>
      <c r="H149" s="83"/>
      <c r="I149" s="83"/>
      <c r="J149" s="83"/>
      <c r="K149" s="83"/>
      <c r="L149" s="83"/>
      <c r="M149" s="83"/>
      <c r="N149" s="83"/>
      <c r="O149" s="83"/>
      <c r="P149" s="83"/>
      <c r="Q149" s="83"/>
      <c r="R149" s="83"/>
      <c r="S149" s="83"/>
      <c r="T149" s="83"/>
      <c r="U149" s="83"/>
      <c r="V149" s="83"/>
      <c r="W149" s="83"/>
      <c r="X149" s="83"/>
    </row>
    <row r="150" spans="1:24">
      <c r="T150" s="83"/>
      <c r="U150" s="83"/>
      <c r="V150" s="83"/>
      <c r="W150" s="83"/>
      <c r="X150" s="83"/>
    </row>
    <row r="151" spans="1:24">
      <c r="T151" s="83"/>
      <c r="U151" s="83"/>
      <c r="V151" s="83"/>
      <c r="W151" s="83"/>
      <c r="X151" s="83"/>
    </row>
    <row r="152" spans="1:24">
      <c r="T152" s="83"/>
      <c r="U152" s="83"/>
      <c r="V152" s="83"/>
      <c r="W152" s="83"/>
      <c r="X152" s="83"/>
    </row>
    <row r="153" spans="1:24">
      <c r="T153" s="83"/>
      <c r="U153" s="83"/>
      <c r="V153" s="83"/>
      <c r="W153" s="83"/>
      <c r="X153" s="83"/>
    </row>
    <row r="154" spans="1:24">
      <c r="T154" s="83"/>
      <c r="U154" s="83"/>
      <c r="V154" s="83"/>
      <c r="W154" s="83"/>
      <c r="X154" s="83"/>
    </row>
    <row r="155" spans="1:24">
      <c r="T155" s="83"/>
      <c r="U155" s="83"/>
      <c r="V155" s="83"/>
      <c r="W155" s="83"/>
      <c r="X155" s="83"/>
    </row>
    <row r="156" spans="1:24">
      <c r="T156" s="83"/>
      <c r="U156" s="83"/>
      <c r="V156" s="83"/>
      <c r="W156" s="83"/>
      <c r="X156" s="83"/>
    </row>
    <row r="157" spans="1:24">
      <c r="T157" s="83"/>
      <c r="U157" s="83"/>
      <c r="V157" s="83"/>
      <c r="W157" s="83"/>
      <c r="X157" s="83"/>
    </row>
    <row r="158" spans="1:24">
      <c r="T158" s="83"/>
      <c r="U158" s="83"/>
      <c r="V158" s="83"/>
      <c r="W158" s="83"/>
      <c r="X158" s="83"/>
    </row>
    <row r="159" spans="1:24">
      <c r="T159" s="83"/>
      <c r="U159" s="83"/>
      <c r="V159" s="83"/>
      <c r="W159" s="83"/>
      <c r="X159" s="83"/>
    </row>
    <row r="160" spans="1:24">
      <c r="T160" s="83"/>
      <c r="U160" s="83"/>
      <c r="V160" s="83"/>
      <c r="W160" s="83"/>
      <c r="X160" s="83"/>
    </row>
    <row r="161" spans="20:24">
      <c r="T161" s="83"/>
      <c r="U161" s="83"/>
      <c r="V161" s="83"/>
      <c r="W161" s="83"/>
      <c r="X161" s="83"/>
    </row>
    <row r="162" spans="20:24">
      <c r="T162" s="83"/>
      <c r="U162" s="83"/>
      <c r="V162" s="83"/>
      <c r="W162" s="83"/>
      <c r="X162" s="83"/>
    </row>
    <row r="163" spans="20:24">
      <c r="T163" s="83"/>
      <c r="U163" s="83"/>
      <c r="V163" s="83"/>
      <c r="W163" s="83"/>
      <c r="X163" s="83"/>
    </row>
    <row r="164" spans="20:24">
      <c r="T164" s="83"/>
      <c r="U164" s="83"/>
      <c r="V164" s="83"/>
      <c r="W164" s="83"/>
      <c r="X164" s="83"/>
    </row>
    <row r="165" spans="20:24">
      <c r="T165" s="83"/>
      <c r="U165" s="83"/>
      <c r="V165" s="83"/>
      <c r="W165" s="83"/>
      <c r="X165" s="83"/>
    </row>
    <row r="166" spans="20:24">
      <c r="T166" s="83"/>
      <c r="U166" s="83"/>
      <c r="V166" s="83"/>
      <c r="W166" s="83"/>
      <c r="X166" s="83"/>
    </row>
    <row r="167" spans="20:24">
      <c r="T167" s="83"/>
      <c r="U167" s="83"/>
      <c r="V167" s="83"/>
      <c r="W167" s="83"/>
      <c r="X167" s="83"/>
    </row>
    <row r="168" spans="20:24">
      <c r="T168" s="83"/>
      <c r="U168" s="83"/>
      <c r="V168" s="83"/>
      <c r="W168" s="83"/>
      <c r="X168" s="83"/>
    </row>
    <row r="169" spans="20:24">
      <c r="T169" s="83"/>
      <c r="U169" s="83"/>
      <c r="V169" s="83"/>
      <c r="W169" s="83"/>
      <c r="X169" s="83"/>
    </row>
    <row r="170" spans="20:24">
      <c r="T170" s="83"/>
      <c r="U170" s="83"/>
      <c r="V170" s="83"/>
      <c r="W170" s="83"/>
      <c r="X170" s="83"/>
    </row>
    <row r="171" spans="20:24">
      <c r="T171" s="83"/>
      <c r="U171" s="83"/>
      <c r="V171" s="83"/>
      <c r="W171" s="83"/>
      <c r="X171" s="83"/>
    </row>
    <row r="172" spans="20:24">
      <c r="T172" s="83"/>
      <c r="U172" s="83"/>
      <c r="V172" s="83"/>
      <c r="W172" s="83"/>
      <c r="X172" s="83"/>
    </row>
    <row r="173" spans="20:24">
      <c r="T173" s="83"/>
      <c r="U173" s="83"/>
      <c r="V173" s="83"/>
      <c r="W173" s="83"/>
      <c r="X173" s="83"/>
    </row>
    <row r="174" spans="20:24">
      <c r="T174" s="83"/>
      <c r="U174" s="83"/>
      <c r="V174" s="83"/>
      <c r="W174" s="83"/>
      <c r="X174" s="83"/>
    </row>
    <row r="175" spans="20:24">
      <c r="T175" s="83"/>
      <c r="U175" s="83"/>
      <c r="V175" s="83"/>
      <c r="W175" s="83"/>
      <c r="X175" s="83"/>
    </row>
    <row r="176" spans="20:24">
      <c r="T176" s="83"/>
      <c r="U176" s="83"/>
      <c r="V176" s="83"/>
      <c r="W176" s="83"/>
      <c r="X176" s="83"/>
    </row>
    <row r="177" spans="20:24">
      <c r="T177" s="83"/>
      <c r="U177" s="83"/>
      <c r="V177" s="83"/>
      <c r="W177" s="83"/>
      <c r="X177" s="83"/>
    </row>
    <row r="178" spans="20:24">
      <c r="T178" s="83"/>
      <c r="U178" s="83"/>
      <c r="V178" s="83"/>
      <c r="W178" s="83"/>
      <c r="X178" s="83"/>
    </row>
    <row r="179" spans="20:24">
      <c r="T179" s="83"/>
      <c r="U179" s="83"/>
      <c r="V179" s="83"/>
      <c r="W179" s="83"/>
      <c r="X179" s="83"/>
    </row>
    <row r="180" spans="20:24">
      <c r="T180" s="83"/>
      <c r="U180" s="83"/>
      <c r="V180" s="83"/>
      <c r="W180" s="83"/>
      <c r="X180" s="83"/>
    </row>
    <row r="181" spans="20:24">
      <c r="T181" s="83"/>
      <c r="U181" s="83"/>
      <c r="V181" s="83"/>
      <c r="W181" s="83"/>
      <c r="X181" s="83"/>
    </row>
    <row r="182" spans="20:24">
      <c r="T182" s="83"/>
      <c r="U182" s="83"/>
      <c r="V182" s="83"/>
      <c r="W182" s="83"/>
      <c r="X182" s="83"/>
    </row>
    <row r="183" spans="20:24">
      <c r="T183" s="83"/>
      <c r="U183" s="83"/>
      <c r="V183" s="83"/>
      <c r="W183" s="83"/>
      <c r="X183" s="83"/>
    </row>
    <row r="184" spans="20:24">
      <c r="T184" s="83"/>
      <c r="U184" s="83"/>
      <c r="V184" s="83"/>
      <c r="W184" s="83"/>
      <c r="X184" s="83"/>
    </row>
    <row r="185" spans="20:24">
      <c r="T185" s="83"/>
      <c r="U185" s="83"/>
      <c r="V185" s="83"/>
      <c r="W185" s="83"/>
      <c r="X185" s="83"/>
    </row>
    <row r="186" spans="20:24">
      <c r="T186" s="83"/>
      <c r="U186" s="83"/>
      <c r="V186" s="83"/>
      <c r="W186" s="83"/>
      <c r="X186" s="83"/>
    </row>
  </sheetData>
  <mergeCells count="5">
    <mergeCell ref="T2:AC2"/>
    <mergeCell ref="AF2:AO2"/>
    <mergeCell ref="U3:W3"/>
    <mergeCell ref="X3:Z3"/>
    <mergeCell ref="AA3:AC3"/>
  </mergeCells>
  <conditionalFormatting sqref="I3:N4 I34:O39 I41:N41 I44:N44 I46:N59 I42:O43 I26:N27 I30:N30 I32:N32">
    <cfRule type="cellIs" dxfId="9" priority="5" operator="greaterThan">
      <formula>0</formula>
    </cfRule>
  </conditionalFormatting>
  <conditionalFormatting sqref="C64:C85">
    <cfRule type="cellIs" dxfId="8" priority="4" operator="equal">
      <formula>1</formula>
    </cfRule>
  </conditionalFormatting>
  <conditionalFormatting sqref="C104:C115">
    <cfRule type="cellIs" dxfId="7" priority="3" operator="equal">
      <formula>1</formula>
    </cfRule>
  </conditionalFormatting>
  <conditionalFormatting sqref="I28:N29">
    <cfRule type="cellIs" dxfId="6" priority="1" operator="greaterThan">
      <formula>0</formula>
    </cfRule>
  </conditionalFormatting>
  <conditionalFormatting sqref="I5:N23 I24:O24">
    <cfRule type="cellIs" dxfId="5" priority="2" operator="greaterThan">
      <formula>0</formula>
    </cfRule>
  </conditionalFormatting>
  <pageMargins left="0" right="0" top="0" bottom="0" header="0" footer="0"/>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Y157"/>
  <sheetViews>
    <sheetView topLeftCell="A22" zoomScale="80" zoomScaleNormal="80" workbookViewId="0">
      <selection activeCell="H27" sqref="H27"/>
    </sheetView>
  </sheetViews>
  <sheetFormatPr baseColWidth="10" defaultColWidth="11" defaultRowHeight="15"/>
  <cols>
    <col min="1" max="1" width="5.625" style="89" customWidth="1"/>
    <col min="2" max="2" width="30.625" style="89" customWidth="1"/>
    <col min="3" max="4" width="10.125" style="89" customWidth="1"/>
    <col min="5" max="5" width="11" style="89" customWidth="1"/>
    <col min="6" max="6" width="10.125" style="89" customWidth="1"/>
    <col min="7" max="7" width="8.625" style="89" customWidth="1"/>
    <col min="8" max="8" width="15.5" style="89" customWidth="1"/>
    <col min="9" max="10" width="10.875" style="89" customWidth="1"/>
    <col min="11" max="11" width="36.625" style="89" customWidth="1"/>
    <col min="12" max="15" width="10.875" style="89" customWidth="1"/>
    <col min="16" max="16" width="18.375" style="89" customWidth="1"/>
    <col min="17" max="17" width="14.625" style="89" customWidth="1"/>
    <col min="18" max="18" width="10.875" style="89" customWidth="1"/>
    <col min="19" max="19" width="27.375" style="89" customWidth="1"/>
    <col min="20" max="20" width="12.5" style="89" customWidth="1"/>
    <col min="21" max="21" width="15.5" style="89" customWidth="1"/>
    <col min="22" max="22" width="17.625" style="89" customWidth="1"/>
    <col min="23" max="23" width="15.875" style="89" customWidth="1"/>
    <col min="24" max="27" width="11.125" style="89" customWidth="1"/>
    <col min="28" max="30" width="8.125" style="89" customWidth="1"/>
    <col min="31" max="42" width="10.875" style="89" customWidth="1"/>
    <col min="43" max="43" width="12.125" style="89" customWidth="1"/>
    <col min="44" max="44" width="6.875" style="89" customWidth="1"/>
    <col min="45" max="48" width="8.125" style="89" customWidth="1"/>
    <col min="49" max="50" width="12.125" style="89" customWidth="1"/>
    <col min="51" max="56" width="9.875" style="89" customWidth="1"/>
    <col min="57" max="63" width="10.875" style="89" customWidth="1"/>
    <col min="64" max="64" width="12.125" style="89" customWidth="1"/>
    <col min="65" max="71" width="8.875" style="89" customWidth="1"/>
    <col min="72" max="79" width="11.875" style="89" customWidth="1"/>
    <col min="80" max="87" width="8.875" style="89" customWidth="1"/>
    <col min="88" max="88" width="5.875" style="89" customWidth="1"/>
    <col min="89" max="95" width="8.125" style="89" customWidth="1"/>
    <col min="96" max="103" width="8.875" style="89" customWidth="1"/>
    <col min="104" max="111" width="9.875" style="89" customWidth="1"/>
    <col min="112" max="119" width="11.875" style="89" customWidth="1"/>
    <col min="120" max="135" width="9.875" style="89" customWidth="1"/>
    <col min="136" max="143" width="10.875" style="89" customWidth="1"/>
    <col min="144" max="151" width="9.875" style="89" customWidth="1"/>
    <col min="152" max="158" width="8.875" style="89" customWidth="1"/>
    <col min="159" max="159" width="9.125" style="89" customWidth="1"/>
    <col min="160" max="167" width="9.875" style="89" customWidth="1"/>
    <col min="168" max="175" width="10.875" style="89" customWidth="1"/>
    <col min="176" max="176" width="6.875" style="89" customWidth="1"/>
    <col min="177" max="182" width="8.125" style="89" customWidth="1"/>
    <col min="183" max="183" width="9.125" style="89" customWidth="1"/>
    <col min="184" max="191" width="11.875" style="89" customWidth="1"/>
    <col min="192" max="199" width="10.875" style="89" customWidth="1"/>
    <col min="200" max="207" width="9.875" style="89" customWidth="1"/>
    <col min="208" max="231" width="10.875" style="89" customWidth="1"/>
    <col min="232" max="232" width="12.125" style="89" customWidth="1"/>
    <col min="233" max="239" width="10.875" style="89" customWidth="1"/>
    <col min="240" max="257" width="9.875" style="89" customWidth="1"/>
    <col min="258" max="275" width="11.875" style="89" customWidth="1"/>
    <col min="276" max="284" width="10.875" style="89" customWidth="1"/>
    <col min="285" max="293" width="11.875" style="89" customWidth="1"/>
    <col min="294" max="311" width="10.875" style="89" customWidth="1"/>
    <col min="312" max="338" width="11.875" style="89" customWidth="1"/>
    <col min="339" max="339" width="12.125" style="89" customWidth="1"/>
    <col min="340" max="346" width="11.875" style="89" customWidth="1"/>
    <col min="347" max="426" width="10.875" style="89" customWidth="1"/>
    <col min="427" max="465" width="11.875" style="89" customWidth="1"/>
    <col min="466" max="466" width="11.875" style="89" bestFit="1" customWidth="1"/>
    <col min="467" max="467" width="12.125" style="89" bestFit="1" customWidth="1"/>
    <col min="468" max="16384" width="11" style="89"/>
  </cols>
  <sheetData>
    <row r="1" spans="1:467" ht="18.75" customHeight="1">
      <c r="A1" s="492"/>
      <c r="B1" s="492"/>
      <c r="C1" s="492"/>
      <c r="D1" s="492"/>
      <c r="E1" s="492"/>
      <c r="F1" s="492"/>
      <c r="G1" s="492"/>
      <c r="H1" s="492"/>
      <c r="I1" s="493"/>
      <c r="J1" s="492"/>
      <c r="K1" s="714" t="s">
        <v>592</v>
      </c>
      <c r="L1" s="714"/>
      <c r="M1" s="714"/>
      <c r="N1" s="714"/>
      <c r="O1" s="714"/>
      <c r="P1" s="714"/>
      <c r="Q1" s="714"/>
      <c r="R1" s="714"/>
      <c r="S1" s="714"/>
      <c r="T1" s="714"/>
      <c r="U1" s="714"/>
      <c r="V1" s="495" t="s">
        <v>936</v>
      </c>
      <c r="W1" s="495"/>
      <c r="X1" s="90"/>
      <c r="Y1" s="90"/>
    </row>
    <row r="2" spans="1:467" ht="48.95" customHeight="1">
      <c r="A2" s="492"/>
      <c r="B2" s="492"/>
      <c r="C2" s="492"/>
      <c r="D2" s="493"/>
      <c r="E2" s="493"/>
      <c r="F2" s="493"/>
      <c r="G2" s="493"/>
      <c r="H2" s="493"/>
      <c r="I2" s="493"/>
      <c r="J2" s="492"/>
      <c r="K2" s="494"/>
      <c r="L2" s="494"/>
      <c r="M2" s="494"/>
      <c r="N2" s="494"/>
      <c r="O2" s="494"/>
      <c r="P2" s="494"/>
      <c r="Q2" s="494"/>
      <c r="R2" s="599"/>
      <c r="S2" s="601" t="s">
        <v>923</v>
      </c>
      <c r="T2" s="601" t="s">
        <v>924</v>
      </c>
      <c r="U2" s="601" t="s">
        <v>925</v>
      </c>
      <c r="V2" s="601" t="s">
        <v>935</v>
      </c>
      <c r="W2" s="601" t="s">
        <v>384</v>
      </c>
      <c r="AA2" s="601" t="s">
        <v>931</v>
      </c>
      <c r="AB2" s="601" t="s">
        <v>932</v>
      </c>
      <c r="AC2" s="623" t="s">
        <v>930</v>
      </c>
    </row>
    <row r="3" spans="1:467" ht="45" customHeight="1">
      <c r="A3" s="492"/>
      <c r="B3" s="37" t="s">
        <v>390</v>
      </c>
      <c r="C3" s="496" t="s">
        <v>383</v>
      </c>
      <c r="D3" s="496" t="s">
        <v>384</v>
      </c>
      <c r="E3" s="496" t="s">
        <v>915</v>
      </c>
      <c r="F3" s="496" t="s">
        <v>7</v>
      </c>
      <c r="G3" s="492"/>
      <c r="H3" s="496" t="s">
        <v>747</v>
      </c>
      <c r="J3" s="492"/>
      <c r="K3" s="598" t="s">
        <v>390</v>
      </c>
      <c r="L3" s="497" t="s">
        <v>383</v>
      </c>
      <c r="M3" s="497" t="s">
        <v>384</v>
      </c>
      <c r="N3" s="497" t="s">
        <v>914</v>
      </c>
      <c r="O3" s="497" t="s">
        <v>7</v>
      </c>
      <c r="P3" s="498"/>
      <c r="Q3" s="499" t="s">
        <v>747</v>
      </c>
      <c r="R3" s="599"/>
      <c r="S3" s="602" t="s">
        <v>313</v>
      </c>
      <c r="T3" s="389">
        <v>28029.136878310001</v>
      </c>
      <c r="U3" s="600">
        <f>T3/$T$15</f>
        <v>9.4584908458395039E-2</v>
      </c>
      <c r="V3" s="390">
        <v>0</v>
      </c>
      <c r="W3" s="629">
        <v>0</v>
      </c>
      <c r="AA3" s="599"/>
      <c r="AB3" s="600">
        <f t="shared" ref="AB3:AB14" si="0">AA3/$AA$15</f>
        <v>0</v>
      </c>
    </row>
    <row r="4" spans="1:467" ht="20.100000000000001" customHeight="1">
      <c r="A4" s="492"/>
      <c r="B4" s="500" t="s">
        <v>218</v>
      </c>
      <c r="C4" s="493">
        <f>$L$6*V3/$V$15</f>
        <v>0</v>
      </c>
      <c r="D4" s="493">
        <f>$M$4*W3/$W$15</f>
        <v>0</v>
      </c>
      <c r="E4" s="493">
        <f t="shared" ref="E4:E15" si="1">N$4*U3</f>
        <v>3.4552374113249784</v>
      </c>
      <c r="F4" s="501">
        <f>SUM(C4:E4)</f>
        <v>3.4552374113249784</v>
      </c>
      <c r="G4" s="492"/>
      <c r="H4" s="493">
        <f t="shared" ref="H4:H15" si="2">Q$4*O19</f>
        <v>0</v>
      </c>
      <c r="I4" s="492"/>
      <c r="J4" s="492"/>
      <c r="K4" s="502" t="s">
        <v>933</v>
      </c>
      <c r="L4" s="503">
        <f>'AggrStep1-energy'!D90</f>
        <v>828.16700000000003</v>
      </c>
      <c r="M4" s="503">
        <f>'AggrStep1-energy'!E90</f>
        <v>1303.69</v>
      </c>
      <c r="N4" s="504">
        <f>PRODESEN!K52*M59</f>
        <v>36.530536082770858</v>
      </c>
      <c r="O4" s="503">
        <f>SUM(L4:N4)</f>
        <v>2168.387536082771</v>
      </c>
      <c r="P4" s="505"/>
      <c r="Q4" s="506">
        <f>'SEC elec-SIE'!L20+'SEC elec-SIE'!N27</f>
        <v>60.542000000000002</v>
      </c>
      <c r="R4" s="599"/>
      <c r="S4" s="602" t="s">
        <v>318</v>
      </c>
      <c r="T4" s="389">
        <v>4184.54396131469</v>
      </c>
      <c r="U4" s="600">
        <f t="shared" ref="U4:U14" si="3">T4/$T$15</f>
        <v>1.4120831092282422E-2</v>
      </c>
      <c r="V4" s="390">
        <v>0</v>
      </c>
      <c r="W4" s="629">
        <v>0</v>
      </c>
      <c r="AA4" s="599"/>
      <c r="AB4" s="600">
        <f t="shared" si="0"/>
        <v>0</v>
      </c>
    </row>
    <row r="5" spans="1:467" ht="20.100000000000001" customHeight="1">
      <c r="A5" s="492"/>
      <c r="B5" s="500" t="s">
        <v>219</v>
      </c>
      <c r="C5" s="493">
        <f t="shared" ref="C5:C11" si="4">$L$6*V4/$V$15</f>
        <v>0</v>
      </c>
      <c r="D5" s="493">
        <f t="shared" ref="D5:D11" si="5">$M$4*W4/$W$15</f>
        <v>0</v>
      </c>
      <c r="E5" s="493">
        <f t="shared" si="1"/>
        <v>0.51584152973533559</v>
      </c>
      <c r="F5" s="501">
        <f t="shared" ref="F5:F16" si="6">SUM(C5:E5)</f>
        <v>0.51584152973533559</v>
      </c>
      <c r="G5" s="492"/>
      <c r="H5" s="493">
        <f t="shared" si="2"/>
        <v>0</v>
      </c>
      <c r="I5" s="492"/>
      <c r="J5" s="492"/>
      <c r="K5" s="502" t="s">
        <v>752</v>
      </c>
      <c r="L5" s="507">
        <f>'SEC elec-SIE'!C11</f>
        <v>339.90100000000001</v>
      </c>
      <c r="M5" s="492"/>
      <c r="N5" s="492"/>
      <c r="O5" s="492"/>
      <c r="P5" s="492"/>
      <c r="Q5" s="508"/>
      <c r="R5" s="599"/>
      <c r="S5" s="602" t="s">
        <v>315</v>
      </c>
      <c r="T5" s="389">
        <v>6069.7173049999992</v>
      </c>
      <c r="U5" s="600">
        <f t="shared" si="3"/>
        <v>2.0482387957726382E-2</v>
      </c>
      <c r="V5" s="390">
        <v>0</v>
      </c>
      <c r="W5" s="629">
        <v>0</v>
      </c>
      <c r="AA5" s="599"/>
      <c r="AB5" s="600">
        <f t="shared" si="0"/>
        <v>0</v>
      </c>
    </row>
    <row r="6" spans="1:467" ht="20.100000000000001" customHeight="1">
      <c r="A6" s="492"/>
      <c r="B6" s="500" t="s">
        <v>171</v>
      </c>
      <c r="C6" s="493">
        <f t="shared" si="4"/>
        <v>0</v>
      </c>
      <c r="D6" s="493">
        <f t="shared" si="5"/>
        <v>0</v>
      </c>
      <c r="E6" s="493">
        <f t="shared" si="1"/>
        <v>0.74823261235103489</v>
      </c>
      <c r="F6" s="501">
        <f t="shared" si="6"/>
        <v>0.74823261235103489</v>
      </c>
      <c r="G6" s="492"/>
      <c r="H6" s="493">
        <f t="shared" si="2"/>
        <v>0</v>
      </c>
      <c r="I6" s="492"/>
      <c r="J6" s="492"/>
      <c r="K6" s="502" t="s">
        <v>934</v>
      </c>
      <c r="L6" s="507">
        <f>L4-L5</f>
        <v>488.26600000000002</v>
      </c>
      <c r="M6" s="492"/>
      <c r="N6" s="492"/>
      <c r="O6" s="492"/>
      <c r="P6" s="492"/>
      <c r="Q6" s="508"/>
      <c r="R6" s="599"/>
      <c r="S6" s="602" t="s">
        <v>11</v>
      </c>
      <c r="T6" s="389">
        <v>19.492261200000002</v>
      </c>
      <c r="U6" s="600">
        <f t="shared" si="3"/>
        <v>6.5777042984003893E-5</v>
      </c>
      <c r="V6" s="390">
        <v>0</v>
      </c>
      <c r="W6" s="629">
        <v>0</v>
      </c>
      <c r="AA6" s="599"/>
      <c r="AB6" s="600">
        <f t="shared" si="0"/>
        <v>0</v>
      </c>
    </row>
    <row r="7" spans="1:467" ht="20.100000000000001" customHeight="1">
      <c r="A7" s="492"/>
      <c r="B7" s="500" t="s">
        <v>11</v>
      </c>
      <c r="C7" s="493">
        <f t="shared" si="4"/>
        <v>0</v>
      </c>
      <c r="D7" s="493">
        <f t="shared" si="5"/>
        <v>0</v>
      </c>
      <c r="E7" s="493">
        <f t="shared" si="1"/>
        <v>2.4028706421451241E-3</v>
      </c>
      <c r="F7" s="501">
        <f t="shared" si="6"/>
        <v>2.4028706421451241E-3</v>
      </c>
      <c r="G7" s="492"/>
      <c r="H7" s="493">
        <f t="shared" si="2"/>
        <v>0</v>
      </c>
      <c r="I7" s="492"/>
      <c r="J7" s="492"/>
      <c r="K7" s="509" t="s">
        <v>654</v>
      </c>
      <c r="L7" s="510"/>
      <c r="M7" s="510"/>
      <c r="N7" s="510"/>
      <c r="O7" s="510"/>
      <c r="P7" s="511"/>
      <c r="Q7" s="512"/>
      <c r="R7" s="599"/>
      <c r="S7" s="602" t="s">
        <v>926</v>
      </c>
      <c r="T7" s="389">
        <v>2225.7161099999998</v>
      </c>
      <c r="U7" s="600">
        <f t="shared" si="3"/>
        <v>7.5107255507975606E-3</v>
      </c>
      <c r="V7" s="390">
        <v>0</v>
      </c>
      <c r="W7" s="629">
        <f>T7</f>
        <v>2225.7161099999998</v>
      </c>
      <c r="AA7" s="605">
        <f>T7</f>
        <v>2225.7161099999998</v>
      </c>
      <c r="AB7" s="600">
        <f t="shared" si="0"/>
        <v>1.0647605602730481E-2</v>
      </c>
    </row>
    <row r="8" spans="1:467" ht="20.100000000000001" customHeight="1">
      <c r="A8" s="492"/>
      <c r="B8" s="513" t="s">
        <v>220</v>
      </c>
      <c r="C8" s="493">
        <f t="shared" si="4"/>
        <v>0</v>
      </c>
      <c r="D8" s="493">
        <f>$M$4*W7/$W$15</f>
        <v>18.512329646008801</v>
      </c>
      <c r="E8" s="493">
        <f t="shared" si="1"/>
        <v>0.27437083074119933</v>
      </c>
      <c r="F8" s="501">
        <f t="shared" si="6"/>
        <v>18.786700476749999</v>
      </c>
      <c r="G8" s="492"/>
      <c r="H8" s="493">
        <f t="shared" si="2"/>
        <v>0</v>
      </c>
      <c r="I8" s="492"/>
      <c r="J8" s="514"/>
      <c r="K8" s="515"/>
      <c r="L8" s="515"/>
      <c r="M8" s="515"/>
      <c r="N8" s="515"/>
      <c r="O8" s="516"/>
      <c r="P8" s="517"/>
      <c r="Q8" s="518"/>
      <c r="R8" s="599"/>
      <c r="S8" s="602" t="s">
        <v>927</v>
      </c>
      <c r="T8" s="389">
        <v>1309.8965169300002</v>
      </c>
      <c r="U8" s="600">
        <f t="shared" si="3"/>
        <v>4.4202731850680101E-3</v>
      </c>
      <c r="V8" s="390">
        <v>0</v>
      </c>
      <c r="W8" s="629">
        <f>T8</f>
        <v>1309.8965169300002</v>
      </c>
      <c r="AA8" s="606"/>
      <c r="AB8" s="600">
        <f t="shared" si="0"/>
        <v>0</v>
      </c>
      <c r="AC8" s="93"/>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c r="IX8" s="92"/>
      <c r="IY8" s="92"/>
      <c r="IZ8" s="92"/>
      <c r="JA8" s="92"/>
      <c r="JB8" s="92"/>
      <c r="JC8" s="92"/>
      <c r="JD8" s="92"/>
      <c r="JE8" s="92"/>
      <c r="JF8" s="92"/>
      <c r="JG8" s="92"/>
      <c r="JH8" s="92"/>
      <c r="JI8" s="92"/>
      <c r="JJ8" s="92"/>
      <c r="JK8" s="92"/>
      <c r="JL8" s="92"/>
      <c r="JM8" s="92"/>
      <c r="JN8" s="92"/>
      <c r="JO8" s="92"/>
      <c r="JP8" s="92"/>
      <c r="JQ8" s="92"/>
      <c r="JR8" s="92"/>
      <c r="JS8" s="92"/>
      <c r="JT8" s="92"/>
      <c r="JU8" s="92"/>
      <c r="JV8" s="92"/>
      <c r="JW8" s="92"/>
      <c r="JX8" s="92"/>
      <c r="JY8" s="92"/>
      <c r="JZ8" s="92"/>
      <c r="KA8" s="92"/>
      <c r="KB8" s="92"/>
      <c r="KC8" s="92"/>
      <c r="KD8" s="92"/>
      <c r="KE8" s="92"/>
      <c r="KF8" s="92"/>
      <c r="KG8" s="92"/>
      <c r="KH8" s="92"/>
      <c r="KI8" s="92"/>
      <c r="KJ8" s="92"/>
      <c r="KK8" s="92"/>
      <c r="KL8" s="92"/>
      <c r="KM8" s="92"/>
      <c r="KN8" s="92"/>
      <c r="KO8" s="92"/>
      <c r="KP8" s="92"/>
      <c r="KQ8" s="92"/>
      <c r="KR8" s="92"/>
      <c r="KS8" s="92"/>
      <c r="KT8" s="92"/>
      <c r="KU8" s="92"/>
      <c r="KV8" s="92"/>
      <c r="KW8" s="92"/>
      <c r="KX8" s="92"/>
      <c r="KY8" s="92"/>
      <c r="KZ8" s="92"/>
      <c r="LA8" s="92"/>
      <c r="LB8" s="92"/>
      <c r="LC8" s="92"/>
      <c r="LD8" s="92"/>
      <c r="LE8" s="92"/>
      <c r="LF8" s="92"/>
      <c r="LG8" s="92"/>
      <c r="LH8" s="92"/>
      <c r="LI8" s="92"/>
      <c r="LJ8" s="92"/>
      <c r="LK8" s="92"/>
      <c r="LL8" s="92"/>
      <c r="LM8" s="92"/>
      <c r="LN8" s="92"/>
      <c r="LO8" s="92"/>
      <c r="LP8" s="92"/>
      <c r="LQ8" s="92"/>
      <c r="LR8" s="92"/>
      <c r="LS8" s="92"/>
      <c r="LT8" s="92"/>
      <c r="LU8" s="92"/>
      <c r="LV8" s="92"/>
      <c r="LW8" s="92"/>
      <c r="LX8" s="92"/>
      <c r="LY8" s="92"/>
      <c r="LZ8" s="92"/>
      <c r="MA8" s="92"/>
      <c r="MB8" s="92"/>
      <c r="MC8" s="92"/>
      <c r="MD8" s="92"/>
      <c r="ME8" s="92"/>
      <c r="MF8" s="92"/>
      <c r="MG8" s="92"/>
      <c r="MH8" s="92"/>
      <c r="MI8" s="92"/>
      <c r="MJ8" s="92"/>
      <c r="MK8" s="92"/>
      <c r="ML8" s="92"/>
      <c r="MM8" s="92"/>
      <c r="MN8" s="92"/>
      <c r="MO8" s="92"/>
      <c r="MP8" s="92"/>
      <c r="MQ8" s="92"/>
      <c r="MR8" s="92"/>
      <c r="MS8" s="92"/>
      <c r="MT8" s="92"/>
      <c r="MU8" s="92"/>
      <c r="MV8" s="92"/>
      <c r="MW8" s="92"/>
      <c r="MX8" s="92"/>
      <c r="MY8" s="92"/>
      <c r="MZ8" s="92"/>
      <c r="NA8" s="92"/>
      <c r="NB8" s="92"/>
      <c r="NC8" s="92"/>
      <c r="ND8" s="92"/>
      <c r="NE8" s="92"/>
      <c r="NF8" s="92"/>
      <c r="NG8" s="92"/>
      <c r="NH8" s="92"/>
      <c r="NI8" s="92"/>
      <c r="NJ8" s="92"/>
      <c r="NK8" s="92"/>
      <c r="NL8" s="92"/>
      <c r="NM8" s="92"/>
      <c r="NN8" s="92"/>
      <c r="NO8" s="92"/>
      <c r="NP8" s="92"/>
      <c r="NQ8" s="92"/>
      <c r="NR8" s="92"/>
      <c r="NS8" s="92"/>
      <c r="NT8" s="92"/>
      <c r="NU8" s="92"/>
      <c r="NV8" s="92"/>
      <c r="NW8" s="92"/>
      <c r="NX8" s="92"/>
      <c r="NY8" s="92"/>
      <c r="NZ8" s="92"/>
      <c r="OA8" s="92"/>
      <c r="OB8" s="92"/>
      <c r="OC8" s="92"/>
      <c r="OD8" s="92"/>
      <c r="OE8" s="92"/>
      <c r="OF8" s="92"/>
      <c r="OG8" s="92"/>
      <c r="OH8" s="92"/>
      <c r="OI8" s="92"/>
      <c r="OJ8" s="92"/>
      <c r="OK8" s="92"/>
      <c r="OL8" s="92"/>
      <c r="OM8" s="92"/>
      <c r="ON8" s="92"/>
      <c r="OO8" s="92"/>
      <c r="OP8" s="92"/>
      <c r="OQ8" s="92"/>
      <c r="OR8" s="92"/>
      <c r="OS8" s="92"/>
      <c r="OT8" s="92"/>
      <c r="OU8" s="92"/>
      <c r="OV8" s="92"/>
      <c r="OW8" s="92"/>
      <c r="OX8" s="92"/>
      <c r="OY8" s="92"/>
      <c r="OZ8" s="92"/>
      <c r="PA8" s="92"/>
      <c r="PB8" s="92"/>
      <c r="PC8" s="92"/>
      <c r="PD8" s="92"/>
      <c r="PE8" s="92"/>
      <c r="PF8" s="92"/>
      <c r="PG8" s="92"/>
      <c r="PH8" s="92"/>
      <c r="PI8" s="92"/>
      <c r="PJ8" s="92"/>
      <c r="PK8" s="92"/>
      <c r="PL8" s="92"/>
      <c r="PM8" s="92"/>
      <c r="PN8" s="92"/>
      <c r="PO8" s="92"/>
      <c r="PP8" s="92"/>
      <c r="PQ8" s="92"/>
      <c r="PR8" s="92"/>
      <c r="PS8" s="92"/>
      <c r="PT8" s="92"/>
      <c r="PU8" s="92"/>
      <c r="PV8" s="92"/>
      <c r="PW8" s="92"/>
      <c r="PX8" s="92"/>
      <c r="PY8" s="92"/>
      <c r="PZ8" s="92"/>
      <c r="QA8" s="92"/>
      <c r="QB8" s="92"/>
      <c r="QC8" s="92"/>
      <c r="QD8" s="92"/>
      <c r="QE8" s="92"/>
      <c r="QF8" s="92"/>
      <c r="QG8" s="92"/>
      <c r="QH8" s="92"/>
      <c r="QI8" s="92"/>
      <c r="QJ8" s="92"/>
      <c r="QK8" s="92"/>
      <c r="QL8" s="92"/>
      <c r="QM8" s="92"/>
      <c r="QN8" s="92"/>
      <c r="QO8" s="92"/>
      <c r="QP8" s="92"/>
      <c r="QQ8" s="92"/>
      <c r="QR8" s="92"/>
      <c r="QS8" s="92"/>
      <c r="QT8" s="92"/>
      <c r="QU8" s="92"/>
      <c r="QV8" s="92"/>
      <c r="QW8" s="92"/>
      <c r="QX8" s="92"/>
      <c r="QY8" s="92"/>
    </row>
    <row r="9" spans="1:467" ht="20.100000000000001" customHeight="1">
      <c r="A9" s="492"/>
      <c r="B9" s="518" t="s">
        <v>365</v>
      </c>
      <c r="C9" s="493">
        <f t="shared" si="4"/>
        <v>0</v>
      </c>
      <c r="D9" s="493">
        <f>$M$4*W8/$W$15</f>
        <v>10.895026555550661</v>
      </c>
      <c r="E9" s="493">
        <f t="shared" si="1"/>
        <v>0.16147494908283141</v>
      </c>
      <c r="F9" s="501">
        <f t="shared" si="6"/>
        <v>11.056501504633493</v>
      </c>
      <c r="G9" s="492"/>
      <c r="H9" s="493">
        <f t="shared" si="2"/>
        <v>60.542000000000002</v>
      </c>
      <c r="I9" s="492"/>
      <c r="J9" s="514"/>
      <c r="K9" s="519" t="s">
        <v>593</v>
      </c>
      <c r="L9" s="497" t="s">
        <v>419</v>
      </c>
      <c r="M9" s="497" t="s">
        <v>384</v>
      </c>
      <c r="N9" s="497" t="s">
        <v>172</v>
      </c>
      <c r="O9" s="520" t="s">
        <v>7</v>
      </c>
      <c r="P9" s="521"/>
      <c r="Q9" s="518"/>
      <c r="R9" s="599"/>
      <c r="S9" s="603" t="s">
        <v>928</v>
      </c>
      <c r="T9" s="389">
        <v>0.57368375000000005</v>
      </c>
      <c r="U9" s="600">
        <f t="shared" si="3"/>
        <v>1.9359078095554425E-6</v>
      </c>
      <c r="V9" s="390">
        <v>0</v>
      </c>
      <c r="W9" s="629">
        <v>0</v>
      </c>
      <c r="AA9" s="606"/>
      <c r="AB9" s="600">
        <f t="shared" si="0"/>
        <v>0</v>
      </c>
      <c r="AC9" s="93"/>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c r="JD9" s="92"/>
      <c r="JE9" s="92"/>
      <c r="JF9" s="92"/>
      <c r="JG9" s="92"/>
      <c r="JH9" s="92"/>
      <c r="JI9" s="92"/>
      <c r="JJ9" s="92"/>
      <c r="JK9" s="92"/>
      <c r="JL9" s="92"/>
      <c r="JM9" s="92"/>
      <c r="JN9" s="92"/>
      <c r="JO9" s="92"/>
      <c r="JP9" s="92"/>
      <c r="JQ9" s="92"/>
      <c r="JR9" s="92"/>
      <c r="JS9" s="92"/>
      <c r="JT9" s="92"/>
      <c r="JU9" s="92"/>
      <c r="JV9" s="92"/>
      <c r="JW9" s="92"/>
      <c r="JX9" s="92"/>
      <c r="JY9" s="92"/>
      <c r="JZ9" s="92"/>
      <c r="KA9" s="92"/>
      <c r="KB9" s="92"/>
      <c r="KC9" s="92"/>
      <c r="KD9" s="92"/>
      <c r="KE9" s="92"/>
      <c r="KF9" s="92"/>
      <c r="KG9" s="92"/>
      <c r="KH9" s="92"/>
      <c r="KI9" s="92"/>
      <c r="KJ9" s="92"/>
      <c r="KK9" s="92"/>
      <c r="KL9" s="92"/>
      <c r="KM9" s="92"/>
      <c r="KN9" s="92"/>
      <c r="KO9" s="92"/>
      <c r="KP9" s="92"/>
      <c r="KQ9" s="92"/>
      <c r="KR9" s="92"/>
      <c r="KS9" s="92"/>
      <c r="KT9" s="92"/>
      <c r="KU9" s="92"/>
      <c r="KV9" s="92"/>
      <c r="KW9" s="92"/>
      <c r="KX9" s="92"/>
      <c r="KY9" s="92"/>
      <c r="KZ9" s="92"/>
      <c r="LA9" s="92"/>
      <c r="LB9" s="92"/>
      <c r="LC9" s="92"/>
      <c r="LD9" s="92"/>
      <c r="LE9" s="92"/>
      <c r="LF9" s="92"/>
      <c r="LG9" s="92"/>
      <c r="LH9" s="92"/>
      <c r="LI9" s="92"/>
      <c r="LJ9" s="92"/>
      <c r="LK9" s="92"/>
      <c r="LL9" s="92"/>
      <c r="LM9" s="92"/>
      <c r="LN9" s="92"/>
      <c r="LO9" s="92"/>
      <c r="LP9" s="92"/>
      <c r="LQ9" s="92"/>
      <c r="LR9" s="92"/>
      <c r="LS9" s="92"/>
      <c r="LT9" s="92"/>
      <c r="LU9" s="92"/>
      <c r="LV9" s="92"/>
      <c r="LW9" s="92"/>
      <c r="LX9" s="92"/>
      <c r="LY9" s="92"/>
      <c r="LZ9" s="92"/>
      <c r="MA9" s="92"/>
      <c r="MB9" s="92"/>
      <c r="MC9" s="92"/>
      <c r="MD9" s="92"/>
      <c r="ME9" s="92"/>
      <c r="MF9" s="92"/>
      <c r="MG9" s="92"/>
      <c r="MH9" s="92"/>
      <c r="MI9" s="92"/>
      <c r="MJ9" s="92"/>
      <c r="MK9" s="92"/>
      <c r="ML9" s="92"/>
      <c r="MM9" s="92"/>
      <c r="MN9" s="92"/>
      <c r="MO9" s="92"/>
      <c r="MP9" s="92"/>
      <c r="MQ9" s="92"/>
      <c r="MR9" s="92"/>
      <c r="MS9" s="92"/>
      <c r="MT9" s="92"/>
      <c r="MU9" s="92"/>
      <c r="MV9" s="92"/>
      <c r="MW9" s="92"/>
      <c r="MX9" s="92"/>
      <c r="MY9" s="92"/>
      <c r="MZ9" s="92"/>
      <c r="NA9" s="92"/>
      <c r="NB9" s="92"/>
      <c r="NC9" s="92"/>
      <c r="ND9" s="92"/>
      <c r="NE9" s="92"/>
      <c r="NF9" s="92"/>
      <c r="NG9" s="92"/>
      <c r="NH9" s="92"/>
      <c r="NI9" s="92"/>
      <c r="NJ9" s="92"/>
      <c r="NK9" s="92"/>
      <c r="NL9" s="92"/>
      <c r="NM9" s="92"/>
      <c r="NN9" s="92"/>
      <c r="NO9" s="92"/>
      <c r="NP9" s="92"/>
      <c r="NQ9" s="92"/>
      <c r="NR9" s="92"/>
      <c r="NS9" s="92"/>
      <c r="NT9" s="92"/>
      <c r="NU9" s="92"/>
      <c r="NV9" s="92"/>
      <c r="NW9" s="92"/>
      <c r="NX9" s="92"/>
      <c r="NY9" s="92"/>
      <c r="NZ9" s="92"/>
      <c r="OA9" s="92"/>
      <c r="OB9" s="92"/>
      <c r="OC9" s="92"/>
      <c r="OD9" s="92"/>
      <c r="OE9" s="92"/>
      <c r="OF9" s="92"/>
      <c r="OG9" s="92"/>
      <c r="OH9" s="92"/>
      <c r="OI9" s="92"/>
      <c r="OJ9" s="92"/>
      <c r="OK9" s="92"/>
      <c r="OL9" s="92"/>
      <c r="OM9" s="92"/>
      <c r="ON9" s="92"/>
      <c r="OO9" s="92"/>
      <c r="OP9" s="92"/>
      <c r="OQ9" s="92"/>
      <c r="OR9" s="92"/>
      <c r="OS9" s="92"/>
      <c r="OT9" s="92"/>
      <c r="OU9" s="92"/>
      <c r="OV9" s="92"/>
      <c r="OW9" s="92"/>
      <c r="OX9" s="92"/>
      <c r="OY9" s="92"/>
      <c r="OZ9" s="92"/>
      <c r="PA9" s="92"/>
      <c r="PB9" s="92"/>
      <c r="PC9" s="92"/>
      <c r="PD9" s="92"/>
      <c r="PE9" s="92"/>
      <c r="PF9" s="92"/>
      <c r="PG9" s="92"/>
      <c r="PH9" s="92"/>
      <c r="PI9" s="92"/>
      <c r="PJ9" s="92"/>
      <c r="PK9" s="92"/>
      <c r="PL9" s="92"/>
      <c r="PM9" s="92"/>
      <c r="PN9" s="92"/>
      <c r="PO9" s="92"/>
      <c r="PP9" s="92"/>
      <c r="PQ9" s="92"/>
      <c r="PR9" s="92"/>
      <c r="PS9" s="92"/>
      <c r="PT9" s="92"/>
      <c r="PU9" s="92"/>
      <c r="PV9" s="92"/>
      <c r="PW9" s="92"/>
      <c r="PX9" s="92"/>
      <c r="PY9" s="92"/>
      <c r="PZ9" s="92"/>
      <c r="QA9" s="92"/>
      <c r="QB9" s="92"/>
      <c r="QC9" s="92"/>
      <c r="QD9" s="92"/>
      <c r="QE9" s="92"/>
      <c r="QF9" s="92"/>
      <c r="QG9" s="92"/>
      <c r="QH9" s="92"/>
      <c r="QI9" s="92"/>
      <c r="QJ9" s="92"/>
      <c r="QK9" s="92"/>
      <c r="QL9" s="92"/>
      <c r="QM9" s="92"/>
      <c r="QN9" s="92"/>
      <c r="QO9" s="92"/>
      <c r="QP9" s="92"/>
      <c r="QQ9" s="92"/>
      <c r="QR9" s="92"/>
      <c r="QS9" s="92"/>
      <c r="QT9" s="92"/>
      <c r="QU9" s="92"/>
      <c r="QV9" s="92"/>
      <c r="QW9" s="92"/>
      <c r="QX9" s="92"/>
      <c r="QY9" s="92"/>
    </row>
    <row r="10" spans="1:467" ht="20.100000000000001" customHeight="1">
      <c r="A10" s="492"/>
      <c r="B10" s="518" t="s">
        <v>366</v>
      </c>
      <c r="C10" s="493">
        <f t="shared" si="4"/>
        <v>0</v>
      </c>
      <c r="D10" s="493">
        <f t="shared" si="5"/>
        <v>0</v>
      </c>
      <c r="E10" s="493">
        <f t="shared" si="1"/>
        <v>7.0719750089882986E-5</v>
      </c>
      <c r="F10" s="501">
        <f t="shared" si="6"/>
        <v>7.0719750089882986E-5</v>
      </c>
      <c r="G10" s="492"/>
      <c r="H10" s="493">
        <f t="shared" si="2"/>
        <v>0</v>
      </c>
      <c r="I10" s="492"/>
      <c r="J10" s="514"/>
      <c r="K10" s="522"/>
      <c r="L10" s="492"/>
      <c r="M10" s="492"/>
      <c r="N10" s="492"/>
      <c r="O10" s="492"/>
      <c r="P10" s="523"/>
      <c r="Q10" s="518"/>
      <c r="R10" s="599"/>
      <c r="S10" s="602" t="s">
        <v>311</v>
      </c>
      <c r="T10" s="389">
        <v>11799.869613499986</v>
      </c>
      <c r="U10" s="600">
        <f t="shared" si="3"/>
        <v>3.9818906734783027E-2</v>
      </c>
      <c r="V10" s="390">
        <v>0</v>
      </c>
      <c r="W10" s="629">
        <v>0</v>
      </c>
      <c r="AA10" s="606"/>
      <c r="AB10" s="600">
        <f t="shared" si="0"/>
        <v>0</v>
      </c>
      <c r="AC10" s="93"/>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2"/>
      <c r="HE10" s="92"/>
      <c r="HF10" s="92"/>
      <c r="HG10" s="92"/>
      <c r="HH10" s="92"/>
      <c r="HI10" s="92"/>
      <c r="HJ10" s="92"/>
      <c r="HK10" s="92"/>
      <c r="HL10" s="92"/>
      <c r="HM10" s="92"/>
      <c r="HN10" s="92"/>
      <c r="HO10" s="92"/>
      <c r="HP10" s="92"/>
      <c r="HQ10" s="92"/>
      <c r="HR10" s="92"/>
      <c r="HS10" s="92"/>
      <c r="HT10" s="92"/>
      <c r="HU10" s="92"/>
      <c r="HV10" s="92"/>
      <c r="HW10" s="92"/>
      <c r="HX10" s="92"/>
      <c r="HY10" s="92"/>
      <c r="HZ10" s="92"/>
      <c r="IA10" s="92"/>
      <c r="IB10" s="92"/>
      <c r="IC10" s="92"/>
      <c r="ID10" s="92"/>
      <c r="IE10" s="92"/>
      <c r="IF10" s="92"/>
      <c r="IG10" s="92"/>
      <c r="IH10" s="92"/>
      <c r="II10" s="92"/>
      <c r="IJ10" s="92"/>
      <c r="IK10" s="92"/>
      <c r="IL10" s="92"/>
      <c r="IM10" s="92"/>
      <c r="IN10" s="92"/>
      <c r="IO10" s="92"/>
      <c r="IP10" s="92"/>
      <c r="IQ10" s="92"/>
      <c r="IR10" s="92"/>
      <c r="IS10" s="92"/>
      <c r="IT10" s="92"/>
      <c r="IU10" s="92"/>
      <c r="IV10" s="92"/>
      <c r="IW10" s="92"/>
      <c r="IX10" s="92"/>
      <c r="IY10" s="92"/>
      <c r="IZ10" s="92"/>
      <c r="JA10" s="92"/>
      <c r="JB10" s="92"/>
      <c r="JC10" s="92"/>
      <c r="JD10" s="92"/>
      <c r="JE10" s="92"/>
      <c r="JF10" s="92"/>
      <c r="JG10" s="92"/>
      <c r="JH10" s="92"/>
      <c r="JI10" s="92"/>
      <c r="JJ10" s="92"/>
      <c r="JK10" s="92"/>
      <c r="JL10" s="92"/>
      <c r="JM10" s="92"/>
      <c r="JN10" s="92"/>
      <c r="JO10" s="92"/>
      <c r="JP10" s="92"/>
      <c r="JQ10" s="92"/>
      <c r="JR10" s="92"/>
      <c r="JS10" s="92"/>
      <c r="JT10" s="92"/>
      <c r="JU10" s="92"/>
      <c r="JV10" s="92"/>
      <c r="JW10" s="92"/>
      <c r="JX10" s="92"/>
      <c r="JY10" s="92"/>
      <c r="JZ10" s="92"/>
      <c r="KA10" s="92"/>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2"/>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2"/>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2"/>
      <c r="MY10" s="92"/>
      <c r="MZ10" s="92"/>
      <c r="NA10" s="92"/>
      <c r="NB10" s="92"/>
      <c r="NC10" s="92"/>
      <c r="ND10" s="92"/>
      <c r="NE10" s="92"/>
      <c r="NF10" s="92"/>
      <c r="NG10" s="92"/>
      <c r="NH10" s="92"/>
      <c r="NI10" s="92"/>
      <c r="NJ10" s="92"/>
      <c r="NK10" s="92"/>
      <c r="NL10" s="92"/>
      <c r="NM10" s="92"/>
      <c r="NN10" s="92"/>
      <c r="NO10" s="92"/>
      <c r="NP10" s="92"/>
      <c r="NQ10" s="92"/>
      <c r="NR10" s="92"/>
      <c r="NS10" s="92"/>
      <c r="NT10" s="92"/>
      <c r="NU10" s="92"/>
      <c r="NV10" s="92"/>
      <c r="NW10" s="92"/>
      <c r="NX10" s="92"/>
      <c r="NY10" s="92"/>
      <c r="NZ10" s="92"/>
      <c r="OA10" s="92"/>
      <c r="OB10" s="92"/>
      <c r="OC10" s="92"/>
      <c r="OD10" s="92"/>
      <c r="OE10" s="92"/>
      <c r="OF10" s="92"/>
      <c r="OG10" s="92"/>
      <c r="OH10" s="92"/>
      <c r="OI10" s="92"/>
      <c r="OJ10" s="92"/>
      <c r="OK10" s="92"/>
      <c r="OL10" s="92"/>
      <c r="OM10" s="92"/>
      <c r="ON10" s="92"/>
      <c r="OO10" s="92"/>
      <c r="OP10" s="92"/>
      <c r="OQ10" s="92"/>
      <c r="OR10" s="92"/>
      <c r="OS10" s="92"/>
      <c r="OT10" s="92"/>
      <c r="OU10" s="92"/>
      <c r="OV10" s="92"/>
      <c r="OW10" s="92"/>
      <c r="OX10" s="92"/>
      <c r="OY10" s="92"/>
      <c r="OZ10" s="92"/>
      <c r="PA10" s="92"/>
      <c r="PB10" s="92"/>
      <c r="PC10" s="92"/>
      <c r="PD10" s="92"/>
      <c r="PE10" s="92"/>
      <c r="PF10" s="92"/>
      <c r="PG10" s="92"/>
      <c r="PH10" s="92"/>
      <c r="PI10" s="92"/>
      <c r="PJ10" s="92"/>
      <c r="PK10" s="92"/>
      <c r="PL10" s="92"/>
      <c r="PM10" s="92"/>
      <c r="PN10" s="92"/>
      <c r="PO10" s="92"/>
      <c r="PP10" s="92"/>
      <c r="PQ10" s="92"/>
      <c r="PR10" s="92"/>
      <c r="PS10" s="92"/>
      <c r="PT10" s="92"/>
      <c r="PU10" s="92"/>
      <c r="PV10" s="92"/>
      <c r="PW10" s="92"/>
      <c r="PX10" s="92"/>
      <c r="PY10" s="92"/>
      <c r="PZ10" s="92"/>
      <c r="QA10" s="92"/>
      <c r="QB10" s="92"/>
      <c r="QC10" s="92"/>
      <c r="QD10" s="92"/>
      <c r="QE10" s="92"/>
      <c r="QF10" s="92"/>
      <c r="QG10" s="92"/>
      <c r="QH10" s="92"/>
      <c r="QI10" s="92"/>
      <c r="QJ10" s="92"/>
      <c r="QK10" s="92"/>
      <c r="QL10" s="92"/>
      <c r="QM10" s="92"/>
      <c r="QN10" s="92"/>
      <c r="QO10" s="92"/>
      <c r="QP10" s="92"/>
      <c r="QQ10" s="92"/>
      <c r="QR10" s="92"/>
      <c r="QS10" s="92"/>
      <c r="QT10" s="92"/>
      <c r="QU10" s="92"/>
      <c r="QV10" s="92"/>
      <c r="QW10" s="92"/>
      <c r="QX10" s="92"/>
      <c r="QY10" s="92"/>
    </row>
    <row r="11" spans="1:467" ht="20.100000000000001" customHeight="1">
      <c r="A11" s="492"/>
      <c r="B11" s="517" t="s">
        <v>187</v>
      </c>
      <c r="C11" s="493">
        <f t="shared" si="4"/>
        <v>0</v>
      </c>
      <c r="D11" s="493">
        <f t="shared" si="5"/>
        <v>0</v>
      </c>
      <c r="E11" s="493">
        <f t="shared" si="1"/>
        <v>1.454606009251479</v>
      </c>
      <c r="F11" s="501">
        <f t="shared" si="6"/>
        <v>1.454606009251479</v>
      </c>
      <c r="G11" s="492"/>
      <c r="H11" s="493">
        <f t="shared" si="2"/>
        <v>0</v>
      </c>
      <c r="I11" s="492"/>
      <c r="J11" s="514"/>
      <c r="K11" s="716" t="s">
        <v>418</v>
      </c>
      <c r="L11" s="496"/>
      <c r="M11" s="496"/>
      <c r="N11" s="496"/>
      <c r="O11" s="524"/>
      <c r="P11" s="523"/>
      <c r="Q11" s="518"/>
      <c r="R11" s="599"/>
      <c r="S11" s="602" t="s">
        <v>929</v>
      </c>
      <c r="T11" s="389">
        <v>35890.707609000005</v>
      </c>
      <c r="U11" s="600">
        <f t="shared" si="3"/>
        <v>0.12111394326705968</v>
      </c>
      <c r="V11" s="390">
        <v>0</v>
      </c>
      <c r="W11" s="629">
        <v>0</v>
      </c>
      <c r="AA11" s="605"/>
      <c r="AB11" s="600">
        <f t="shared" si="0"/>
        <v>0</v>
      </c>
      <c r="AC11" s="93"/>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c r="JD11" s="92"/>
      <c r="JE11" s="92"/>
      <c r="JF11" s="92"/>
      <c r="JG11" s="92"/>
      <c r="JH11" s="92"/>
      <c r="JI11" s="92"/>
      <c r="JJ11" s="92"/>
      <c r="JK11" s="92"/>
      <c r="JL11" s="92"/>
      <c r="JM11" s="92"/>
      <c r="JN11" s="92"/>
      <c r="JO11" s="92"/>
      <c r="JP11" s="92"/>
      <c r="JQ11" s="92"/>
      <c r="JR11" s="92"/>
      <c r="JS11" s="92"/>
      <c r="JT11" s="92"/>
      <c r="JU11" s="92"/>
      <c r="JV11" s="92"/>
      <c r="JW11" s="92"/>
      <c r="JX11" s="92"/>
      <c r="JY11" s="92"/>
      <c r="JZ11" s="92"/>
      <c r="KA11" s="92"/>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2"/>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2"/>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2"/>
      <c r="MY11" s="92"/>
      <c r="MZ11" s="92"/>
      <c r="NA11" s="92"/>
      <c r="NB11" s="92"/>
      <c r="NC11" s="92"/>
      <c r="ND11" s="92"/>
      <c r="NE11" s="92"/>
      <c r="NF11" s="92"/>
      <c r="NG11" s="92"/>
      <c r="NH11" s="92"/>
      <c r="NI11" s="92"/>
      <c r="NJ11" s="92"/>
      <c r="NK11" s="92"/>
      <c r="NL11" s="92"/>
      <c r="NM11" s="92"/>
      <c r="NN11" s="92"/>
      <c r="NO11" s="92"/>
      <c r="NP11" s="92"/>
      <c r="NQ11" s="92"/>
      <c r="NR11" s="92"/>
      <c r="NS11" s="92"/>
      <c r="NT11" s="92"/>
      <c r="NU11" s="92"/>
      <c r="NV11" s="92"/>
      <c r="NW11" s="92"/>
      <c r="NX11" s="92"/>
      <c r="NY11" s="92"/>
      <c r="NZ11" s="92"/>
      <c r="OA11" s="92"/>
      <c r="OB11" s="92"/>
      <c r="OC11" s="92"/>
      <c r="OD11" s="92"/>
      <c r="OE11" s="92"/>
      <c r="OF11" s="92"/>
      <c r="OG11" s="92"/>
      <c r="OH11" s="92"/>
      <c r="OI11" s="92"/>
      <c r="OJ11" s="92"/>
      <c r="OK11" s="92"/>
      <c r="OL11" s="92"/>
      <c r="OM11" s="92"/>
      <c r="ON11" s="92"/>
      <c r="OO11" s="92"/>
      <c r="OP11" s="92"/>
      <c r="OQ11" s="92"/>
      <c r="OR11" s="92"/>
      <c r="OS11" s="92"/>
      <c r="OT11" s="92"/>
      <c r="OU11" s="92"/>
      <c r="OV11" s="92"/>
      <c r="OW11" s="92"/>
      <c r="OX11" s="92"/>
      <c r="OY11" s="92"/>
      <c r="OZ11" s="92"/>
      <c r="PA11" s="92"/>
      <c r="PB11" s="92"/>
      <c r="PC11" s="92"/>
      <c r="PD11" s="92"/>
      <c r="PE11" s="92"/>
      <c r="PF11" s="92"/>
      <c r="PG11" s="92"/>
      <c r="PH11" s="92"/>
      <c r="PI11" s="92"/>
      <c r="PJ11" s="92"/>
      <c r="PK11" s="92"/>
      <c r="PL11" s="92"/>
      <c r="PM11" s="92"/>
      <c r="PN11" s="92"/>
      <c r="PO11" s="92"/>
      <c r="PP11" s="92"/>
      <c r="PQ11" s="92"/>
      <c r="PR11" s="92"/>
      <c r="PS11" s="92"/>
      <c r="PT11" s="92"/>
      <c r="PU11" s="92"/>
      <c r="PV11" s="92"/>
      <c r="PW11" s="92"/>
      <c r="PX11" s="92"/>
      <c r="PY11" s="92"/>
      <c r="PZ11" s="92"/>
      <c r="QA11" s="92"/>
      <c r="QB11" s="92"/>
      <c r="QC11" s="92"/>
      <c r="QD11" s="92"/>
      <c r="QE11" s="92"/>
      <c r="QF11" s="92"/>
      <c r="QG11" s="92"/>
      <c r="QH11" s="92"/>
      <c r="QI11" s="92"/>
      <c r="QJ11" s="92"/>
      <c r="QK11" s="92"/>
      <c r="QL11" s="92"/>
      <c r="QM11" s="92"/>
      <c r="QN11" s="92"/>
      <c r="QO11" s="92"/>
      <c r="QP11" s="92"/>
      <c r="QQ11" s="92"/>
      <c r="QR11" s="92"/>
      <c r="QS11" s="92"/>
      <c r="QT11" s="92"/>
      <c r="QU11" s="92"/>
      <c r="QV11" s="92"/>
      <c r="QW11" s="92"/>
      <c r="QX11" s="92"/>
      <c r="QY11" s="92"/>
    </row>
    <row r="12" spans="1:467" ht="20.100000000000001" customHeight="1">
      <c r="A12" s="492"/>
      <c r="B12" s="517" t="s">
        <v>222</v>
      </c>
      <c r="C12" s="624">
        <f>L5</f>
        <v>339.90100000000001</v>
      </c>
      <c r="D12" s="621">
        <v>0</v>
      </c>
      <c r="E12" s="493">
        <f t="shared" si="1"/>
        <v>4.4243572746439863</v>
      </c>
      <c r="F12" s="501">
        <f t="shared" si="6"/>
        <v>344.32535727464398</v>
      </c>
      <c r="G12" s="492"/>
      <c r="H12" s="493">
        <f t="shared" si="2"/>
        <v>0</v>
      </c>
      <c r="I12" s="492"/>
      <c r="J12" s="493"/>
      <c r="K12" s="717"/>
      <c r="L12" s="525">
        <f>'Step1-V1'!AA26</f>
        <v>81644.301000000007</v>
      </c>
      <c r="M12" s="525">
        <f>'Step1-V1'!AB26</f>
        <v>30179.153518082265</v>
      </c>
      <c r="N12" s="525">
        <f>'Step1-V1'!AC26</f>
        <v>1387.2729999999999</v>
      </c>
      <c r="O12" s="526">
        <f>SUM(L12:N12)</f>
        <v>113210.72751808228</v>
      </c>
      <c r="P12" s="527"/>
      <c r="Q12" s="528"/>
      <c r="R12" s="599"/>
      <c r="S12" s="602" t="s">
        <v>553</v>
      </c>
      <c r="T12" s="389">
        <v>153205.53724080071</v>
      </c>
      <c r="U12" s="600">
        <f t="shared" si="3"/>
        <v>0.51699528880084766</v>
      </c>
      <c r="V12" s="390">
        <f>T12</f>
        <v>153205.53724080071</v>
      </c>
      <c r="W12" s="629">
        <f>T12</f>
        <v>153205.53724080071</v>
      </c>
      <c r="AA12" s="605">
        <f>T12</f>
        <v>153205.53724080071</v>
      </c>
      <c r="AB12" s="600">
        <f t="shared" si="0"/>
        <v>0.73292012820740338</v>
      </c>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c r="JD12" s="92"/>
      <c r="JE12" s="92"/>
      <c r="JF12" s="92"/>
      <c r="JG12" s="92"/>
      <c r="JH12" s="92"/>
      <c r="JI12" s="92"/>
      <c r="JJ12" s="92"/>
      <c r="JK12" s="92"/>
      <c r="JL12" s="92"/>
      <c r="JM12" s="92"/>
      <c r="JN12" s="92"/>
      <c r="JO12" s="92"/>
      <c r="JP12" s="92"/>
      <c r="JQ12" s="92"/>
      <c r="JR12" s="92"/>
      <c r="JS12" s="92"/>
      <c r="JT12" s="92"/>
      <c r="JU12" s="92"/>
      <c r="JV12" s="92"/>
      <c r="JW12" s="92"/>
      <c r="JX12" s="92"/>
      <c r="JY12" s="92"/>
      <c r="JZ12" s="92"/>
      <c r="KA12" s="92"/>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2"/>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2"/>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2"/>
      <c r="MY12" s="92"/>
      <c r="MZ12" s="92"/>
      <c r="NA12" s="92"/>
      <c r="NB12" s="92"/>
      <c r="NC12" s="92"/>
      <c r="ND12" s="92"/>
      <c r="NE12" s="92"/>
      <c r="NF12" s="92"/>
      <c r="NG12" s="92"/>
      <c r="NH12" s="92"/>
      <c r="NI12" s="92"/>
      <c r="NJ12" s="92"/>
      <c r="NK12" s="92"/>
      <c r="NL12" s="92"/>
      <c r="NM12" s="92"/>
      <c r="NN12" s="92"/>
      <c r="NO12" s="92"/>
      <c r="NP12" s="92"/>
      <c r="NQ12" s="92"/>
      <c r="NR12" s="92"/>
      <c r="NS12" s="92"/>
      <c r="NT12" s="92"/>
      <c r="NU12" s="92"/>
      <c r="NV12" s="92"/>
      <c r="NW12" s="92"/>
      <c r="NX12" s="92"/>
      <c r="NY12" s="92"/>
      <c r="NZ12" s="92"/>
      <c r="OA12" s="92"/>
      <c r="OB12" s="92"/>
      <c r="OC12" s="92"/>
      <c r="OD12" s="92"/>
      <c r="OE12" s="92"/>
      <c r="OF12" s="92"/>
      <c r="OG12" s="92"/>
      <c r="OH12" s="92"/>
      <c r="OI12" s="92"/>
      <c r="OJ12" s="92"/>
      <c r="OK12" s="92"/>
      <c r="OL12" s="92"/>
      <c r="OM12" s="92"/>
      <c r="ON12" s="92"/>
      <c r="OO12" s="92"/>
      <c r="OP12" s="92"/>
      <c r="OQ12" s="92"/>
      <c r="OR12" s="92"/>
      <c r="OS12" s="92"/>
      <c r="OT12" s="92"/>
      <c r="OU12" s="92"/>
      <c r="OV12" s="92"/>
      <c r="OW12" s="92"/>
      <c r="OX12" s="92"/>
      <c r="OY12" s="92"/>
      <c r="OZ12" s="92"/>
      <c r="PA12" s="92"/>
      <c r="PB12" s="92"/>
      <c r="PC12" s="92"/>
      <c r="PD12" s="92"/>
      <c r="PE12" s="92"/>
      <c r="PF12" s="92"/>
      <c r="PG12" s="92"/>
      <c r="PH12" s="92"/>
      <c r="PI12" s="92"/>
      <c r="PJ12" s="92"/>
      <c r="PK12" s="92"/>
      <c r="PL12" s="92"/>
      <c r="PM12" s="92"/>
      <c r="PN12" s="92"/>
      <c r="PO12" s="92"/>
      <c r="PP12" s="92"/>
      <c r="PQ12" s="92"/>
      <c r="PR12" s="92"/>
      <c r="PS12" s="92"/>
      <c r="PT12" s="92"/>
      <c r="PU12" s="92"/>
      <c r="PV12" s="92"/>
      <c r="PW12" s="92"/>
      <c r="PX12" s="92"/>
      <c r="PY12" s="92"/>
      <c r="PZ12" s="92"/>
      <c r="QA12" s="92"/>
      <c r="QB12" s="92"/>
      <c r="QC12" s="92"/>
      <c r="QD12" s="92"/>
      <c r="QE12" s="92"/>
      <c r="QF12" s="92"/>
      <c r="QG12" s="92"/>
      <c r="QH12" s="92"/>
      <c r="QI12" s="92"/>
      <c r="QJ12" s="92"/>
      <c r="QK12" s="92"/>
      <c r="QL12" s="92"/>
      <c r="QM12" s="92"/>
      <c r="QN12" s="92"/>
      <c r="QO12" s="92"/>
      <c r="QP12" s="92"/>
      <c r="QQ12" s="92"/>
      <c r="QR12" s="92"/>
      <c r="QS12" s="92"/>
      <c r="QT12" s="92"/>
      <c r="QU12" s="92"/>
      <c r="QV12" s="92"/>
      <c r="QW12" s="92"/>
      <c r="QX12" s="92"/>
      <c r="QY12" s="92"/>
    </row>
    <row r="13" spans="1:467" ht="20.100000000000001" customHeight="1">
      <c r="A13" s="492"/>
      <c r="B13" s="529" t="s">
        <v>224</v>
      </c>
      <c r="C13" s="493">
        <f>$L$6*V12/$V$15</f>
        <v>361.71133899901304</v>
      </c>
      <c r="D13" s="493">
        <f>$M$4*W12/$W$15</f>
        <v>1274.2826437984406</v>
      </c>
      <c r="E13" s="493">
        <f t="shared" si="1"/>
        <v>18.886115052161905</v>
      </c>
      <c r="F13" s="501">
        <f t="shared" si="6"/>
        <v>1654.8800978496154</v>
      </c>
      <c r="G13" s="492"/>
      <c r="H13" s="493">
        <f t="shared" si="2"/>
        <v>0</v>
      </c>
      <c r="I13" s="492"/>
      <c r="J13" s="493"/>
      <c r="K13" s="530"/>
      <c r="L13" s="531"/>
      <c r="M13" s="531"/>
      <c r="N13" s="531"/>
      <c r="O13" s="532"/>
      <c r="P13" s="532"/>
      <c r="Q13" s="528"/>
      <c r="R13" s="599"/>
      <c r="S13" s="602" t="s">
        <v>322</v>
      </c>
      <c r="T13" s="389">
        <v>2226.4822350999998</v>
      </c>
      <c r="U13" s="600">
        <f t="shared" si="3"/>
        <v>7.5133108559664562E-3</v>
      </c>
      <c r="V13" s="390">
        <f>T13</f>
        <v>2226.4822350999998</v>
      </c>
      <c r="W13" s="629">
        <v>0</v>
      </c>
      <c r="AA13" s="605">
        <f>T13</f>
        <v>2226.4822350999998</v>
      </c>
      <c r="AB13" s="600">
        <f t="shared" si="0"/>
        <v>1.0651270669389477E-2</v>
      </c>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c r="IV13" s="92"/>
      <c r="IW13" s="92"/>
      <c r="IX13" s="92"/>
      <c r="IY13" s="92"/>
      <c r="IZ13" s="92"/>
      <c r="JA13" s="92"/>
      <c r="JB13" s="92"/>
      <c r="JC13" s="92"/>
      <c r="JD13" s="92"/>
      <c r="JE13" s="92"/>
      <c r="JF13" s="92"/>
      <c r="JG13" s="92"/>
      <c r="JH13" s="92"/>
      <c r="JI13" s="92"/>
      <c r="JJ13" s="92"/>
      <c r="JK13" s="92"/>
      <c r="JL13" s="92"/>
      <c r="JM13" s="92"/>
      <c r="JN13" s="92"/>
      <c r="JO13" s="92"/>
      <c r="JP13" s="92"/>
      <c r="JQ13" s="92"/>
      <c r="JR13" s="92"/>
      <c r="JS13" s="92"/>
      <c r="JT13" s="92"/>
      <c r="JU13" s="92"/>
      <c r="JV13" s="92"/>
      <c r="JW13" s="92"/>
      <c r="JX13" s="92"/>
      <c r="JY13" s="92"/>
      <c r="JZ13" s="92"/>
      <c r="KA13" s="92"/>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2"/>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2"/>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2"/>
      <c r="MY13" s="92"/>
      <c r="MZ13" s="92"/>
      <c r="NA13" s="92"/>
      <c r="NB13" s="92"/>
      <c r="NC13" s="92"/>
      <c r="ND13" s="92"/>
      <c r="NE13" s="92"/>
      <c r="NF13" s="92"/>
      <c r="NG13" s="92"/>
      <c r="NH13" s="92"/>
      <c r="NI13" s="92"/>
      <c r="NJ13" s="92"/>
      <c r="NK13" s="92"/>
      <c r="NL13" s="92"/>
      <c r="NM13" s="92"/>
      <c r="NN13" s="92"/>
      <c r="NO13" s="92"/>
      <c r="NP13" s="92"/>
      <c r="NQ13" s="92"/>
      <c r="NR13" s="92"/>
      <c r="NS13" s="92"/>
      <c r="NT13" s="92"/>
      <c r="NU13" s="92"/>
      <c r="NV13" s="92"/>
      <c r="NW13" s="92"/>
      <c r="NX13" s="92"/>
      <c r="NY13" s="92"/>
      <c r="NZ13" s="92"/>
      <c r="OA13" s="92"/>
      <c r="OB13" s="92"/>
      <c r="OC13" s="92"/>
      <c r="OD13" s="92"/>
      <c r="OE13" s="92"/>
      <c r="OF13" s="92"/>
      <c r="OG13" s="92"/>
      <c r="OH13" s="92"/>
      <c r="OI13" s="92"/>
      <c r="OJ13" s="92"/>
      <c r="OK13" s="92"/>
      <c r="OL13" s="92"/>
      <c r="OM13" s="92"/>
      <c r="ON13" s="92"/>
      <c r="OO13" s="92"/>
      <c r="OP13" s="92"/>
      <c r="OQ13" s="92"/>
      <c r="OR13" s="92"/>
      <c r="OS13" s="92"/>
      <c r="OT13" s="92"/>
      <c r="OU13" s="92"/>
      <c r="OV13" s="92"/>
      <c r="OW13" s="92"/>
      <c r="OX13" s="92"/>
      <c r="OY13" s="92"/>
      <c r="OZ13" s="92"/>
      <c r="PA13" s="92"/>
      <c r="PB13" s="92"/>
      <c r="PC13" s="92"/>
      <c r="PD13" s="92"/>
      <c r="PE13" s="92"/>
      <c r="PF13" s="92"/>
      <c r="PG13" s="92"/>
      <c r="PH13" s="92"/>
      <c r="PI13" s="92"/>
      <c r="PJ13" s="92"/>
      <c r="PK13" s="92"/>
      <c r="PL13" s="92"/>
      <c r="PM13" s="92"/>
      <c r="PN13" s="92"/>
      <c r="PO13" s="92"/>
      <c r="PP13" s="92"/>
      <c r="PQ13" s="92"/>
      <c r="PR13" s="92"/>
      <c r="PS13" s="92"/>
      <c r="PT13" s="92"/>
      <c r="PU13" s="92"/>
      <c r="PV13" s="92"/>
      <c r="PW13" s="92"/>
      <c r="PX13" s="92"/>
      <c r="PY13" s="92"/>
      <c r="PZ13" s="92"/>
      <c r="QA13" s="92"/>
      <c r="QB13" s="92"/>
      <c r="QC13" s="92"/>
      <c r="QD13" s="92"/>
      <c r="QE13" s="92"/>
      <c r="QF13" s="92"/>
      <c r="QG13" s="92"/>
      <c r="QH13" s="92"/>
      <c r="QI13" s="92"/>
      <c r="QJ13" s="92"/>
      <c r="QK13" s="92"/>
      <c r="QL13" s="92"/>
      <c r="QM13" s="92"/>
      <c r="QN13" s="92"/>
      <c r="QO13" s="92"/>
      <c r="QP13" s="92"/>
      <c r="QQ13" s="92"/>
      <c r="QR13" s="92"/>
      <c r="QS13" s="92"/>
      <c r="QT13" s="92"/>
      <c r="QU13" s="92"/>
      <c r="QV13" s="92"/>
      <c r="QW13" s="92"/>
      <c r="QX13" s="92"/>
      <c r="QY13" s="92"/>
    </row>
    <row r="14" spans="1:467" ht="20.100000000000001" customHeight="1">
      <c r="A14" s="492"/>
      <c r="B14" s="529" t="s">
        <v>223</v>
      </c>
      <c r="C14" s="493">
        <f>$L$6*V13/$V$15</f>
        <v>5.2566237814873338</v>
      </c>
      <c r="D14" s="628">
        <f>$M$4*W13/$W$15</f>
        <v>0</v>
      </c>
      <c r="E14" s="493">
        <f t="shared" si="1"/>
        <v>0.27446527332495663</v>
      </c>
      <c r="F14" s="501">
        <f t="shared" si="6"/>
        <v>5.5310890548122904</v>
      </c>
      <c r="G14" s="492"/>
      <c r="H14" s="493">
        <f t="shared" si="2"/>
        <v>0</v>
      </c>
      <c r="I14" s="492"/>
      <c r="J14" s="493"/>
      <c r="K14" s="492"/>
      <c r="L14" s="492"/>
      <c r="M14" s="492"/>
      <c r="N14" s="492"/>
      <c r="O14" s="492"/>
      <c r="P14" s="492"/>
      <c r="Q14" s="496"/>
      <c r="R14" s="599"/>
      <c r="S14" s="602" t="s">
        <v>554</v>
      </c>
      <c r="T14" s="389">
        <v>51376.688963899986</v>
      </c>
      <c r="U14" s="600">
        <f t="shared" si="3"/>
        <v>0.17337171114628033</v>
      </c>
      <c r="V14" s="390">
        <f>T14</f>
        <v>51376.688963899986</v>
      </c>
      <c r="W14" s="629">
        <v>0</v>
      </c>
      <c r="AA14" s="605">
        <f>T14</f>
        <v>51376.688963899986</v>
      </c>
      <c r="AB14" s="600">
        <f t="shared" si="0"/>
        <v>0.24578099552047669</v>
      </c>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c r="JD14" s="92"/>
      <c r="JE14" s="92"/>
      <c r="JF14" s="92"/>
      <c r="JG14" s="92"/>
      <c r="JH14" s="92"/>
      <c r="JI14" s="92"/>
      <c r="JJ14" s="92"/>
      <c r="JK14" s="92"/>
      <c r="JL14" s="92"/>
      <c r="JM14" s="92"/>
      <c r="JN14" s="92"/>
      <c r="JO14" s="92"/>
      <c r="JP14" s="92"/>
      <c r="JQ14" s="92"/>
      <c r="JR14" s="92"/>
      <c r="JS14" s="92"/>
      <c r="JT14" s="92"/>
      <c r="JU14" s="92"/>
      <c r="JV14" s="92"/>
      <c r="JW14" s="92"/>
      <c r="JX14" s="92"/>
      <c r="JY14" s="92"/>
      <c r="JZ14" s="92"/>
      <c r="KA14" s="92"/>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2"/>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2"/>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2"/>
      <c r="MY14" s="92"/>
      <c r="MZ14" s="92"/>
      <c r="NA14" s="92"/>
      <c r="NB14" s="92"/>
      <c r="NC14" s="92"/>
      <c r="ND14" s="92"/>
      <c r="NE14" s="92"/>
      <c r="NF14" s="92"/>
      <c r="NG14" s="92"/>
      <c r="NH14" s="92"/>
      <c r="NI14" s="92"/>
      <c r="NJ14" s="92"/>
      <c r="NK14" s="92"/>
      <c r="NL14" s="92"/>
      <c r="NM14" s="92"/>
      <c r="NN14" s="92"/>
      <c r="NO14" s="92"/>
      <c r="NP14" s="92"/>
      <c r="NQ14" s="92"/>
      <c r="NR14" s="92"/>
      <c r="NS14" s="92"/>
      <c r="NT14" s="92"/>
      <c r="NU14" s="92"/>
      <c r="NV14" s="92"/>
      <c r="NW14" s="92"/>
      <c r="NX14" s="92"/>
      <c r="NY14" s="92"/>
      <c r="NZ14" s="92"/>
      <c r="OA14" s="92"/>
      <c r="OB14" s="92"/>
      <c r="OC14" s="92"/>
      <c r="OD14" s="92"/>
      <c r="OE14" s="92"/>
      <c r="OF14" s="92"/>
      <c r="OG14" s="92"/>
      <c r="OH14" s="92"/>
      <c r="OI14" s="92"/>
      <c r="OJ14" s="92"/>
      <c r="OK14" s="92"/>
      <c r="OL14" s="92"/>
      <c r="OM14" s="92"/>
      <c r="ON14" s="92"/>
      <c r="OO14" s="92"/>
      <c r="OP14" s="92"/>
      <c r="OQ14" s="92"/>
      <c r="OR14" s="92"/>
      <c r="OS14" s="92"/>
      <c r="OT14" s="92"/>
      <c r="OU14" s="92"/>
      <c r="OV14" s="92"/>
      <c r="OW14" s="92"/>
      <c r="OX14" s="92"/>
      <c r="OY14" s="92"/>
      <c r="OZ14" s="92"/>
      <c r="PA14" s="92"/>
      <c r="PB14" s="92"/>
      <c r="PC14" s="92"/>
      <c r="PD14" s="92"/>
      <c r="PE14" s="92"/>
      <c r="PF14" s="92"/>
      <c r="PG14" s="92"/>
      <c r="PH14" s="92"/>
      <c r="PI14" s="92"/>
      <c r="PJ14" s="92"/>
      <c r="PK14" s="92"/>
      <c r="PL14" s="92"/>
      <c r="PM14" s="92"/>
      <c r="PN14" s="92"/>
      <c r="PO14" s="92"/>
      <c r="PP14" s="92"/>
      <c r="PQ14" s="92"/>
      <c r="PR14" s="92"/>
      <c r="PS14" s="92"/>
      <c r="PT14" s="92"/>
      <c r="PU14" s="92"/>
      <c r="PV14" s="92"/>
      <c r="PW14" s="92"/>
      <c r="PX14" s="92"/>
      <c r="PY14" s="92"/>
      <c r="PZ14" s="92"/>
      <c r="QA14" s="92"/>
      <c r="QB14" s="92"/>
      <c r="QC14" s="92"/>
      <c r="QD14" s="92"/>
      <c r="QE14" s="92"/>
      <c r="QF14" s="92"/>
      <c r="QG14" s="92"/>
      <c r="QH14" s="92"/>
      <c r="QI14" s="92"/>
      <c r="QJ14" s="92"/>
      <c r="QK14" s="92"/>
      <c r="QL14" s="92"/>
      <c r="QM14" s="92"/>
      <c r="QN14" s="92"/>
      <c r="QO14" s="92"/>
      <c r="QP14" s="92"/>
      <c r="QQ14" s="92"/>
      <c r="QR14" s="92"/>
      <c r="QS14" s="92"/>
      <c r="QT14" s="92"/>
      <c r="QU14" s="92"/>
      <c r="QV14" s="92"/>
      <c r="QW14" s="92"/>
      <c r="QX14" s="92"/>
      <c r="QY14" s="92"/>
    </row>
    <row r="15" spans="1:467" ht="20.100000000000001" customHeight="1">
      <c r="A15" s="492"/>
      <c r="B15" s="517" t="s">
        <v>221</v>
      </c>
      <c r="C15" s="493">
        <f t="shared" ref="C15" si="7">$L$6*V14/$V$15</f>
        <v>121.29803721949962</v>
      </c>
      <c r="D15" s="628">
        <f t="shared" ref="D15" si="8">$M$4*W14/$W$15</f>
        <v>0</v>
      </c>
      <c r="E15" s="493">
        <f t="shared" si="1"/>
        <v>6.3333615497609204</v>
      </c>
      <c r="F15" s="501">
        <f t="shared" si="6"/>
        <v>127.63139876926054</v>
      </c>
      <c r="G15" s="492"/>
      <c r="H15" s="493">
        <f t="shared" si="2"/>
        <v>0</v>
      </c>
      <c r="I15" s="492"/>
      <c r="J15" s="493"/>
      <c r="K15" s="492"/>
      <c r="L15" s="492"/>
      <c r="M15" s="492"/>
      <c r="N15" s="492"/>
      <c r="O15" s="492"/>
      <c r="P15" s="492"/>
      <c r="Q15" s="532"/>
      <c r="R15" s="599"/>
      <c r="S15" s="604" t="s">
        <v>7</v>
      </c>
      <c r="T15" s="537">
        <f>SUM(T3:T14)</f>
        <v>296338.36237880535</v>
      </c>
      <c r="U15" s="537">
        <f>SUM(U3:U14)</f>
        <v>1</v>
      </c>
      <c r="V15" s="569">
        <f>SUM(V3:V14)</f>
        <v>206808.70843980071</v>
      </c>
      <c r="W15" s="537">
        <f>SUM(W3:W14)</f>
        <v>156741.14986773071</v>
      </c>
      <c r="AA15" s="537">
        <f>SUM(AA3:AA14)</f>
        <v>209034.42454980069</v>
      </c>
      <c r="AB15" s="537">
        <f>SUM(AB3:AB14)</f>
        <v>1</v>
      </c>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c r="IX15" s="92"/>
      <c r="IY15" s="92"/>
      <c r="IZ15" s="92"/>
      <c r="JA15" s="92"/>
      <c r="JB15" s="92"/>
      <c r="JC15" s="92"/>
      <c r="JD15" s="92"/>
      <c r="JE15" s="92"/>
      <c r="JF15" s="92"/>
      <c r="JG15" s="92"/>
      <c r="JH15" s="92"/>
      <c r="JI15" s="92"/>
      <c r="JJ15" s="92"/>
      <c r="JK15" s="92"/>
      <c r="JL15" s="92"/>
      <c r="JM15" s="92"/>
      <c r="JN15" s="92"/>
      <c r="JO15" s="92"/>
      <c r="JP15" s="92"/>
      <c r="JQ15" s="92"/>
      <c r="JR15" s="92"/>
      <c r="JS15" s="92"/>
      <c r="JT15" s="92"/>
      <c r="JU15" s="92"/>
      <c r="JV15" s="92"/>
      <c r="JW15" s="92"/>
      <c r="JX15" s="92"/>
      <c r="JY15" s="92"/>
      <c r="JZ15" s="92"/>
      <c r="KA15" s="92"/>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2"/>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2"/>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2"/>
      <c r="MY15" s="92"/>
      <c r="MZ15" s="92"/>
      <c r="NA15" s="92"/>
      <c r="NB15" s="92"/>
      <c r="NC15" s="92"/>
      <c r="ND15" s="92"/>
      <c r="NE15" s="92"/>
      <c r="NF15" s="92"/>
      <c r="NG15" s="92"/>
      <c r="NH15" s="92"/>
      <c r="NI15" s="92"/>
      <c r="NJ15" s="92"/>
      <c r="NK15" s="92"/>
      <c r="NL15" s="92"/>
      <c r="NM15" s="92"/>
      <c r="NN15" s="92"/>
      <c r="NO15" s="92"/>
      <c r="NP15" s="92"/>
      <c r="NQ15" s="92"/>
      <c r="NR15" s="92"/>
      <c r="NS15" s="92"/>
      <c r="NT15" s="92"/>
      <c r="NU15" s="92"/>
      <c r="NV15" s="92"/>
      <c r="NW15" s="92"/>
      <c r="NX15" s="92"/>
      <c r="NY15" s="92"/>
      <c r="NZ15" s="92"/>
      <c r="OA15" s="92"/>
      <c r="OB15" s="92"/>
      <c r="OC15" s="92"/>
      <c r="OD15" s="92"/>
      <c r="OE15" s="92"/>
      <c r="OF15" s="92"/>
      <c r="OG15" s="92"/>
      <c r="OH15" s="92"/>
      <c r="OI15" s="92"/>
      <c r="OJ15" s="92"/>
      <c r="OK15" s="92"/>
      <c r="OL15" s="92"/>
      <c r="OM15" s="92"/>
      <c r="ON15" s="92"/>
      <c r="OO15" s="92"/>
      <c r="OP15" s="92"/>
      <c r="OQ15" s="92"/>
      <c r="OR15" s="92"/>
      <c r="OS15" s="92"/>
      <c r="OT15" s="92"/>
      <c r="OU15" s="92"/>
      <c r="OV15" s="92"/>
      <c r="OW15" s="92"/>
      <c r="OX15" s="92"/>
      <c r="OY15" s="92"/>
      <c r="OZ15" s="92"/>
      <c r="PA15" s="92"/>
      <c r="PB15" s="92"/>
      <c r="PC15" s="92"/>
      <c r="PD15" s="92"/>
      <c r="PE15" s="92"/>
      <c r="PF15" s="92"/>
      <c r="PG15" s="92"/>
      <c r="PH15" s="92"/>
      <c r="PI15" s="92"/>
      <c r="PJ15" s="92"/>
      <c r="PK15" s="92"/>
      <c r="PL15" s="92"/>
      <c r="PM15" s="92"/>
      <c r="PN15" s="92"/>
      <c r="PO15" s="92"/>
      <c r="PP15" s="92"/>
      <c r="PQ15" s="92"/>
      <c r="PR15" s="92"/>
      <c r="PS15" s="92"/>
      <c r="PT15" s="92"/>
      <c r="PU15" s="92"/>
      <c r="PV15" s="92"/>
      <c r="PW15" s="92"/>
      <c r="PX15" s="92"/>
      <c r="PY15" s="92"/>
      <c r="PZ15" s="92"/>
      <c r="QA15" s="92"/>
      <c r="QB15" s="92"/>
      <c r="QC15" s="92"/>
      <c r="QD15" s="92"/>
      <c r="QE15" s="92"/>
      <c r="QF15" s="92"/>
      <c r="QG15" s="92"/>
      <c r="QH15" s="92"/>
      <c r="QI15" s="92"/>
      <c r="QJ15" s="92"/>
      <c r="QK15" s="92"/>
      <c r="QL15" s="92"/>
      <c r="QM15" s="92"/>
      <c r="QN15" s="92"/>
      <c r="QO15" s="92"/>
      <c r="QP15" s="92"/>
      <c r="QQ15" s="92"/>
      <c r="QR15" s="92"/>
      <c r="QS15" s="92"/>
      <c r="QT15" s="92"/>
      <c r="QU15" s="92"/>
      <c r="QV15" s="92"/>
      <c r="QW15" s="92"/>
      <c r="QX15" s="92"/>
      <c r="QY15" s="92"/>
    </row>
    <row r="16" spans="1:467" ht="20.100000000000001" customHeight="1">
      <c r="A16" s="492"/>
      <c r="B16" s="495" t="s">
        <v>7</v>
      </c>
      <c r="C16" s="533">
        <f>SUM(C4:C15)</f>
        <v>828.16699999999992</v>
      </c>
      <c r="D16" s="533">
        <f>SUM(D4:D15)</f>
        <v>1303.69</v>
      </c>
      <c r="E16" s="533">
        <f t="shared" ref="E16" si="9">SUM(E4:E15)</f>
        <v>36.530536082770865</v>
      </c>
      <c r="F16" s="501">
        <f t="shared" si="6"/>
        <v>2168.387536082771</v>
      </c>
      <c r="G16" s="492"/>
      <c r="H16" s="533">
        <f>SUM(H4:H15)</f>
        <v>60.542000000000002</v>
      </c>
      <c r="J16" s="493"/>
      <c r="K16" s="500"/>
      <c r="L16" s="500"/>
      <c r="M16" s="500"/>
      <c r="N16" s="500"/>
      <c r="O16" s="513"/>
      <c r="P16" s="518"/>
      <c r="Q16" s="518"/>
      <c r="R16" s="517"/>
      <c r="S16" s="517"/>
      <c r="T16" s="529"/>
      <c r="U16" s="529"/>
      <c r="V16" s="111"/>
      <c r="W16" s="111"/>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c r="IX16" s="92"/>
      <c r="IY16" s="92"/>
      <c r="IZ16" s="92"/>
      <c r="JA16" s="92"/>
      <c r="JB16" s="92"/>
      <c r="JC16" s="92"/>
      <c r="JD16" s="92"/>
      <c r="JE16" s="92"/>
      <c r="JF16" s="92"/>
      <c r="JG16" s="92"/>
      <c r="JH16" s="92"/>
      <c r="JI16" s="92"/>
      <c r="JJ16" s="92"/>
      <c r="JK16" s="92"/>
      <c r="JL16" s="92"/>
      <c r="JM16" s="92"/>
      <c r="JN16" s="92"/>
      <c r="JO16" s="92"/>
      <c r="JP16" s="92"/>
      <c r="JQ16" s="92"/>
      <c r="JR16" s="92"/>
      <c r="JS16" s="92"/>
      <c r="JT16" s="92"/>
      <c r="JU16" s="92"/>
      <c r="JV16" s="92"/>
      <c r="JW16" s="92"/>
      <c r="JX16" s="92"/>
      <c r="JY16" s="92"/>
      <c r="JZ16" s="92"/>
      <c r="KA16" s="92"/>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2"/>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2"/>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2"/>
      <c r="MY16" s="92"/>
      <c r="MZ16" s="92"/>
      <c r="NA16" s="92"/>
      <c r="NB16" s="92"/>
      <c r="NC16" s="92"/>
      <c r="ND16" s="92"/>
      <c r="NE16" s="92"/>
      <c r="NF16" s="92"/>
      <c r="NG16" s="92"/>
      <c r="NH16" s="92"/>
      <c r="NI16" s="92"/>
      <c r="NJ16" s="92"/>
      <c r="NK16" s="92"/>
      <c r="NL16" s="92"/>
      <c r="NM16" s="92"/>
      <c r="NN16" s="92"/>
      <c r="NO16" s="92"/>
      <c r="NP16" s="92"/>
      <c r="NQ16" s="92"/>
      <c r="NR16" s="92"/>
      <c r="NS16" s="92"/>
      <c r="NT16" s="92"/>
      <c r="NU16" s="92"/>
      <c r="NV16" s="92"/>
      <c r="NW16" s="92"/>
      <c r="NX16" s="92"/>
      <c r="NY16" s="92"/>
      <c r="NZ16" s="92"/>
      <c r="OA16" s="92"/>
      <c r="OB16" s="92"/>
      <c r="OC16" s="92"/>
      <c r="OD16" s="92"/>
      <c r="OE16" s="92"/>
      <c r="OF16" s="92"/>
      <c r="OG16" s="92"/>
      <c r="OH16" s="92"/>
      <c r="OI16" s="92"/>
      <c r="OJ16" s="92"/>
      <c r="OK16" s="92"/>
      <c r="OL16" s="92"/>
      <c r="OM16" s="92"/>
      <c r="ON16" s="92"/>
      <c r="OO16" s="92"/>
      <c r="OP16" s="92"/>
      <c r="OQ16" s="92"/>
      <c r="OR16" s="92"/>
      <c r="OS16" s="92"/>
      <c r="OT16" s="92"/>
      <c r="OU16" s="92"/>
      <c r="OV16" s="92"/>
      <c r="OW16" s="92"/>
      <c r="OX16" s="92"/>
      <c r="OY16" s="92"/>
      <c r="OZ16" s="92"/>
      <c r="PA16" s="92"/>
      <c r="PB16" s="92"/>
      <c r="PC16" s="92"/>
      <c r="PD16" s="92"/>
      <c r="PE16" s="92"/>
      <c r="PF16" s="92"/>
      <c r="PG16" s="92"/>
      <c r="PH16" s="92"/>
      <c r="PI16" s="92"/>
      <c r="PJ16" s="92"/>
      <c r="PK16" s="92"/>
      <c r="PL16" s="92"/>
      <c r="PM16" s="92"/>
      <c r="PN16" s="92"/>
      <c r="PO16" s="92"/>
      <c r="PP16" s="92"/>
      <c r="PQ16" s="92"/>
      <c r="PR16" s="92"/>
      <c r="PS16" s="92"/>
      <c r="PT16" s="92"/>
      <c r="PU16" s="92"/>
      <c r="PV16" s="92"/>
      <c r="PW16" s="92"/>
      <c r="PX16" s="92"/>
      <c r="PY16" s="92"/>
      <c r="PZ16" s="92"/>
      <c r="QA16" s="92"/>
      <c r="QB16" s="92"/>
      <c r="QC16" s="92"/>
      <c r="QD16" s="92"/>
      <c r="QE16" s="92"/>
      <c r="QF16" s="92"/>
      <c r="QG16" s="92"/>
      <c r="QH16" s="92"/>
      <c r="QI16" s="92"/>
      <c r="QJ16" s="92"/>
      <c r="QK16" s="92"/>
      <c r="QL16" s="92"/>
      <c r="QM16" s="92"/>
      <c r="QN16" s="92"/>
      <c r="QO16" s="92"/>
      <c r="QP16" s="92"/>
      <c r="QQ16" s="92"/>
      <c r="QR16" s="92"/>
      <c r="QS16" s="92"/>
      <c r="QT16" s="92"/>
      <c r="QU16" s="92"/>
      <c r="QV16" s="92"/>
      <c r="QW16" s="92"/>
      <c r="QX16" s="92"/>
      <c r="QY16" s="92"/>
    </row>
    <row r="17" spans="1:467" ht="20.100000000000001" customHeight="1">
      <c r="A17" s="492"/>
      <c r="B17" s="492"/>
      <c r="C17" s="492"/>
      <c r="D17" s="493"/>
      <c r="E17" s="493"/>
      <c r="F17" s="493"/>
      <c r="G17" s="493"/>
      <c r="H17" s="493"/>
      <c r="I17" s="493"/>
      <c r="J17" s="493"/>
      <c r="K17" s="715" t="s">
        <v>749</v>
      </c>
      <c r="L17" s="715"/>
      <c r="M17" s="715"/>
      <c r="N17" s="715"/>
      <c r="O17" s="715"/>
      <c r="P17" s="715"/>
      <c r="Q17" s="715"/>
      <c r="R17" s="715"/>
      <c r="S17" s="715"/>
      <c r="T17" s="715"/>
      <c r="U17" s="607"/>
      <c r="V17" s="608"/>
      <c r="W17" s="609" t="s">
        <v>750</v>
      </c>
      <c r="X17" s="608"/>
      <c r="Y17" s="608"/>
      <c r="Z17" s="608"/>
      <c r="AA17" s="608"/>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c r="IX17" s="92"/>
      <c r="IY17" s="92"/>
      <c r="IZ17" s="92"/>
      <c r="JA17" s="92"/>
      <c r="JB17" s="92"/>
      <c r="JC17" s="92"/>
      <c r="JD17" s="92"/>
      <c r="JE17" s="92"/>
      <c r="JF17" s="92"/>
      <c r="JG17" s="92"/>
      <c r="JH17" s="92"/>
      <c r="JI17" s="92"/>
      <c r="JJ17" s="92"/>
      <c r="JK17" s="92"/>
      <c r="JL17" s="92"/>
      <c r="JM17" s="92"/>
      <c r="JN17" s="92"/>
      <c r="JO17" s="92"/>
      <c r="JP17" s="92"/>
      <c r="JQ17" s="92"/>
      <c r="JR17" s="92"/>
      <c r="JS17" s="92"/>
      <c r="JT17" s="92"/>
      <c r="JU17" s="92"/>
      <c r="JV17" s="92"/>
      <c r="JW17" s="92"/>
      <c r="JX17" s="92"/>
      <c r="JY17" s="92"/>
      <c r="JZ17" s="92"/>
      <c r="KA17" s="92"/>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2"/>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2"/>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2"/>
      <c r="MY17" s="92"/>
      <c r="MZ17" s="92"/>
      <c r="NA17" s="92"/>
      <c r="NB17" s="92"/>
      <c r="NC17" s="92"/>
      <c r="ND17" s="92"/>
      <c r="NE17" s="92"/>
      <c r="NF17" s="92"/>
      <c r="NG17" s="92"/>
      <c r="NH17" s="92"/>
      <c r="NI17" s="92"/>
      <c r="NJ17" s="92"/>
      <c r="NK17" s="92"/>
      <c r="NL17" s="92"/>
      <c r="NM17" s="92"/>
      <c r="NN17" s="92"/>
      <c r="NO17" s="92"/>
      <c r="NP17" s="92"/>
      <c r="NQ17" s="92"/>
      <c r="NR17" s="92"/>
      <c r="NS17" s="92"/>
      <c r="NT17" s="92"/>
      <c r="NU17" s="92"/>
      <c r="NV17" s="92"/>
      <c r="NW17" s="92"/>
      <c r="NX17" s="92"/>
      <c r="NY17" s="92"/>
      <c r="NZ17" s="92"/>
      <c r="OA17" s="92"/>
      <c r="OB17" s="92"/>
      <c r="OC17" s="92"/>
      <c r="OD17" s="92"/>
      <c r="OE17" s="92"/>
      <c r="OF17" s="92"/>
      <c r="OG17" s="92"/>
      <c r="OH17" s="92"/>
      <c r="OI17" s="92"/>
      <c r="OJ17" s="92"/>
      <c r="OK17" s="92"/>
      <c r="OL17" s="92"/>
      <c r="OM17" s="92"/>
      <c r="ON17" s="92"/>
      <c r="OO17" s="92"/>
      <c r="OP17" s="92"/>
      <c r="OQ17" s="92"/>
      <c r="OR17" s="92"/>
      <c r="OS17" s="92"/>
      <c r="OT17" s="92"/>
      <c r="OU17" s="92"/>
      <c r="OV17" s="92"/>
      <c r="OW17" s="92"/>
      <c r="OX17" s="92"/>
      <c r="OY17" s="92"/>
      <c r="OZ17" s="92"/>
      <c r="PA17" s="92"/>
      <c r="PB17" s="92"/>
      <c r="PC17" s="92"/>
      <c r="PD17" s="92"/>
      <c r="PE17" s="92"/>
      <c r="PF17" s="92"/>
      <c r="PG17" s="92"/>
      <c r="PH17" s="92"/>
      <c r="PI17" s="92"/>
      <c r="PJ17" s="92"/>
      <c r="PK17" s="92"/>
      <c r="PL17" s="92"/>
      <c r="PM17" s="92"/>
      <c r="PN17" s="92"/>
      <c r="PO17" s="92"/>
      <c r="PP17" s="92"/>
      <c r="PQ17" s="92"/>
      <c r="PR17" s="92"/>
      <c r="PS17" s="92"/>
      <c r="PT17" s="92"/>
      <c r="PU17" s="92"/>
      <c r="PV17" s="92"/>
      <c r="PW17" s="92"/>
      <c r="PX17" s="92"/>
      <c r="PY17" s="92"/>
      <c r="PZ17" s="92"/>
      <c r="QA17" s="92"/>
      <c r="QB17" s="92"/>
      <c r="QC17" s="92"/>
      <c r="QD17" s="92"/>
      <c r="QE17" s="92"/>
      <c r="QF17" s="92"/>
      <c r="QG17" s="92"/>
      <c r="QH17" s="92"/>
      <c r="QI17" s="92"/>
      <c r="QJ17" s="92"/>
      <c r="QK17" s="92"/>
      <c r="QL17" s="92"/>
      <c r="QM17" s="92"/>
      <c r="QN17" s="92"/>
      <c r="QO17" s="92"/>
      <c r="QP17" s="92"/>
      <c r="QQ17" s="92"/>
      <c r="QR17" s="92"/>
      <c r="QS17" s="92"/>
      <c r="QT17" s="92"/>
      <c r="QU17" s="92"/>
      <c r="QV17" s="92"/>
      <c r="QW17" s="92"/>
      <c r="QX17" s="92"/>
      <c r="QY17" s="92"/>
    </row>
    <row r="18" spans="1:467" ht="30">
      <c r="A18" s="492"/>
      <c r="B18" s="514" t="s">
        <v>649</v>
      </c>
      <c r="C18" s="496" t="s">
        <v>383</v>
      </c>
      <c r="D18" s="496" t="s">
        <v>384</v>
      </c>
      <c r="E18" s="496" t="s">
        <v>172</v>
      </c>
      <c r="F18" s="496" t="s">
        <v>7</v>
      </c>
      <c r="G18" s="492"/>
      <c r="H18" s="496"/>
      <c r="I18" s="493"/>
      <c r="J18" s="493"/>
      <c r="K18" s="610" t="s">
        <v>242</v>
      </c>
      <c r="L18" s="611" t="s">
        <v>419</v>
      </c>
      <c r="M18" s="611" t="s">
        <v>384</v>
      </c>
      <c r="N18" s="611" t="s">
        <v>172</v>
      </c>
      <c r="O18" s="612" t="s">
        <v>386</v>
      </c>
      <c r="P18" s="613"/>
      <c r="Q18" s="610" t="s">
        <v>390</v>
      </c>
      <c r="R18" s="611" t="s">
        <v>419</v>
      </c>
      <c r="S18" s="611" t="s">
        <v>384</v>
      </c>
      <c r="T18" s="611" t="s">
        <v>172</v>
      </c>
      <c r="U18" s="612" t="s">
        <v>386</v>
      </c>
      <c r="V18" s="614"/>
      <c r="W18" s="610" t="s">
        <v>390</v>
      </c>
      <c r="X18" s="611" t="s">
        <v>419</v>
      </c>
      <c r="Y18" s="611" t="s">
        <v>384</v>
      </c>
      <c r="Z18" s="611" t="s">
        <v>172</v>
      </c>
      <c r="AA18" s="612" t="s">
        <v>386</v>
      </c>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2"/>
      <c r="MY18" s="92"/>
      <c r="MZ18" s="92"/>
      <c r="NA18" s="92"/>
      <c r="NB18" s="92"/>
      <c r="NC18" s="92"/>
      <c r="ND18" s="92"/>
      <c r="NE18" s="92"/>
      <c r="NF18" s="92"/>
      <c r="NG18" s="92"/>
      <c r="NH18" s="92"/>
      <c r="NI18" s="92"/>
      <c r="NJ18" s="92"/>
      <c r="NK18" s="92"/>
      <c r="NL18" s="92"/>
      <c r="NM18" s="92"/>
      <c r="NN18" s="92"/>
      <c r="NO18" s="92"/>
      <c r="NP18" s="92"/>
      <c r="NQ18" s="92"/>
      <c r="NR18" s="92"/>
      <c r="NS18" s="92"/>
      <c r="NT18" s="92"/>
      <c r="NU18" s="92"/>
      <c r="NV18" s="92"/>
      <c r="NW18" s="92"/>
      <c r="NX18" s="92"/>
      <c r="NY18" s="92"/>
      <c r="NZ18" s="92"/>
      <c r="OA18" s="92"/>
      <c r="OB18" s="92"/>
      <c r="OC18" s="92"/>
      <c r="OD18" s="92"/>
      <c r="OE18" s="92"/>
      <c r="OF18" s="92"/>
      <c r="OG18" s="92"/>
      <c r="OH18" s="92"/>
      <c r="OI18" s="92"/>
      <c r="OJ18" s="92"/>
      <c r="OK18" s="92"/>
      <c r="OL18" s="92"/>
      <c r="OM18" s="92"/>
      <c r="ON18" s="92"/>
      <c r="OO18" s="92"/>
      <c r="OP18" s="92"/>
      <c r="OQ18" s="92"/>
      <c r="OR18" s="92"/>
      <c r="OS18" s="92"/>
      <c r="OT18" s="92"/>
      <c r="OU18" s="92"/>
      <c r="OV18" s="92"/>
      <c r="OW18" s="92"/>
      <c r="OX18" s="92"/>
      <c r="OY18" s="92"/>
      <c r="OZ18" s="92"/>
      <c r="PA18" s="92"/>
      <c r="PB18" s="92"/>
      <c r="PC18" s="92"/>
      <c r="PD18" s="92"/>
      <c r="PE18" s="92"/>
      <c r="PF18" s="92"/>
      <c r="PG18" s="92"/>
      <c r="PH18" s="92"/>
      <c r="PI18" s="92"/>
      <c r="PJ18" s="92"/>
      <c r="PK18" s="92"/>
      <c r="PL18" s="92"/>
      <c r="PM18" s="92"/>
      <c r="PN18" s="92"/>
      <c r="PO18" s="92"/>
      <c r="PP18" s="92"/>
      <c r="PQ18" s="92"/>
      <c r="PR18" s="92"/>
      <c r="PS18" s="92"/>
      <c r="PT18" s="92"/>
      <c r="PU18" s="92"/>
      <c r="PV18" s="92"/>
      <c r="PW18" s="92"/>
      <c r="PX18" s="92"/>
      <c r="PY18" s="92"/>
      <c r="PZ18" s="92"/>
      <c r="QA18" s="92"/>
      <c r="QB18" s="92"/>
      <c r="QC18" s="92"/>
      <c r="QD18" s="92"/>
      <c r="QE18" s="92"/>
      <c r="QF18" s="92"/>
      <c r="QG18" s="92"/>
      <c r="QH18" s="92"/>
      <c r="QI18" s="92"/>
      <c r="QJ18" s="92"/>
      <c r="QK18" s="92"/>
      <c r="QL18" s="92"/>
      <c r="QM18" s="92"/>
      <c r="QN18" s="92"/>
      <c r="QO18" s="92"/>
      <c r="QP18" s="92"/>
      <c r="QQ18" s="92"/>
      <c r="QR18" s="92"/>
      <c r="QS18" s="92"/>
      <c r="QT18" s="92"/>
      <c r="QU18" s="92"/>
      <c r="QV18" s="92"/>
      <c r="QW18" s="92"/>
      <c r="QX18" s="92"/>
      <c r="QY18" s="92"/>
    </row>
    <row r="19" spans="1:467" ht="15.75">
      <c r="A19" s="492"/>
      <c r="B19" s="500" t="s">
        <v>218</v>
      </c>
      <c r="C19" s="536">
        <f t="shared" ref="C19:C30" si="10">C4*L35</f>
        <v>0</v>
      </c>
      <c r="D19" s="536">
        <f t="shared" ref="D19:D30" si="11">D4*M35</f>
        <v>0</v>
      </c>
      <c r="E19" s="536">
        <f t="shared" ref="E19:E30" si="12">E4*N35</f>
        <v>138.20949645299913</v>
      </c>
      <c r="F19" s="537">
        <f>SUM(C19:E19)</f>
        <v>138.20949645299913</v>
      </c>
      <c r="G19" s="492"/>
      <c r="H19" s="493"/>
      <c r="I19" s="493"/>
      <c r="J19" s="493"/>
      <c r="K19" s="615" t="s">
        <v>218</v>
      </c>
      <c r="L19" s="616">
        <f t="shared" ref="L19:L29" si="13">R19/R$31</f>
        <v>0</v>
      </c>
      <c r="M19" s="616">
        <f t="shared" ref="M19:M30" si="14">S19/S$31</f>
        <v>0</v>
      </c>
      <c r="N19" s="616">
        <f t="shared" ref="N19:N30" si="15">T19/T$31</f>
        <v>2.5352041033295847E-2</v>
      </c>
      <c r="O19" s="616">
        <f t="shared" ref="O19:O30" si="16">AA19/AA$31</f>
        <v>0</v>
      </c>
      <c r="P19" s="613"/>
      <c r="Q19" s="615" t="s">
        <v>218</v>
      </c>
      <c r="R19" s="615">
        <v>0</v>
      </c>
      <c r="S19" s="615">
        <v>0</v>
      </c>
      <c r="T19" s="615">
        <f t="shared" ref="S19:U30" si="17">Z19</f>
        <v>0.70319009381862674</v>
      </c>
      <c r="U19" s="615">
        <f t="shared" si="17"/>
        <v>0</v>
      </c>
      <c r="V19" s="614"/>
      <c r="W19" s="615" t="s">
        <v>218</v>
      </c>
      <c r="X19" s="615">
        <f>'RESUMEN_SEC ELEC_PJ'!D22</f>
        <v>1.0732627E-2</v>
      </c>
      <c r="Y19" s="615">
        <f>'RESUMEN_SEC ELEC_PJ'!E22</f>
        <v>7.5585340099100008E-4</v>
      </c>
      <c r="Z19" s="615">
        <f>'RESUMEN_SEC ELEC_PJ'!F22</f>
        <v>0.70319009381862674</v>
      </c>
      <c r="AA19" s="615">
        <f>'RESUMEN_SEC ELEC_PJ'!G22</f>
        <v>0</v>
      </c>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c r="IW19" s="92"/>
      <c r="IX19" s="92"/>
      <c r="IY19" s="92"/>
      <c r="IZ19" s="92"/>
      <c r="JA19" s="92"/>
      <c r="JB19" s="92"/>
      <c r="JC19" s="92"/>
      <c r="JD19" s="92"/>
      <c r="JE19" s="92"/>
      <c r="JF19" s="92"/>
      <c r="JG19" s="92"/>
      <c r="JH19" s="92"/>
      <c r="JI19" s="92"/>
      <c r="JJ19" s="92"/>
      <c r="JK19" s="92"/>
      <c r="JL19" s="92"/>
      <c r="JM19" s="92"/>
      <c r="JN19" s="92"/>
      <c r="JO19" s="92"/>
      <c r="JP19" s="92"/>
      <c r="JQ19" s="92"/>
      <c r="JR19" s="92"/>
      <c r="JS19" s="92"/>
      <c r="JT19" s="92"/>
      <c r="JU19" s="92"/>
      <c r="JV19" s="92"/>
      <c r="JW19" s="92"/>
      <c r="JX19" s="92"/>
      <c r="JY19" s="92"/>
      <c r="JZ19" s="92"/>
      <c r="KA19" s="92"/>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2"/>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2"/>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2"/>
      <c r="MY19" s="92"/>
      <c r="MZ19" s="92"/>
      <c r="NA19" s="92"/>
      <c r="NB19" s="92"/>
      <c r="NC19" s="92"/>
      <c r="ND19" s="92"/>
      <c r="NE19" s="92"/>
      <c r="NF19" s="92"/>
      <c r="NG19" s="92"/>
      <c r="NH19" s="92"/>
      <c r="NI19" s="92"/>
      <c r="NJ19" s="92"/>
      <c r="NK19" s="92"/>
      <c r="NL19" s="92"/>
      <c r="NM19" s="92"/>
      <c r="NN19" s="92"/>
      <c r="NO19" s="92"/>
      <c r="NP19" s="92"/>
      <c r="NQ19" s="92"/>
      <c r="NR19" s="92"/>
      <c r="NS19" s="92"/>
      <c r="NT19" s="92"/>
      <c r="NU19" s="92"/>
      <c r="NV19" s="92"/>
      <c r="NW19" s="92"/>
      <c r="NX19" s="92"/>
      <c r="NY19" s="92"/>
      <c r="NZ19" s="92"/>
      <c r="OA19" s="92"/>
      <c r="OB19" s="92"/>
      <c r="OC19" s="92"/>
      <c r="OD19" s="92"/>
      <c r="OE19" s="92"/>
      <c r="OF19" s="92"/>
      <c r="OG19" s="92"/>
      <c r="OH19" s="92"/>
      <c r="OI19" s="92"/>
      <c r="OJ19" s="92"/>
      <c r="OK19" s="92"/>
      <c r="OL19" s="92"/>
      <c r="OM19" s="92"/>
      <c r="ON19" s="92"/>
      <c r="OO19" s="92"/>
      <c r="OP19" s="92"/>
      <c r="OQ19" s="92"/>
      <c r="OR19" s="92"/>
      <c r="OS19" s="92"/>
      <c r="OT19" s="92"/>
      <c r="OU19" s="92"/>
      <c r="OV19" s="92"/>
      <c r="OW19" s="92"/>
      <c r="OX19" s="92"/>
      <c r="OY19" s="92"/>
      <c r="OZ19" s="92"/>
      <c r="PA19" s="92"/>
      <c r="PB19" s="92"/>
      <c r="PC19" s="92"/>
      <c r="PD19" s="92"/>
      <c r="PE19" s="92"/>
      <c r="PF19" s="92"/>
      <c r="PG19" s="92"/>
      <c r="PH19" s="92"/>
      <c r="PI19" s="92"/>
      <c r="PJ19" s="92"/>
      <c r="PK19" s="92"/>
      <c r="PL19" s="92"/>
      <c r="PM19" s="92"/>
      <c r="PN19" s="92"/>
      <c r="PO19" s="92"/>
      <c r="PP19" s="92"/>
      <c r="PQ19" s="92"/>
      <c r="PR19" s="92"/>
      <c r="PS19" s="92"/>
      <c r="PT19" s="92"/>
      <c r="PU19" s="92"/>
      <c r="PV19" s="92"/>
      <c r="PW19" s="92"/>
      <c r="PX19" s="92"/>
      <c r="PY19" s="92"/>
      <c r="PZ19" s="92"/>
      <c r="QA19" s="92"/>
      <c r="QB19" s="92"/>
      <c r="QC19" s="92"/>
      <c r="QD19" s="92"/>
      <c r="QE19" s="92"/>
      <c r="QF19" s="92"/>
      <c r="QG19" s="92"/>
      <c r="QH19" s="92"/>
      <c r="QI19" s="92"/>
      <c r="QJ19" s="92"/>
      <c r="QK19" s="92"/>
      <c r="QL19" s="92"/>
      <c r="QM19" s="92"/>
      <c r="QN19" s="92"/>
      <c r="QO19" s="92"/>
      <c r="QP19" s="92"/>
      <c r="QQ19" s="92"/>
      <c r="QR19" s="92"/>
      <c r="QS19" s="92"/>
      <c r="QT19" s="92"/>
      <c r="QU19" s="92"/>
      <c r="QV19" s="92"/>
      <c r="QW19" s="92"/>
      <c r="QX19" s="92"/>
      <c r="QY19" s="92"/>
    </row>
    <row r="20" spans="1:467" ht="15.75">
      <c r="A20" s="492"/>
      <c r="B20" s="500" t="s">
        <v>219</v>
      </c>
      <c r="C20" s="536">
        <f t="shared" si="10"/>
        <v>0</v>
      </c>
      <c r="D20" s="536">
        <f t="shared" si="11"/>
        <v>0</v>
      </c>
      <c r="E20" s="536">
        <f t="shared" si="12"/>
        <v>20.633661189413424</v>
      </c>
      <c r="F20" s="537">
        <f t="shared" ref="F20:F30" si="18">SUM(C20:E20)</f>
        <v>20.633661189413424</v>
      </c>
      <c r="G20" s="492"/>
      <c r="H20" s="493"/>
      <c r="I20" s="493"/>
      <c r="J20" s="493"/>
      <c r="K20" s="615" t="s">
        <v>219</v>
      </c>
      <c r="L20" s="616">
        <f t="shared" si="13"/>
        <v>0</v>
      </c>
      <c r="M20" s="616">
        <f t="shared" si="14"/>
        <v>0</v>
      </c>
      <c r="N20" s="616">
        <f t="shared" si="15"/>
        <v>3.2262106909108474E-3</v>
      </c>
      <c r="O20" s="616">
        <f t="shared" si="16"/>
        <v>0</v>
      </c>
      <c r="P20" s="613"/>
      <c r="Q20" s="615" t="s">
        <v>219</v>
      </c>
      <c r="R20" s="615">
        <f t="shared" ref="R20:R30" si="19">X20</f>
        <v>0</v>
      </c>
      <c r="S20" s="615">
        <v>0</v>
      </c>
      <c r="T20" s="615">
        <f t="shared" si="17"/>
        <v>8.9485473593260617E-2</v>
      </c>
      <c r="U20" s="615">
        <f t="shared" si="17"/>
        <v>0</v>
      </c>
      <c r="V20" s="614"/>
      <c r="W20" s="615" t="s">
        <v>219</v>
      </c>
      <c r="X20" s="615">
        <f>'RESUMEN_SEC ELEC_PJ'!D23</f>
        <v>0</v>
      </c>
      <c r="Y20" s="615">
        <f>'RESUMEN_SEC ELEC_PJ'!E23</f>
        <v>0.16280829636500002</v>
      </c>
      <c r="Z20" s="615">
        <f>'RESUMEN_SEC ELEC_PJ'!F23</f>
        <v>8.9485473593260617E-2</v>
      </c>
      <c r="AA20" s="615">
        <f>'RESUMEN_SEC ELEC_PJ'!G23</f>
        <v>0</v>
      </c>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c r="IW20" s="92"/>
      <c r="IX20" s="92"/>
      <c r="IY20" s="92"/>
      <c r="IZ20" s="92"/>
      <c r="JA20" s="92"/>
      <c r="JB20" s="92"/>
      <c r="JC20" s="92"/>
      <c r="JD20" s="92"/>
      <c r="JE20" s="92"/>
      <c r="JF20" s="92"/>
      <c r="JG20" s="92"/>
      <c r="JH20" s="92"/>
      <c r="JI20" s="92"/>
      <c r="JJ20" s="92"/>
      <c r="JK20" s="92"/>
      <c r="JL20" s="92"/>
      <c r="JM20" s="92"/>
      <c r="JN20" s="92"/>
      <c r="JO20" s="92"/>
      <c r="JP20" s="92"/>
      <c r="JQ20" s="92"/>
      <c r="JR20" s="92"/>
      <c r="JS20" s="92"/>
      <c r="JT20" s="92"/>
      <c r="JU20" s="92"/>
      <c r="JV20" s="92"/>
      <c r="JW20" s="92"/>
      <c r="JX20" s="92"/>
      <c r="JY20" s="92"/>
      <c r="JZ20" s="92"/>
      <c r="KA20" s="92"/>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2"/>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2"/>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2"/>
      <c r="MY20" s="92"/>
      <c r="MZ20" s="92"/>
      <c r="NA20" s="92"/>
      <c r="NB20" s="92"/>
      <c r="NC20" s="92"/>
      <c r="ND20" s="92"/>
      <c r="NE20" s="92"/>
      <c r="NF20" s="92"/>
      <c r="NG20" s="92"/>
      <c r="NH20" s="92"/>
      <c r="NI20" s="92"/>
      <c r="NJ20" s="92"/>
      <c r="NK20" s="92"/>
      <c r="NL20" s="92"/>
      <c r="NM20" s="92"/>
      <c r="NN20" s="92"/>
      <c r="NO20" s="92"/>
      <c r="NP20" s="92"/>
      <c r="NQ20" s="92"/>
      <c r="NR20" s="92"/>
      <c r="NS20" s="92"/>
      <c r="NT20" s="92"/>
      <c r="NU20" s="92"/>
      <c r="NV20" s="92"/>
      <c r="NW20" s="92"/>
      <c r="NX20" s="92"/>
      <c r="NY20" s="92"/>
      <c r="NZ20" s="92"/>
      <c r="OA20" s="92"/>
      <c r="OB20" s="92"/>
      <c r="OC20" s="92"/>
      <c r="OD20" s="92"/>
      <c r="OE20" s="92"/>
      <c r="OF20" s="92"/>
      <c r="OG20" s="92"/>
      <c r="OH20" s="92"/>
      <c r="OI20" s="92"/>
      <c r="OJ20" s="92"/>
      <c r="OK20" s="92"/>
      <c r="OL20" s="92"/>
      <c r="OM20" s="92"/>
      <c r="ON20" s="92"/>
      <c r="OO20" s="92"/>
      <c r="OP20" s="92"/>
      <c r="OQ20" s="92"/>
      <c r="OR20" s="92"/>
      <c r="OS20" s="92"/>
      <c r="OT20" s="92"/>
      <c r="OU20" s="92"/>
      <c r="OV20" s="92"/>
      <c r="OW20" s="92"/>
      <c r="OX20" s="92"/>
      <c r="OY20" s="92"/>
      <c r="OZ20" s="92"/>
      <c r="PA20" s="92"/>
      <c r="PB20" s="92"/>
      <c r="PC20" s="92"/>
      <c r="PD20" s="92"/>
      <c r="PE20" s="92"/>
      <c r="PF20" s="92"/>
      <c r="PG20" s="92"/>
      <c r="PH20" s="92"/>
      <c r="PI20" s="92"/>
      <c r="PJ20" s="92"/>
      <c r="PK20" s="92"/>
      <c r="PL20" s="92"/>
      <c r="PM20" s="92"/>
      <c r="PN20" s="92"/>
      <c r="PO20" s="92"/>
      <c r="PP20" s="92"/>
      <c r="PQ20" s="92"/>
      <c r="PR20" s="92"/>
      <c r="PS20" s="92"/>
      <c r="PT20" s="92"/>
      <c r="PU20" s="92"/>
      <c r="PV20" s="92"/>
      <c r="PW20" s="92"/>
      <c r="PX20" s="92"/>
      <c r="PY20" s="92"/>
      <c r="PZ20" s="92"/>
      <c r="QA20" s="92"/>
      <c r="QB20" s="92"/>
      <c r="QC20" s="92"/>
      <c r="QD20" s="92"/>
      <c r="QE20" s="92"/>
      <c r="QF20" s="92"/>
      <c r="QG20" s="92"/>
      <c r="QH20" s="92"/>
      <c r="QI20" s="92"/>
      <c r="QJ20" s="92"/>
      <c r="QK20" s="92"/>
      <c r="QL20" s="92"/>
      <c r="QM20" s="92"/>
      <c r="QN20" s="92"/>
      <c r="QO20" s="92"/>
      <c r="QP20" s="92"/>
      <c r="QQ20" s="92"/>
      <c r="QR20" s="92"/>
      <c r="QS20" s="92"/>
      <c r="QT20" s="92"/>
      <c r="QU20" s="92"/>
      <c r="QV20" s="92"/>
      <c r="QW20" s="92"/>
      <c r="QX20" s="92"/>
      <c r="QY20" s="92"/>
    </row>
    <row r="21" spans="1:467" ht="15.75">
      <c r="A21" s="492"/>
      <c r="B21" s="500" t="s">
        <v>171</v>
      </c>
      <c r="C21" s="536">
        <f t="shared" si="10"/>
        <v>0</v>
      </c>
      <c r="D21" s="536">
        <f t="shared" si="11"/>
        <v>0</v>
      </c>
      <c r="E21" s="536">
        <f t="shared" si="12"/>
        <v>29.929304494041396</v>
      </c>
      <c r="F21" s="537">
        <f t="shared" si="18"/>
        <v>29.929304494041396</v>
      </c>
      <c r="G21" s="492"/>
      <c r="H21" s="493"/>
      <c r="I21" s="493"/>
      <c r="J21" s="493"/>
      <c r="K21" s="615" t="s">
        <v>171</v>
      </c>
      <c r="L21" s="616">
        <f t="shared" si="13"/>
        <v>0</v>
      </c>
      <c r="M21" s="616">
        <f t="shared" si="14"/>
        <v>0</v>
      </c>
      <c r="N21" s="616">
        <f t="shared" si="15"/>
        <v>6.0740080727540155E-2</v>
      </c>
      <c r="O21" s="616">
        <f t="shared" si="16"/>
        <v>0</v>
      </c>
      <c r="P21" s="613"/>
      <c r="Q21" s="615" t="s">
        <v>171</v>
      </c>
      <c r="R21" s="615">
        <f t="shared" si="19"/>
        <v>0</v>
      </c>
      <c r="S21" s="615">
        <f t="shared" si="17"/>
        <v>0</v>
      </c>
      <c r="T21" s="615">
        <f t="shared" si="17"/>
        <v>1.6847488929690031</v>
      </c>
      <c r="U21" s="615">
        <f t="shared" si="17"/>
        <v>0</v>
      </c>
      <c r="V21" s="614"/>
      <c r="W21" s="615" t="s">
        <v>171</v>
      </c>
      <c r="X21" s="615">
        <f>'RESUMEN_SEC ELEC_PJ'!D24</f>
        <v>0</v>
      </c>
      <c r="Y21" s="615">
        <f>'RESUMEN_SEC ELEC_PJ'!E24</f>
        <v>0</v>
      </c>
      <c r="Z21" s="615">
        <f>'RESUMEN_SEC ELEC_PJ'!F24</f>
        <v>1.6847488929690031</v>
      </c>
      <c r="AA21" s="615">
        <f>'RESUMEN_SEC ELEC_PJ'!G24</f>
        <v>0</v>
      </c>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c r="IX21" s="92"/>
      <c r="IY21" s="92"/>
      <c r="IZ21" s="92"/>
      <c r="JA21" s="92"/>
      <c r="JB21" s="92"/>
      <c r="JC21" s="92"/>
      <c r="JD21" s="92"/>
      <c r="JE21" s="92"/>
      <c r="JF21" s="92"/>
      <c r="JG21" s="92"/>
      <c r="JH21" s="92"/>
      <c r="JI21" s="92"/>
      <c r="JJ21" s="92"/>
      <c r="JK21" s="92"/>
      <c r="JL21" s="92"/>
      <c r="JM21" s="92"/>
      <c r="JN21" s="92"/>
      <c r="JO21" s="92"/>
      <c r="JP21" s="92"/>
      <c r="JQ21" s="92"/>
      <c r="JR21" s="92"/>
      <c r="JS21" s="92"/>
      <c r="JT21" s="92"/>
      <c r="JU21" s="92"/>
      <c r="JV21" s="92"/>
      <c r="JW21" s="92"/>
      <c r="JX21" s="92"/>
      <c r="JY21" s="92"/>
      <c r="JZ21" s="92"/>
      <c r="KA21" s="92"/>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2"/>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2"/>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2"/>
      <c r="MY21" s="92"/>
      <c r="MZ21" s="92"/>
      <c r="NA21" s="92"/>
      <c r="NB21" s="92"/>
      <c r="NC21" s="92"/>
      <c r="ND21" s="92"/>
      <c r="NE21" s="92"/>
      <c r="NF21" s="92"/>
      <c r="NG21" s="92"/>
      <c r="NH21" s="92"/>
      <c r="NI21" s="92"/>
      <c r="NJ21" s="92"/>
      <c r="NK21" s="92"/>
      <c r="NL21" s="92"/>
      <c r="NM21" s="92"/>
      <c r="NN21" s="92"/>
      <c r="NO21" s="92"/>
      <c r="NP21" s="92"/>
      <c r="NQ21" s="92"/>
      <c r="NR21" s="92"/>
      <c r="NS21" s="92"/>
      <c r="NT21" s="92"/>
      <c r="NU21" s="92"/>
      <c r="NV21" s="92"/>
      <c r="NW21" s="92"/>
      <c r="NX21" s="92"/>
      <c r="NY21" s="92"/>
      <c r="NZ21" s="92"/>
      <c r="OA21" s="92"/>
      <c r="OB21" s="92"/>
      <c r="OC21" s="92"/>
      <c r="OD21" s="92"/>
      <c r="OE21" s="92"/>
      <c r="OF21" s="92"/>
      <c r="OG21" s="92"/>
      <c r="OH21" s="92"/>
      <c r="OI21" s="92"/>
      <c r="OJ21" s="92"/>
      <c r="OK21" s="92"/>
      <c r="OL21" s="92"/>
      <c r="OM21" s="92"/>
      <c r="ON21" s="92"/>
      <c r="OO21" s="92"/>
      <c r="OP21" s="92"/>
      <c r="OQ21" s="92"/>
      <c r="OR21" s="92"/>
      <c r="OS21" s="92"/>
      <c r="OT21" s="92"/>
      <c r="OU21" s="92"/>
      <c r="OV21" s="92"/>
      <c r="OW21" s="92"/>
      <c r="OX21" s="92"/>
      <c r="OY21" s="92"/>
      <c r="OZ21" s="92"/>
      <c r="PA21" s="92"/>
      <c r="PB21" s="92"/>
      <c r="PC21" s="92"/>
      <c r="PD21" s="92"/>
      <c r="PE21" s="92"/>
      <c r="PF21" s="92"/>
      <c r="PG21" s="92"/>
      <c r="PH21" s="92"/>
      <c r="PI21" s="92"/>
      <c r="PJ21" s="92"/>
      <c r="PK21" s="92"/>
      <c r="PL21" s="92"/>
      <c r="PM21" s="92"/>
      <c r="PN21" s="92"/>
      <c r="PO21" s="92"/>
      <c r="PP21" s="92"/>
      <c r="PQ21" s="92"/>
      <c r="PR21" s="92"/>
      <c r="PS21" s="92"/>
      <c r="PT21" s="92"/>
      <c r="PU21" s="92"/>
      <c r="PV21" s="92"/>
      <c r="PW21" s="92"/>
      <c r="PX21" s="92"/>
      <c r="PY21" s="92"/>
      <c r="PZ21" s="92"/>
      <c r="QA21" s="92"/>
      <c r="QB21" s="92"/>
      <c r="QC21" s="92"/>
      <c r="QD21" s="92"/>
      <c r="QE21" s="92"/>
      <c r="QF21" s="92"/>
      <c r="QG21" s="92"/>
      <c r="QH21" s="92"/>
      <c r="QI21" s="92"/>
      <c r="QJ21" s="92"/>
      <c r="QK21" s="92"/>
      <c r="QL21" s="92"/>
      <c r="QM21" s="92"/>
      <c r="QN21" s="92"/>
      <c r="QO21" s="92"/>
      <c r="QP21" s="92"/>
      <c r="QQ21" s="92"/>
      <c r="QR21" s="92"/>
      <c r="QS21" s="92"/>
      <c r="QT21" s="92"/>
      <c r="QU21" s="92"/>
      <c r="QV21" s="92"/>
      <c r="QW21" s="92"/>
      <c r="QX21" s="92"/>
      <c r="QY21" s="92"/>
    </row>
    <row r="22" spans="1:467" ht="15.75">
      <c r="A22" s="492"/>
      <c r="B22" s="500" t="s">
        <v>11</v>
      </c>
      <c r="C22" s="536">
        <f t="shared" si="10"/>
        <v>0</v>
      </c>
      <c r="D22" s="536">
        <f t="shared" si="11"/>
        <v>0</v>
      </c>
      <c r="E22" s="536">
        <f t="shared" si="12"/>
        <v>9.6114825685804955E-2</v>
      </c>
      <c r="F22" s="537">
        <f t="shared" si="18"/>
        <v>9.6114825685804955E-2</v>
      </c>
      <c r="G22" s="492"/>
      <c r="H22" s="493"/>
      <c r="I22" s="493"/>
      <c r="J22" s="493"/>
      <c r="K22" s="615" t="s">
        <v>11</v>
      </c>
      <c r="L22" s="616">
        <f t="shared" si="13"/>
        <v>0</v>
      </c>
      <c r="M22" s="616">
        <f t="shared" si="14"/>
        <v>0</v>
      </c>
      <c r="N22" s="616">
        <f t="shared" si="15"/>
        <v>1.6476059068304514E-6</v>
      </c>
      <c r="O22" s="616">
        <f t="shared" si="16"/>
        <v>0</v>
      </c>
      <c r="P22" s="613"/>
      <c r="Q22" s="615" t="s">
        <v>11</v>
      </c>
      <c r="R22" s="615">
        <f t="shared" si="19"/>
        <v>0</v>
      </c>
      <c r="S22" s="615">
        <f t="shared" si="17"/>
        <v>0</v>
      </c>
      <c r="T22" s="615">
        <f t="shared" si="17"/>
        <v>4.569967959102855E-5</v>
      </c>
      <c r="U22" s="615">
        <f t="shared" si="17"/>
        <v>0</v>
      </c>
      <c r="V22" s="614"/>
      <c r="W22" s="615" t="s">
        <v>11</v>
      </c>
      <c r="X22" s="615">
        <f>'RESUMEN_SEC ELEC_PJ'!D25</f>
        <v>0</v>
      </c>
      <c r="Y22" s="615">
        <f>'RESUMEN_SEC ELEC_PJ'!E25</f>
        <v>0</v>
      </c>
      <c r="Z22" s="615">
        <f>'RESUMEN_SEC ELEC_PJ'!F25</f>
        <v>4.569967959102855E-5</v>
      </c>
      <c r="AA22" s="615">
        <f>'RESUMEN_SEC ELEC_PJ'!G25</f>
        <v>0</v>
      </c>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c r="IW22" s="92"/>
      <c r="IX22" s="92"/>
      <c r="IY22" s="92"/>
      <c r="IZ22" s="92"/>
      <c r="JA22" s="92"/>
      <c r="JB22" s="92"/>
      <c r="JC22" s="92"/>
      <c r="JD22" s="92"/>
      <c r="JE22" s="92"/>
      <c r="JF22" s="92"/>
      <c r="JG22" s="92"/>
      <c r="JH22" s="92"/>
      <c r="JI22" s="92"/>
      <c r="JJ22" s="92"/>
      <c r="JK22" s="92"/>
      <c r="JL22" s="92"/>
      <c r="JM22" s="92"/>
      <c r="JN22" s="92"/>
      <c r="JO22" s="92"/>
      <c r="JP22" s="92"/>
      <c r="JQ22" s="92"/>
      <c r="JR22" s="92"/>
      <c r="JS22" s="92"/>
      <c r="JT22" s="92"/>
      <c r="JU22" s="92"/>
      <c r="JV22" s="92"/>
      <c r="JW22" s="92"/>
      <c r="JX22" s="92"/>
      <c r="JY22" s="92"/>
      <c r="JZ22" s="92"/>
      <c r="KA22" s="92"/>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2"/>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2"/>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2"/>
      <c r="MY22" s="92"/>
      <c r="MZ22" s="92"/>
      <c r="NA22" s="92"/>
      <c r="NB22" s="92"/>
      <c r="NC22" s="92"/>
      <c r="ND22" s="92"/>
      <c r="NE22" s="92"/>
      <c r="NF22" s="92"/>
      <c r="NG22" s="92"/>
      <c r="NH22" s="92"/>
      <c r="NI22" s="92"/>
      <c r="NJ22" s="92"/>
      <c r="NK22" s="92"/>
      <c r="NL22" s="92"/>
      <c r="NM22" s="92"/>
      <c r="NN22" s="92"/>
      <c r="NO22" s="92"/>
      <c r="NP22" s="92"/>
      <c r="NQ22" s="92"/>
      <c r="NR22" s="92"/>
      <c r="NS22" s="92"/>
      <c r="NT22" s="92"/>
      <c r="NU22" s="92"/>
      <c r="NV22" s="92"/>
      <c r="NW22" s="92"/>
      <c r="NX22" s="92"/>
      <c r="NY22" s="92"/>
      <c r="NZ22" s="92"/>
      <c r="OA22" s="92"/>
      <c r="OB22" s="92"/>
      <c r="OC22" s="92"/>
      <c r="OD22" s="92"/>
      <c r="OE22" s="92"/>
      <c r="OF22" s="92"/>
      <c r="OG22" s="92"/>
      <c r="OH22" s="92"/>
      <c r="OI22" s="92"/>
      <c r="OJ22" s="92"/>
      <c r="OK22" s="92"/>
      <c r="OL22" s="92"/>
      <c r="OM22" s="92"/>
      <c r="ON22" s="92"/>
      <c r="OO22" s="92"/>
      <c r="OP22" s="92"/>
      <c r="OQ22" s="92"/>
      <c r="OR22" s="92"/>
      <c r="OS22" s="92"/>
      <c r="OT22" s="92"/>
      <c r="OU22" s="92"/>
      <c r="OV22" s="92"/>
      <c r="OW22" s="92"/>
      <c r="OX22" s="92"/>
      <c r="OY22" s="92"/>
      <c r="OZ22" s="92"/>
      <c r="PA22" s="92"/>
      <c r="PB22" s="92"/>
      <c r="PC22" s="92"/>
      <c r="PD22" s="92"/>
      <c r="PE22" s="92"/>
      <c r="PF22" s="92"/>
      <c r="PG22" s="92"/>
      <c r="PH22" s="92"/>
      <c r="PI22" s="92"/>
      <c r="PJ22" s="92"/>
      <c r="PK22" s="92"/>
      <c r="PL22" s="92"/>
      <c r="PM22" s="92"/>
      <c r="PN22" s="92"/>
      <c r="PO22" s="92"/>
      <c r="PP22" s="92"/>
      <c r="PQ22" s="92"/>
      <c r="PR22" s="92"/>
      <c r="PS22" s="92"/>
      <c r="PT22" s="92"/>
      <c r="PU22" s="92"/>
      <c r="PV22" s="92"/>
      <c r="PW22" s="92"/>
      <c r="PX22" s="92"/>
      <c r="PY22" s="92"/>
      <c r="PZ22" s="92"/>
      <c r="QA22" s="92"/>
      <c r="QB22" s="92"/>
      <c r="QC22" s="92"/>
      <c r="QD22" s="92"/>
      <c r="QE22" s="92"/>
      <c r="QF22" s="92"/>
      <c r="QG22" s="92"/>
      <c r="QH22" s="92"/>
      <c r="QI22" s="92"/>
      <c r="QJ22" s="92"/>
      <c r="QK22" s="92"/>
      <c r="QL22" s="92"/>
      <c r="QM22" s="92"/>
      <c r="QN22" s="92"/>
      <c r="QO22" s="92"/>
      <c r="QP22" s="92"/>
      <c r="QQ22" s="92"/>
      <c r="QR22" s="92"/>
      <c r="QS22" s="92"/>
      <c r="QT22" s="92"/>
      <c r="QU22" s="92"/>
      <c r="QV22" s="92"/>
      <c r="QW22" s="92"/>
      <c r="QX22" s="92"/>
      <c r="QY22" s="92"/>
    </row>
    <row r="23" spans="1:467" ht="15.75">
      <c r="A23" s="492"/>
      <c r="B23" s="513" t="s">
        <v>220</v>
      </c>
      <c r="C23" s="536">
        <f t="shared" si="10"/>
        <v>0</v>
      </c>
      <c r="D23" s="536">
        <f>D8*M39</f>
        <v>444.29591150421123</v>
      </c>
      <c r="E23" s="536">
        <f t="shared" si="12"/>
        <v>10.974833229647974</v>
      </c>
      <c r="F23" s="537">
        <f t="shared" si="18"/>
        <v>455.2707447338592</v>
      </c>
      <c r="G23" s="492"/>
      <c r="H23" s="493"/>
      <c r="I23" s="493"/>
      <c r="J23" s="493"/>
      <c r="K23" s="617" t="s">
        <v>220</v>
      </c>
      <c r="L23" s="616">
        <f t="shared" si="13"/>
        <v>5.1455583601704248E-2</v>
      </c>
      <c r="M23" s="616">
        <f t="shared" si="14"/>
        <v>0.12698112295902433</v>
      </c>
      <c r="N23" s="616">
        <f t="shared" si="15"/>
        <v>0.11845255328920584</v>
      </c>
      <c r="O23" s="616">
        <f t="shared" si="16"/>
        <v>0</v>
      </c>
      <c r="P23" s="613"/>
      <c r="Q23" s="617" t="s">
        <v>220</v>
      </c>
      <c r="R23" s="615">
        <f>X23</f>
        <v>425.34769185223041</v>
      </c>
      <c r="S23" s="615">
        <f t="shared" si="17"/>
        <v>172.79084386292621</v>
      </c>
      <c r="T23" s="615">
        <f t="shared" si="17"/>
        <v>3.2855209547467332</v>
      </c>
      <c r="U23" s="615">
        <f t="shared" si="17"/>
        <v>0</v>
      </c>
      <c r="V23" s="614"/>
      <c r="W23" s="617" t="s">
        <v>220</v>
      </c>
      <c r="X23" s="615">
        <f>'RESUMEN_SEC ELEC_PJ'!D26</f>
        <v>425.34769185223041</v>
      </c>
      <c r="Y23" s="615">
        <f>'RESUMEN_SEC ELEC_PJ'!E26</f>
        <v>172.79084386292621</v>
      </c>
      <c r="Z23" s="615">
        <f>'RESUMEN_SEC ELEC_PJ'!F26</f>
        <v>3.2855209547467332</v>
      </c>
      <c r="AA23" s="615">
        <f>'RESUMEN_SEC ELEC_PJ'!G26</f>
        <v>0</v>
      </c>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c r="IW23" s="92"/>
      <c r="IX23" s="92"/>
      <c r="IY23" s="92"/>
      <c r="IZ23" s="92"/>
      <c r="JA23" s="92"/>
      <c r="JB23" s="92"/>
      <c r="JC23" s="92"/>
      <c r="JD23" s="92"/>
      <c r="JE23" s="92"/>
      <c r="JF23" s="92"/>
      <c r="JG23" s="92"/>
      <c r="JH23" s="92"/>
      <c r="JI23" s="92"/>
      <c r="JJ23" s="92"/>
      <c r="JK23" s="92"/>
      <c r="JL23" s="92"/>
      <c r="JM23" s="92"/>
      <c r="JN23" s="92"/>
      <c r="JO23" s="92"/>
      <c r="JP23" s="92"/>
      <c r="JQ23" s="92"/>
      <c r="JR23" s="92"/>
      <c r="JS23" s="92"/>
      <c r="JT23" s="92"/>
      <c r="JU23" s="92"/>
      <c r="JV23" s="92"/>
      <c r="JW23" s="92"/>
      <c r="JX23" s="92"/>
      <c r="JY23" s="92"/>
      <c r="JZ23" s="92"/>
      <c r="KA23" s="92"/>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2"/>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2"/>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2"/>
      <c r="MY23" s="92"/>
      <c r="MZ23" s="92"/>
      <c r="NA23" s="92"/>
      <c r="NB23" s="92"/>
      <c r="NC23" s="92"/>
      <c r="ND23" s="92"/>
      <c r="NE23" s="92"/>
      <c r="NF23" s="92"/>
      <c r="NG23" s="92"/>
      <c r="NH23" s="92"/>
      <c r="NI23" s="92"/>
      <c r="NJ23" s="92"/>
      <c r="NK23" s="92"/>
      <c r="NL23" s="92"/>
      <c r="NM23" s="92"/>
      <c r="NN23" s="92"/>
      <c r="NO23" s="92"/>
      <c r="NP23" s="92"/>
      <c r="NQ23" s="92"/>
      <c r="NR23" s="92"/>
      <c r="NS23" s="92"/>
      <c r="NT23" s="92"/>
      <c r="NU23" s="92"/>
      <c r="NV23" s="92"/>
      <c r="NW23" s="92"/>
      <c r="NX23" s="92"/>
      <c r="NY23" s="92"/>
      <c r="NZ23" s="92"/>
      <c r="OA23" s="92"/>
      <c r="OB23" s="92"/>
      <c r="OC23" s="92"/>
      <c r="OD23" s="92"/>
      <c r="OE23" s="92"/>
      <c r="OF23" s="92"/>
      <c r="OG23" s="92"/>
      <c r="OH23" s="92"/>
      <c r="OI23" s="92"/>
      <c r="OJ23" s="92"/>
      <c r="OK23" s="92"/>
      <c r="OL23" s="92"/>
      <c r="OM23" s="92"/>
      <c r="ON23" s="92"/>
      <c r="OO23" s="92"/>
      <c r="OP23" s="92"/>
      <c r="OQ23" s="92"/>
      <c r="OR23" s="92"/>
      <c r="OS23" s="92"/>
      <c r="OT23" s="92"/>
      <c r="OU23" s="92"/>
      <c r="OV23" s="92"/>
      <c r="OW23" s="92"/>
      <c r="OX23" s="92"/>
      <c r="OY23" s="92"/>
      <c r="OZ23" s="92"/>
      <c r="PA23" s="92"/>
      <c r="PB23" s="92"/>
      <c r="PC23" s="92"/>
      <c r="PD23" s="92"/>
      <c r="PE23" s="92"/>
      <c r="PF23" s="92"/>
      <c r="PG23" s="92"/>
      <c r="PH23" s="92"/>
      <c r="PI23" s="92"/>
      <c r="PJ23" s="92"/>
      <c r="PK23" s="92"/>
      <c r="PL23" s="92"/>
      <c r="PM23" s="92"/>
      <c r="PN23" s="92"/>
      <c r="PO23" s="92"/>
      <c r="PP23" s="92"/>
      <c r="PQ23" s="92"/>
      <c r="PR23" s="92"/>
      <c r="PS23" s="92"/>
      <c r="PT23" s="92"/>
      <c r="PU23" s="92"/>
      <c r="PV23" s="92"/>
      <c r="PW23" s="92"/>
      <c r="PX23" s="92"/>
      <c r="PY23" s="92"/>
      <c r="PZ23" s="92"/>
      <c r="QA23" s="92"/>
      <c r="QB23" s="92"/>
      <c r="QC23" s="92"/>
      <c r="QD23" s="92"/>
      <c r="QE23" s="92"/>
      <c r="QF23" s="92"/>
      <c r="QG23" s="92"/>
      <c r="QH23" s="92"/>
      <c r="QI23" s="92"/>
      <c r="QJ23" s="92"/>
      <c r="QK23" s="92"/>
      <c r="QL23" s="92"/>
      <c r="QM23" s="92"/>
      <c r="QN23" s="92"/>
      <c r="QO23" s="92"/>
      <c r="QP23" s="92"/>
      <c r="QQ23" s="92"/>
      <c r="QR23" s="92"/>
      <c r="QS23" s="92"/>
      <c r="QT23" s="92"/>
      <c r="QU23" s="92"/>
      <c r="QV23" s="92"/>
      <c r="QW23" s="92"/>
      <c r="QX23" s="92"/>
      <c r="QY23" s="92"/>
    </row>
    <row r="24" spans="1:467" ht="15.75">
      <c r="A24" s="492"/>
      <c r="B24" s="518" t="s">
        <v>365</v>
      </c>
      <c r="C24" s="536">
        <f t="shared" si="10"/>
        <v>0</v>
      </c>
      <c r="D24" s="536">
        <f t="shared" si="11"/>
        <v>261.4806373332159</v>
      </c>
      <c r="E24" s="536">
        <f t="shared" si="12"/>
        <v>6.4589979633132568</v>
      </c>
      <c r="F24" s="537">
        <f t="shared" si="18"/>
        <v>267.93963529652916</v>
      </c>
      <c r="G24" s="492"/>
      <c r="H24" s="493"/>
      <c r="I24" s="493"/>
      <c r="J24" s="493"/>
      <c r="K24" s="614" t="s">
        <v>365</v>
      </c>
      <c r="L24" s="616">
        <f t="shared" si="13"/>
        <v>0</v>
      </c>
      <c r="M24" s="616">
        <f t="shared" si="14"/>
        <v>0</v>
      </c>
      <c r="N24" s="616">
        <f t="shared" si="15"/>
        <v>0</v>
      </c>
      <c r="O24" s="616">
        <f t="shared" si="16"/>
        <v>1</v>
      </c>
      <c r="P24" s="613"/>
      <c r="Q24" s="614" t="s">
        <v>365</v>
      </c>
      <c r="R24" s="615">
        <f t="shared" si="19"/>
        <v>0</v>
      </c>
      <c r="S24" s="615">
        <f t="shared" si="17"/>
        <v>0</v>
      </c>
      <c r="T24" s="615">
        <f t="shared" si="17"/>
        <v>0</v>
      </c>
      <c r="U24" s="615">
        <f t="shared" si="17"/>
        <v>126.45347756049459</v>
      </c>
      <c r="V24" s="614"/>
      <c r="W24" s="614" t="s">
        <v>365</v>
      </c>
      <c r="X24" s="615">
        <f>'RESUMEN_SEC ELEC_PJ'!D27</f>
        <v>0</v>
      </c>
      <c r="Y24" s="615">
        <f>'RESUMEN_SEC ELEC_PJ'!E27</f>
        <v>0</v>
      </c>
      <c r="Z24" s="615">
        <f>'RESUMEN_SEC ELEC_PJ'!F27</f>
        <v>0</v>
      </c>
      <c r="AA24" s="615">
        <f>'RESUMEN_SEC ELEC_PJ'!G27</f>
        <v>126.45347756049459</v>
      </c>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c r="IW24" s="92"/>
      <c r="IX24" s="92"/>
      <c r="IY24" s="92"/>
      <c r="IZ24" s="92"/>
      <c r="JA24" s="92"/>
      <c r="JB24" s="92"/>
      <c r="JC24" s="92"/>
      <c r="JD24" s="92"/>
      <c r="JE24" s="92"/>
      <c r="JF24" s="92"/>
      <c r="JG24" s="92"/>
      <c r="JH24" s="92"/>
      <c r="JI24" s="92"/>
      <c r="JJ24" s="92"/>
      <c r="JK24" s="92"/>
      <c r="JL24" s="92"/>
      <c r="JM24" s="92"/>
      <c r="JN24" s="92"/>
      <c r="JO24" s="92"/>
      <c r="JP24" s="92"/>
      <c r="JQ24" s="92"/>
      <c r="JR24" s="92"/>
      <c r="JS24" s="92"/>
      <c r="JT24" s="92"/>
      <c r="JU24" s="92"/>
      <c r="JV24" s="92"/>
      <c r="JW24" s="92"/>
      <c r="JX24" s="92"/>
      <c r="JY24" s="92"/>
      <c r="JZ24" s="92"/>
      <c r="KA24" s="92"/>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2"/>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2"/>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2"/>
      <c r="MY24" s="92"/>
      <c r="MZ24" s="92"/>
      <c r="NA24" s="92"/>
      <c r="NB24" s="92"/>
      <c r="NC24" s="92"/>
      <c r="ND24" s="92"/>
      <c r="NE24" s="92"/>
      <c r="NF24" s="92"/>
      <c r="NG24" s="92"/>
      <c r="NH24" s="92"/>
      <c r="NI24" s="92"/>
      <c r="NJ24" s="92"/>
      <c r="NK24" s="92"/>
      <c r="NL24" s="92"/>
      <c r="NM24" s="92"/>
      <c r="NN24" s="92"/>
      <c r="NO24" s="92"/>
      <c r="NP24" s="92"/>
      <c r="NQ24" s="92"/>
      <c r="NR24" s="92"/>
      <c r="NS24" s="92"/>
      <c r="NT24" s="92"/>
      <c r="NU24" s="92"/>
      <c r="NV24" s="92"/>
      <c r="NW24" s="92"/>
      <c r="NX24" s="92"/>
      <c r="NY24" s="92"/>
      <c r="NZ24" s="92"/>
      <c r="OA24" s="92"/>
      <c r="OB24" s="92"/>
      <c r="OC24" s="92"/>
      <c r="OD24" s="92"/>
      <c r="OE24" s="92"/>
      <c r="OF24" s="92"/>
      <c r="OG24" s="92"/>
      <c r="OH24" s="92"/>
      <c r="OI24" s="92"/>
      <c r="OJ24" s="92"/>
      <c r="OK24" s="92"/>
      <c r="OL24" s="92"/>
      <c r="OM24" s="92"/>
      <c r="ON24" s="92"/>
      <c r="OO24" s="92"/>
      <c r="OP24" s="92"/>
      <c r="OQ24" s="92"/>
      <c r="OR24" s="92"/>
      <c r="OS24" s="92"/>
      <c r="OT24" s="92"/>
      <c r="OU24" s="92"/>
      <c r="OV24" s="92"/>
      <c r="OW24" s="92"/>
      <c r="OX24" s="92"/>
      <c r="OY24" s="92"/>
      <c r="OZ24" s="92"/>
      <c r="PA24" s="92"/>
      <c r="PB24" s="92"/>
      <c r="PC24" s="92"/>
      <c r="PD24" s="92"/>
      <c r="PE24" s="92"/>
      <c r="PF24" s="92"/>
      <c r="PG24" s="92"/>
      <c r="PH24" s="92"/>
      <c r="PI24" s="92"/>
      <c r="PJ24" s="92"/>
      <c r="PK24" s="92"/>
      <c r="PL24" s="92"/>
      <c r="PM24" s="92"/>
      <c r="PN24" s="92"/>
      <c r="PO24" s="92"/>
      <c r="PP24" s="92"/>
      <c r="PQ24" s="92"/>
      <c r="PR24" s="92"/>
      <c r="PS24" s="92"/>
      <c r="PT24" s="92"/>
      <c r="PU24" s="92"/>
      <c r="PV24" s="92"/>
      <c r="PW24" s="92"/>
      <c r="PX24" s="92"/>
      <c r="PY24" s="92"/>
      <c r="PZ24" s="92"/>
      <c r="QA24" s="92"/>
      <c r="QB24" s="92"/>
      <c r="QC24" s="92"/>
      <c r="QD24" s="92"/>
      <c r="QE24" s="92"/>
      <c r="QF24" s="92"/>
      <c r="QG24" s="92"/>
      <c r="QH24" s="92"/>
      <c r="QI24" s="92"/>
      <c r="QJ24" s="92"/>
      <c r="QK24" s="92"/>
      <c r="QL24" s="92"/>
      <c r="QM24" s="92"/>
      <c r="QN24" s="92"/>
      <c r="QO24" s="92"/>
      <c r="QP24" s="92"/>
      <c r="QQ24" s="92"/>
      <c r="QR24" s="92"/>
      <c r="QS24" s="92"/>
      <c r="QT24" s="92"/>
      <c r="QU24" s="92"/>
      <c r="QV24" s="92"/>
      <c r="QW24" s="92"/>
      <c r="QX24" s="92"/>
      <c r="QY24" s="92"/>
    </row>
    <row r="25" spans="1:467" ht="15.75">
      <c r="A25" s="492"/>
      <c r="B25" s="518" t="s">
        <v>366</v>
      </c>
      <c r="C25" s="536">
        <f t="shared" si="10"/>
        <v>0</v>
      </c>
      <c r="D25" s="536">
        <f t="shared" si="11"/>
        <v>0</v>
      </c>
      <c r="E25" s="536">
        <f t="shared" si="12"/>
        <v>2.8287900035953197E-3</v>
      </c>
      <c r="F25" s="537">
        <f t="shared" si="18"/>
        <v>2.8287900035953197E-3</v>
      </c>
      <c r="G25" s="492"/>
      <c r="H25" s="493"/>
      <c r="I25" s="493"/>
      <c r="J25" s="493"/>
      <c r="K25" s="614" t="s">
        <v>366</v>
      </c>
      <c r="L25" s="616">
        <f t="shared" si="13"/>
        <v>0</v>
      </c>
      <c r="M25" s="616">
        <f t="shared" si="14"/>
        <v>0</v>
      </c>
      <c r="N25" s="616">
        <f t="shared" si="15"/>
        <v>0</v>
      </c>
      <c r="O25" s="616">
        <f t="shared" si="16"/>
        <v>0</v>
      </c>
      <c r="P25" s="613"/>
      <c r="Q25" s="614" t="s">
        <v>366</v>
      </c>
      <c r="R25" s="615">
        <f t="shared" si="19"/>
        <v>0</v>
      </c>
      <c r="S25" s="615">
        <f t="shared" si="17"/>
        <v>0</v>
      </c>
      <c r="T25" s="615">
        <f t="shared" si="17"/>
        <v>0</v>
      </c>
      <c r="U25" s="615">
        <f t="shared" si="17"/>
        <v>0</v>
      </c>
      <c r="V25" s="614"/>
      <c r="W25" s="614" t="s">
        <v>366</v>
      </c>
      <c r="X25" s="615">
        <f>'RESUMEN_SEC ELEC_PJ'!D28</f>
        <v>0</v>
      </c>
      <c r="Y25" s="615">
        <f>'RESUMEN_SEC ELEC_PJ'!E28</f>
        <v>0</v>
      </c>
      <c r="Z25" s="615">
        <f>'RESUMEN_SEC ELEC_PJ'!F28</f>
        <v>0</v>
      </c>
      <c r="AA25" s="615">
        <f>'RESUMEN_SEC ELEC_PJ'!G28</f>
        <v>0</v>
      </c>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c r="IW25" s="92"/>
      <c r="IX25" s="92"/>
      <c r="IY25" s="92"/>
      <c r="IZ25" s="92"/>
      <c r="JA25" s="92"/>
      <c r="JB25" s="92"/>
      <c r="JC25" s="92"/>
      <c r="JD25" s="92"/>
      <c r="JE25" s="92"/>
      <c r="JF25" s="92"/>
      <c r="JG25" s="92"/>
      <c r="JH25" s="92"/>
      <c r="JI25" s="92"/>
      <c r="JJ25" s="92"/>
      <c r="JK25" s="92"/>
      <c r="JL25" s="92"/>
      <c r="JM25" s="92"/>
      <c r="JN25" s="92"/>
      <c r="JO25" s="92"/>
      <c r="JP25" s="92"/>
      <c r="JQ25" s="92"/>
      <c r="JR25" s="92"/>
      <c r="JS25" s="92"/>
      <c r="JT25" s="92"/>
      <c r="JU25" s="92"/>
      <c r="JV25" s="92"/>
      <c r="JW25" s="92"/>
      <c r="JX25" s="92"/>
      <c r="JY25" s="92"/>
      <c r="JZ25" s="92"/>
      <c r="KA25" s="92"/>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2"/>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2"/>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2"/>
      <c r="MY25" s="92"/>
      <c r="MZ25" s="92"/>
      <c r="NA25" s="92"/>
      <c r="NB25" s="92"/>
      <c r="NC25" s="92"/>
      <c r="ND25" s="92"/>
      <c r="NE25" s="92"/>
      <c r="NF25" s="92"/>
      <c r="NG25" s="92"/>
      <c r="NH25" s="92"/>
      <c r="NI25" s="92"/>
      <c r="NJ25" s="92"/>
      <c r="NK25" s="92"/>
      <c r="NL25" s="92"/>
      <c r="NM25" s="92"/>
      <c r="NN25" s="92"/>
      <c r="NO25" s="92"/>
      <c r="NP25" s="92"/>
      <c r="NQ25" s="92"/>
      <c r="NR25" s="92"/>
      <c r="NS25" s="92"/>
      <c r="NT25" s="92"/>
      <c r="NU25" s="92"/>
      <c r="NV25" s="92"/>
      <c r="NW25" s="92"/>
      <c r="NX25" s="92"/>
      <c r="NY25" s="92"/>
      <c r="NZ25" s="92"/>
      <c r="OA25" s="92"/>
      <c r="OB25" s="92"/>
      <c r="OC25" s="92"/>
      <c r="OD25" s="92"/>
      <c r="OE25" s="92"/>
      <c r="OF25" s="92"/>
      <c r="OG25" s="92"/>
      <c r="OH25" s="92"/>
      <c r="OI25" s="92"/>
      <c r="OJ25" s="92"/>
      <c r="OK25" s="92"/>
      <c r="OL25" s="92"/>
      <c r="OM25" s="92"/>
      <c r="ON25" s="92"/>
      <c r="OO25" s="92"/>
      <c r="OP25" s="92"/>
      <c r="OQ25" s="92"/>
      <c r="OR25" s="92"/>
      <c r="OS25" s="92"/>
      <c r="OT25" s="92"/>
      <c r="OU25" s="92"/>
      <c r="OV25" s="92"/>
      <c r="OW25" s="92"/>
      <c r="OX25" s="92"/>
      <c r="OY25" s="92"/>
      <c r="OZ25" s="92"/>
      <c r="PA25" s="92"/>
      <c r="PB25" s="92"/>
      <c r="PC25" s="92"/>
      <c r="PD25" s="92"/>
      <c r="PE25" s="92"/>
      <c r="PF25" s="92"/>
      <c r="PG25" s="92"/>
      <c r="PH25" s="92"/>
      <c r="PI25" s="92"/>
      <c r="PJ25" s="92"/>
      <c r="PK25" s="92"/>
      <c r="PL25" s="92"/>
      <c r="PM25" s="92"/>
      <c r="PN25" s="92"/>
      <c r="PO25" s="92"/>
      <c r="PP25" s="92"/>
      <c r="PQ25" s="92"/>
      <c r="PR25" s="92"/>
      <c r="PS25" s="92"/>
      <c r="PT25" s="92"/>
      <c r="PU25" s="92"/>
      <c r="PV25" s="92"/>
      <c r="PW25" s="92"/>
      <c r="PX25" s="92"/>
      <c r="PY25" s="92"/>
      <c r="PZ25" s="92"/>
      <c r="QA25" s="92"/>
      <c r="QB25" s="92"/>
      <c r="QC25" s="92"/>
      <c r="QD25" s="92"/>
      <c r="QE25" s="92"/>
      <c r="QF25" s="92"/>
      <c r="QG25" s="92"/>
      <c r="QH25" s="92"/>
      <c r="QI25" s="92"/>
      <c r="QJ25" s="92"/>
      <c r="QK25" s="92"/>
      <c r="QL25" s="92"/>
      <c r="QM25" s="92"/>
      <c r="QN25" s="92"/>
      <c r="QO25" s="92"/>
      <c r="QP25" s="92"/>
      <c r="QQ25" s="92"/>
      <c r="QR25" s="92"/>
      <c r="QS25" s="92"/>
      <c r="QT25" s="92"/>
      <c r="QU25" s="92"/>
      <c r="QV25" s="92"/>
      <c r="QW25" s="92"/>
      <c r="QX25" s="92"/>
      <c r="QY25" s="92"/>
    </row>
    <row r="26" spans="1:467" ht="15.75">
      <c r="A26" s="492"/>
      <c r="B26" s="517" t="s">
        <v>187</v>
      </c>
      <c r="C26" s="536">
        <f t="shared" si="10"/>
        <v>0</v>
      </c>
      <c r="D26" s="536">
        <f t="shared" si="11"/>
        <v>0</v>
      </c>
      <c r="E26" s="536">
        <f t="shared" si="12"/>
        <v>58.184240370059157</v>
      </c>
      <c r="F26" s="537">
        <f t="shared" si="18"/>
        <v>58.184240370059157</v>
      </c>
      <c r="G26" s="492"/>
      <c r="H26" s="493"/>
      <c r="I26" s="493"/>
      <c r="J26" s="493"/>
      <c r="K26" s="618" t="s">
        <v>187</v>
      </c>
      <c r="L26" s="616">
        <f t="shared" si="13"/>
        <v>0</v>
      </c>
      <c r="M26" s="616">
        <f t="shared" si="14"/>
        <v>0</v>
      </c>
      <c r="N26" s="616">
        <f t="shared" si="15"/>
        <v>4.3961546965884786E-2</v>
      </c>
      <c r="O26" s="616">
        <f t="shared" si="16"/>
        <v>0</v>
      </c>
      <c r="P26" s="613"/>
      <c r="Q26" s="618" t="s">
        <v>187</v>
      </c>
      <c r="R26" s="615">
        <f t="shared" si="19"/>
        <v>0</v>
      </c>
      <c r="S26" s="615">
        <f t="shared" si="17"/>
        <v>0</v>
      </c>
      <c r="T26" s="615">
        <f t="shared" si="17"/>
        <v>1.2193623501458042</v>
      </c>
      <c r="U26" s="615">
        <f t="shared" si="17"/>
        <v>0</v>
      </c>
      <c r="V26" s="614"/>
      <c r="W26" s="618" t="s">
        <v>187</v>
      </c>
      <c r="X26" s="615">
        <f>'RESUMEN_SEC ELEC_PJ'!D29</f>
        <v>0</v>
      </c>
      <c r="Y26" s="615">
        <f>'RESUMEN_SEC ELEC_PJ'!E29</f>
        <v>0</v>
      </c>
      <c r="Z26" s="615">
        <f>'RESUMEN_SEC ELEC_PJ'!F29</f>
        <v>1.2193623501458042</v>
      </c>
      <c r="AA26" s="615">
        <f>'RESUMEN_SEC ELEC_PJ'!G29</f>
        <v>0</v>
      </c>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c r="IW26" s="92"/>
      <c r="IX26" s="92"/>
      <c r="IY26" s="92"/>
      <c r="IZ26" s="92"/>
      <c r="JA26" s="92"/>
      <c r="JB26" s="92"/>
      <c r="JC26" s="92"/>
      <c r="JD26" s="92"/>
      <c r="JE26" s="92"/>
      <c r="JF26" s="92"/>
      <c r="JG26" s="92"/>
      <c r="JH26" s="92"/>
      <c r="JI26" s="92"/>
      <c r="JJ26" s="92"/>
      <c r="JK26" s="92"/>
      <c r="JL26" s="92"/>
      <c r="JM26" s="92"/>
      <c r="JN26" s="92"/>
      <c r="JO26" s="92"/>
      <c r="JP26" s="92"/>
      <c r="JQ26" s="92"/>
      <c r="JR26" s="92"/>
      <c r="JS26" s="92"/>
      <c r="JT26" s="92"/>
      <c r="JU26" s="92"/>
      <c r="JV26" s="92"/>
      <c r="JW26" s="92"/>
      <c r="JX26" s="92"/>
      <c r="JY26" s="92"/>
      <c r="JZ26" s="92"/>
      <c r="KA26" s="92"/>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2"/>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2"/>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2"/>
      <c r="MY26" s="92"/>
      <c r="MZ26" s="92"/>
      <c r="NA26" s="92"/>
      <c r="NB26" s="92"/>
      <c r="NC26" s="92"/>
      <c r="ND26" s="92"/>
      <c r="NE26" s="92"/>
      <c r="NF26" s="92"/>
      <c r="NG26" s="92"/>
      <c r="NH26" s="92"/>
      <c r="NI26" s="92"/>
      <c r="NJ26" s="92"/>
      <c r="NK26" s="92"/>
      <c r="NL26" s="92"/>
      <c r="NM26" s="92"/>
      <c r="NN26" s="92"/>
      <c r="NO26" s="92"/>
      <c r="NP26" s="92"/>
      <c r="NQ26" s="92"/>
      <c r="NR26" s="92"/>
      <c r="NS26" s="92"/>
      <c r="NT26" s="92"/>
      <c r="NU26" s="92"/>
      <c r="NV26" s="92"/>
      <c r="NW26" s="92"/>
      <c r="NX26" s="92"/>
      <c r="NY26" s="92"/>
      <c r="NZ26" s="92"/>
      <c r="OA26" s="92"/>
      <c r="OB26" s="92"/>
      <c r="OC26" s="92"/>
      <c r="OD26" s="92"/>
      <c r="OE26" s="92"/>
      <c r="OF26" s="92"/>
      <c r="OG26" s="92"/>
      <c r="OH26" s="92"/>
      <c r="OI26" s="92"/>
      <c r="OJ26" s="92"/>
      <c r="OK26" s="92"/>
      <c r="OL26" s="92"/>
      <c r="OM26" s="92"/>
      <c r="ON26" s="92"/>
      <c r="OO26" s="92"/>
      <c r="OP26" s="92"/>
      <c r="OQ26" s="92"/>
      <c r="OR26" s="92"/>
      <c r="OS26" s="92"/>
      <c r="OT26" s="92"/>
      <c r="OU26" s="92"/>
      <c r="OV26" s="92"/>
      <c r="OW26" s="92"/>
      <c r="OX26" s="92"/>
      <c r="OY26" s="92"/>
      <c r="OZ26" s="92"/>
      <c r="PA26" s="92"/>
      <c r="PB26" s="92"/>
      <c r="PC26" s="92"/>
      <c r="PD26" s="92"/>
      <c r="PE26" s="92"/>
      <c r="PF26" s="92"/>
      <c r="PG26" s="92"/>
      <c r="PH26" s="92"/>
      <c r="PI26" s="92"/>
      <c r="PJ26" s="92"/>
      <c r="PK26" s="92"/>
      <c r="PL26" s="92"/>
      <c r="PM26" s="92"/>
      <c r="PN26" s="92"/>
      <c r="PO26" s="92"/>
      <c r="PP26" s="92"/>
      <c r="PQ26" s="92"/>
      <c r="PR26" s="92"/>
      <c r="PS26" s="92"/>
      <c r="PT26" s="92"/>
      <c r="PU26" s="92"/>
      <c r="PV26" s="92"/>
      <c r="PW26" s="92"/>
      <c r="PX26" s="92"/>
      <c r="PY26" s="92"/>
      <c r="PZ26" s="92"/>
      <c r="QA26" s="92"/>
      <c r="QB26" s="92"/>
      <c r="QC26" s="92"/>
      <c r="QD26" s="92"/>
      <c r="QE26" s="92"/>
      <c r="QF26" s="92"/>
      <c r="QG26" s="92"/>
      <c r="QH26" s="92"/>
      <c r="QI26" s="92"/>
      <c r="QJ26" s="92"/>
      <c r="QK26" s="92"/>
      <c r="QL26" s="92"/>
      <c r="QM26" s="92"/>
      <c r="QN26" s="92"/>
      <c r="QO26" s="92"/>
      <c r="QP26" s="92"/>
      <c r="QQ26" s="92"/>
      <c r="QR26" s="92"/>
      <c r="QS26" s="92"/>
      <c r="QT26" s="92"/>
      <c r="QU26" s="92"/>
      <c r="QV26" s="92"/>
      <c r="QW26" s="92"/>
      <c r="QX26" s="92"/>
      <c r="QY26" s="92"/>
    </row>
    <row r="27" spans="1:467" ht="15.75">
      <c r="A27" s="492"/>
      <c r="B27" s="517" t="s">
        <v>222</v>
      </c>
      <c r="C27" s="536">
        <f>C12*L43</f>
        <v>32290.595000000001</v>
      </c>
      <c r="D27" s="536">
        <f t="shared" si="11"/>
        <v>0</v>
      </c>
      <c r="E27" s="536">
        <f t="shared" si="12"/>
        <v>176.97429098575947</v>
      </c>
      <c r="F27" s="537">
        <f t="shared" si="18"/>
        <v>32467.569290985761</v>
      </c>
      <c r="G27" s="492"/>
      <c r="H27" s="493"/>
      <c r="I27" s="493"/>
      <c r="J27" s="493"/>
      <c r="K27" s="618" t="s">
        <v>222</v>
      </c>
      <c r="L27" s="616">
        <f t="shared" si="13"/>
        <v>4.7929654594432106E-3</v>
      </c>
      <c r="M27" s="616">
        <f t="shared" si="14"/>
        <v>0</v>
      </c>
      <c r="N27" s="616">
        <f>T27/T$31</f>
        <v>0.30929267012213774</v>
      </c>
      <c r="O27" s="616">
        <f t="shared" si="16"/>
        <v>0</v>
      </c>
      <c r="P27" s="613"/>
      <c r="Q27" s="618" t="s">
        <v>222</v>
      </c>
      <c r="R27" s="615">
        <f t="shared" si="19"/>
        <v>39.620127741280001</v>
      </c>
      <c r="S27" s="615">
        <f t="shared" si="17"/>
        <v>0</v>
      </c>
      <c r="T27" s="615">
        <f t="shared" si="17"/>
        <v>8.5788572776037739</v>
      </c>
      <c r="U27" s="615">
        <f t="shared" si="17"/>
        <v>0</v>
      </c>
      <c r="V27" s="614"/>
      <c r="W27" s="618" t="s">
        <v>222</v>
      </c>
      <c r="X27" s="615">
        <f>'RESUMEN_SEC ELEC_PJ'!D30</f>
        <v>39.620127741280001</v>
      </c>
      <c r="Y27" s="615">
        <f>'RESUMEN_SEC ELEC_PJ'!E30</f>
        <v>0</v>
      </c>
      <c r="Z27" s="615">
        <f>'RESUMEN_SEC ELEC_PJ'!F30</f>
        <v>8.5788572776037739</v>
      </c>
      <c r="AA27" s="615">
        <f>'RESUMEN_SEC ELEC_PJ'!G30</f>
        <v>0</v>
      </c>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c r="IW27" s="92"/>
      <c r="IX27" s="92"/>
      <c r="IY27" s="92"/>
      <c r="IZ27" s="92"/>
      <c r="JA27" s="92"/>
      <c r="JB27" s="92"/>
      <c r="JC27" s="92"/>
      <c r="JD27" s="92"/>
      <c r="JE27" s="92"/>
      <c r="JF27" s="92"/>
      <c r="JG27" s="92"/>
      <c r="JH27" s="92"/>
      <c r="JI27" s="92"/>
      <c r="JJ27" s="92"/>
      <c r="JK27" s="92"/>
      <c r="JL27" s="92"/>
      <c r="JM27" s="92"/>
      <c r="JN27" s="92"/>
      <c r="JO27" s="92"/>
      <c r="JP27" s="92"/>
      <c r="JQ27" s="92"/>
      <c r="JR27" s="92"/>
      <c r="JS27" s="92"/>
      <c r="JT27" s="92"/>
      <c r="JU27" s="92"/>
      <c r="JV27" s="92"/>
      <c r="JW27" s="92"/>
      <c r="JX27" s="92"/>
      <c r="JY27" s="92"/>
      <c r="JZ27" s="92"/>
      <c r="KA27" s="92"/>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2"/>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2"/>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2"/>
      <c r="MY27" s="92"/>
      <c r="MZ27" s="92"/>
      <c r="NA27" s="92"/>
      <c r="NB27" s="92"/>
      <c r="NC27" s="92"/>
      <c r="ND27" s="92"/>
      <c r="NE27" s="92"/>
      <c r="NF27" s="92"/>
      <c r="NG27" s="92"/>
      <c r="NH27" s="92"/>
      <c r="NI27" s="92"/>
      <c r="NJ27" s="92"/>
      <c r="NK27" s="92"/>
      <c r="NL27" s="92"/>
      <c r="NM27" s="92"/>
      <c r="NN27" s="92"/>
      <c r="NO27" s="92"/>
      <c r="NP27" s="92"/>
      <c r="NQ27" s="92"/>
      <c r="NR27" s="92"/>
      <c r="NS27" s="92"/>
      <c r="NT27" s="92"/>
      <c r="NU27" s="92"/>
      <c r="NV27" s="92"/>
      <c r="NW27" s="92"/>
      <c r="NX27" s="92"/>
      <c r="NY27" s="92"/>
      <c r="NZ27" s="92"/>
      <c r="OA27" s="92"/>
      <c r="OB27" s="92"/>
      <c r="OC27" s="92"/>
      <c r="OD27" s="92"/>
      <c r="OE27" s="92"/>
      <c r="OF27" s="92"/>
      <c r="OG27" s="92"/>
      <c r="OH27" s="92"/>
      <c r="OI27" s="92"/>
      <c r="OJ27" s="92"/>
      <c r="OK27" s="92"/>
      <c r="OL27" s="92"/>
      <c r="OM27" s="92"/>
      <c r="ON27" s="92"/>
      <c r="OO27" s="92"/>
      <c r="OP27" s="92"/>
      <c r="OQ27" s="92"/>
      <c r="OR27" s="92"/>
      <c r="OS27" s="92"/>
      <c r="OT27" s="92"/>
      <c r="OU27" s="92"/>
      <c r="OV27" s="92"/>
      <c r="OW27" s="92"/>
      <c r="OX27" s="92"/>
      <c r="OY27" s="92"/>
      <c r="OZ27" s="92"/>
      <c r="PA27" s="92"/>
      <c r="PB27" s="92"/>
      <c r="PC27" s="92"/>
      <c r="PD27" s="92"/>
      <c r="PE27" s="92"/>
      <c r="PF27" s="92"/>
      <c r="PG27" s="92"/>
      <c r="PH27" s="92"/>
      <c r="PI27" s="92"/>
      <c r="PJ27" s="92"/>
      <c r="PK27" s="92"/>
      <c r="PL27" s="92"/>
      <c r="PM27" s="92"/>
      <c r="PN27" s="92"/>
      <c r="PO27" s="92"/>
      <c r="PP27" s="92"/>
      <c r="PQ27" s="92"/>
      <c r="PR27" s="92"/>
      <c r="PS27" s="92"/>
      <c r="PT27" s="92"/>
      <c r="PU27" s="92"/>
      <c r="PV27" s="92"/>
      <c r="PW27" s="92"/>
      <c r="PX27" s="92"/>
      <c r="PY27" s="92"/>
      <c r="PZ27" s="92"/>
      <c r="QA27" s="92"/>
      <c r="QB27" s="92"/>
      <c r="QC27" s="92"/>
      <c r="QD27" s="92"/>
      <c r="QE27" s="92"/>
      <c r="QF27" s="92"/>
      <c r="QG27" s="92"/>
      <c r="QH27" s="92"/>
      <c r="QI27" s="92"/>
      <c r="QJ27" s="92"/>
      <c r="QK27" s="92"/>
      <c r="QL27" s="92"/>
      <c r="QM27" s="92"/>
      <c r="QN27" s="92"/>
      <c r="QO27" s="92"/>
      <c r="QP27" s="92"/>
      <c r="QQ27" s="92"/>
      <c r="QR27" s="92"/>
      <c r="QS27" s="92"/>
      <c r="QT27" s="92"/>
      <c r="QU27" s="92"/>
      <c r="QV27" s="92"/>
      <c r="QW27" s="92"/>
      <c r="QX27" s="92"/>
      <c r="QY27" s="92"/>
    </row>
    <row r="28" spans="1:467" ht="15.75">
      <c r="A28" s="492"/>
      <c r="B28" s="529" t="s">
        <v>224</v>
      </c>
      <c r="C28" s="536">
        <f t="shared" si="10"/>
        <v>34362.577204906236</v>
      </c>
      <c r="D28" s="536">
        <f t="shared" si="11"/>
        <v>30582.783451162577</v>
      </c>
      <c r="E28" s="536">
        <f t="shared" si="12"/>
        <v>755.44460208647615</v>
      </c>
      <c r="F28" s="537">
        <f t="shared" si="18"/>
        <v>65700.805258155291</v>
      </c>
      <c r="G28" s="492"/>
      <c r="H28" s="493"/>
      <c r="I28" s="493"/>
      <c r="J28" s="493"/>
      <c r="K28" s="607" t="s">
        <v>224</v>
      </c>
      <c r="L28" s="616">
        <f t="shared" si="13"/>
        <v>0.12673529466504896</v>
      </c>
      <c r="M28" s="616">
        <f t="shared" si="14"/>
        <v>0.85691189680127178</v>
      </c>
      <c r="N28" s="616">
        <f t="shared" si="15"/>
        <v>0.22536621914344601</v>
      </c>
      <c r="O28" s="616">
        <f t="shared" si="16"/>
        <v>0</v>
      </c>
      <c r="P28" s="613"/>
      <c r="Q28" s="607" t="s">
        <v>224</v>
      </c>
      <c r="R28" s="615">
        <f t="shared" si="19"/>
        <v>1047.6329542632072</v>
      </c>
      <c r="S28" s="615">
        <f t="shared" si="17"/>
        <v>1166.051506823201</v>
      </c>
      <c r="T28" s="615">
        <f t="shared" si="17"/>
        <v>6.250987546718509</v>
      </c>
      <c r="U28" s="615">
        <f t="shared" si="17"/>
        <v>0</v>
      </c>
      <c r="V28" s="614"/>
      <c r="W28" s="607" t="s">
        <v>224</v>
      </c>
      <c r="X28" s="615">
        <f>'RESUMEN_SEC ELEC_PJ'!D31</f>
        <v>1047.6329542632072</v>
      </c>
      <c r="Y28" s="615">
        <f>'RESUMEN_SEC ELEC_PJ'!E31</f>
        <v>1166.051506823201</v>
      </c>
      <c r="Z28" s="615">
        <f>'RESUMEN_SEC ELEC_PJ'!F31</f>
        <v>6.250987546718509</v>
      </c>
      <c r="AA28" s="615">
        <f>'RESUMEN_SEC ELEC_PJ'!G31</f>
        <v>0</v>
      </c>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c r="IX28" s="92"/>
      <c r="IY28" s="92"/>
      <c r="IZ28" s="92"/>
      <c r="JA28" s="92"/>
      <c r="JB28" s="92"/>
      <c r="JC28" s="92"/>
      <c r="JD28" s="92"/>
      <c r="JE28" s="92"/>
      <c r="JF28" s="92"/>
      <c r="JG28" s="92"/>
      <c r="JH28" s="92"/>
      <c r="JI28" s="92"/>
      <c r="JJ28" s="92"/>
      <c r="JK28" s="92"/>
      <c r="JL28" s="92"/>
      <c r="JM28" s="92"/>
      <c r="JN28" s="92"/>
      <c r="JO28" s="92"/>
      <c r="JP28" s="92"/>
      <c r="JQ28" s="92"/>
      <c r="JR28" s="92"/>
      <c r="JS28" s="92"/>
      <c r="JT28" s="92"/>
      <c r="JU28" s="92"/>
      <c r="JV28" s="92"/>
      <c r="JW28" s="92"/>
      <c r="JX28" s="92"/>
      <c r="JY28" s="92"/>
      <c r="JZ28" s="92"/>
      <c r="KA28" s="92"/>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2"/>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2"/>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2"/>
      <c r="MY28" s="92"/>
      <c r="MZ28" s="92"/>
      <c r="NA28" s="92"/>
      <c r="NB28" s="92"/>
      <c r="NC28" s="92"/>
      <c r="ND28" s="92"/>
      <c r="NE28" s="92"/>
      <c r="NF28" s="92"/>
      <c r="NG28" s="92"/>
      <c r="NH28" s="92"/>
      <c r="NI28" s="92"/>
      <c r="NJ28" s="92"/>
      <c r="NK28" s="92"/>
      <c r="NL28" s="92"/>
      <c r="NM28" s="92"/>
      <c r="NN28" s="92"/>
      <c r="NO28" s="92"/>
      <c r="NP28" s="92"/>
      <c r="NQ28" s="92"/>
      <c r="NR28" s="92"/>
      <c r="NS28" s="92"/>
      <c r="NT28" s="92"/>
      <c r="NU28" s="92"/>
      <c r="NV28" s="92"/>
      <c r="NW28" s="92"/>
      <c r="NX28" s="92"/>
      <c r="NY28" s="92"/>
      <c r="NZ28" s="92"/>
      <c r="OA28" s="92"/>
      <c r="OB28" s="92"/>
      <c r="OC28" s="92"/>
      <c r="OD28" s="92"/>
      <c r="OE28" s="92"/>
      <c r="OF28" s="92"/>
      <c r="OG28" s="92"/>
      <c r="OH28" s="92"/>
      <c r="OI28" s="92"/>
      <c r="OJ28" s="92"/>
      <c r="OK28" s="92"/>
      <c r="OL28" s="92"/>
      <c r="OM28" s="92"/>
      <c r="ON28" s="92"/>
      <c r="OO28" s="92"/>
      <c r="OP28" s="92"/>
      <c r="OQ28" s="92"/>
      <c r="OR28" s="92"/>
      <c r="OS28" s="92"/>
      <c r="OT28" s="92"/>
      <c r="OU28" s="92"/>
      <c r="OV28" s="92"/>
      <c r="OW28" s="92"/>
      <c r="OX28" s="92"/>
      <c r="OY28" s="92"/>
      <c r="OZ28" s="92"/>
      <c r="PA28" s="92"/>
      <c r="PB28" s="92"/>
      <c r="PC28" s="92"/>
      <c r="PD28" s="92"/>
      <c r="PE28" s="92"/>
      <c r="PF28" s="92"/>
      <c r="PG28" s="92"/>
      <c r="PH28" s="92"/>
      <c r="PI28" s="92"/>
      <c r="PJ28" s="92"/>
      <c r="PK28" s="92"/>
      <c r="PL28" s="92"/>
      <c r="PM28" s="92"/>
      <c r="PN28" s="92"/>
      <c r="PO28" s="92"/>
      <c r="PP28" s="92"/>
      <c r="PQ28" s="92"/>
      <c r="PR28" s="92"/>
      <c r="PS28" s="92"/>
      <c r="PT28" s="92"/>
      <c r="PU28" s="92"/>
      <c r="PV28" s="92"/>
      <c r="PW28" s="92"/>
      <c r="PX28" s="92"/>
      <c r="PY28" s="92"/>
      <c r="PZ28" s="92"/>
      <c r="QA28" s="92"/>
      <c r="QB28" s="92"/>
      <c r="QC28" s="92"/>
      <c r="QD28" s="92"/>
      <c r="QE28" s="92"/>
      <c r="QF28" s="92"/>
      <c r="QG28" s="92"/>
      <c r="QH28" s="92"/>
      <c r="QI28" s="92"/>
      <c r="QJ28" s="92"/>
      <c r="QK28" s="92"/>
      <c r="QL28" s="92"/>
      <c r="QM28" s="92"/>
      <c r="QN28" s="92"/>
      <c r="QO28" s="92"/>
      <c r="QP28" s="92"/>
      <c r="QQ28" s="92"/>
      <c r="QR28" s="92"/>
      <c r="QS28" s="92"/>
      <c r="QT28" s="92"/>
      <c r="QU28" s="92"/>
      <c r="QV28" s="92"/>
      <c r="QW28" s="92"/>
      <c r="QX28" s="92"/>
      <c r="QY28" s="92"/>
    </row>
    <row r="29" spans="1:467" ht="15.75">
      <c r="A29" s="492"/>
      <c r="B29" s="529" t="s">
        <v>223</v>
      </c>
      <c r="C29" s="536">
        <f t="shared" si="10"/>
        <v>499.37925924129672</v>
      </c>
      <c r="D29" s="630">
        <f t="shared" si="11"/>
        <v>0</v>
      </c>
      <c r="E29" s="536">
        <f t="shared" si="12"/>
        <v>10.978610932998265</v>
      </c>
      <c r="F29" s="537">
        <f t="shared" si="18"/>
        <v>510.35787017429499</v>
      </c>
      <c r="G29" s="492"/>
      <c r="H29" s="493"/>
      <c r="I29" s="493"/>
      <c r="J29" s="493"/>
      <c r="K29" s="607" t="s">
        <v>223</v>
      </c>
      <c r="L29" s="616">
        <f t="shared" si="13"/>
        <v>5.7927529057996924E-4</v>
      </c>
      <c r="M29" s="616">
        <f t="shared" si="14"/>
        <v>4.1372120265599022E-3</v>
      </c>
      <c r="N29" s="616">
        <f t="shared" si="15"/>
        <v>8.7472167956080833E-3</v>
      </c>
      <c r="O29" s="616">
        <f t="shared" si="16"/>
        <v>0</v>
      </c>
      <c r="P29" s="613"/>
      <c r="Q29" s="607" t="s">
        <v>223</v>
      </c>
      <c r="R29" s="615">
        <f t="shared" si="19"/>
        <v>4.7884678503006866</v>
      </c>
      <c r="S29" s="615">
        <f t="shared" si="17"/>
        <v>5.6297529951740577</v>
      </c>
      <c r="T29" s="615">
        <f t="shared" si="17"/>
        <v>0.24262173570471976</v>
      </c>
      <c r="U29" s="615">
        <f t="shared" si="17"/>
        <v>0</v>
      </c>
      <c r="V29" s="614"/>
      <c r="W29" s="607" t="s">
        <v>223</v>
      </c>
      <c r="X29" s="615">
        <f>'RESUMEN_SEC ELEC_PJ'!D32</f>
        <v>4.7884678503006866</v>
      </c>
      <c r="Y29" s="615">
        <f>'RESUMEN_SEC ELEC_PJ'!E32</f>
        <v>5.6297529951740577</v>
      </c>
      <c r="Z29" s="615">
        <f>'RESUMEN_SEC ELEC_PJ'!F32</f>
        <v>0.24262173570471976</v>
      </c>
      <c r="AA29" s="615">
        <f>'RESUMEN_SEC ELEC_PJ'!G32</f>
        <v>0</v>
      </c>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c r="IW29" s="92"/>
      <c r="IX29" s="92"/>
      <c r="IY29" s="92"/>
      <c r="IZ29" s="92"/>
      <c r="JA29" s="92"/>
      <c r="JB29" s="92"/>
      <c r="JC29" s="92"/>
      <c r="JD29" s="92"/>
      <c r="JE29" s="92"/>
      <c r="JF29" s="92"/>
      <c r="JG29" s="92"/>
      <c r="JH29" s="92"/>
      <c r="JI29" s="92"/>
      <c r="JJ29" s="92"/>
      <c r="JK29" s="92"/>
      <c r="JL29" s="92"/>
      <c r="JM29" s="92"/>
      <c r="JN29" s="92"/>
      <c r="JO29" s="92"/>
      <c r="JP29" s="92"/>
      <c r="JQ29" s="92"/>
      <c r="JR29" s="92"/>
      <c r="JS29" s="92"/>
      <c r="JT29" s="92"/>
      <c r="JU29" s="92"/>
      <c r="JV29" s="92"/>
      <c r="JW29" s="92"/>
      <c r="JX29" s="92"/>
      <c r="JY29" s="92"/>
      <c r="JZ29" s="92"/>
      <c r="KA29" s="92"/>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2"/>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2"/>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2"/>
      <c r="MY29" s="92"/>
      <c r="MZ29" s="92"/>
      <c r="NA29" s="92"/>
      <c r="NB29" s="92"/>
      <c r="NC29" s="92"/>
      <c r="ND29" s="92"/>
      <c r="NE29" s="92"/>
      <c r="NF29" s="92"/>
      <c r="NG29" s="92"/>
      <c r="NH29" s="92"/>
      <c r="NI29" s="92"/>
      <c r="NJ29" s="92"/>
      <c r="NK29" s="92"/>
      <c r="NL29" s="92"/>
      <c r="NM29" s="92"/>
      <c r="NN29" s="92"/>
      <c r="NO29" s="92"/>
      <c r="NP29" s="92"/>
      <c r="NQ29" s="92"/>
      <c r="NR29" s="92"/>
      <c r="NS29" s="92"/>
      <c r="NT29" s="92"/>
      <c r="NU29" s="92"/>
      <c r="NV29" s="92"/>
      <c r="NW29" s="92"/>
      <c r="NX29" s="92"/>
      <c r="NY29" s="92"/>
      <c r="NZ29" s="92"/>
      <c r="OA29" s="92"/>
      <c r="OB29" s="92"/>
      <c r="OC29" s="92"/>
      <c r="OD29" s="92"/>
      <c r="OE29" s="92"/>
      <c r="OF29" s="92"/>
      <c r="OG29" s="92"/>
      <c r="OH29" s="92"/>
      <c r="OI29" s="92"/>
      <c r="OJ29" s="92"/>
      <c r="OK29" s="92"/>
      <c r="OL29" s="92"/>
      <c r="OM29" s="92"/>
      <c r="ON29" s="92"/>
      <c r="OO29" s="92"/>
      <c r="OP29" s="92"/>
      <c r="OQ29" s="92"/>
      <c r="OR29" s="92"/>
      <c r="OS29" s="92"/>
      <c r="OT29" s="92"/>
      <c r="OU29" s="92"/>
      <c r="OV29" s="92"/>
      <c r="OW29" s="92"/>
      <c r="OX29" s="92"/>
      <c r="OY29" s="92"/>
      <c r="OZ29" s="92"/>
      <c r="PA29" s="92"/>
      <c r="PB29" s="92"/>
      <c r="PC29" s="92"/>
      <c r="PD29" s="92"/>
      <c r="PE29" s="92"/>
      <c r="PF29" s="92"/>
      <c r="PG29" s="92"/>
      <c r="PH29" s="92"/>
      <c r="PI29" s="92"/>
      <c r="PJ29" s="92"/>
      <c r="PK29" s="92"/>
      <c r="PL29" s="92"/>
      <c r="PM29" s="92"/>
      <c r="PN29" s="92"/>
      <c r="PO29" s="92"/>
      <c r="PP29" s="92"/>
      <c r="PQ29" s="92"/>
      <c r="PR29" s="92"/>
      <c r="PS29" s="92"/>
      <c r="PT29" s="92"/>
      <c r="PU29" s="92"/>
      <c r="PV29" s="92"/>
      <c r="PW29" s="92"/>
      <c r="PX29" s="92"/>
      <c r="PY29" s="92"/>
      <c r="PZ29" s="92"/>
      <c r="QA29" s="92"/>
      <c r="QB29" s="92"/>
      <c r="QC29" s="92"/>
      <c r="QD29" s="92"/>
      <c r="QE29" s="92"/>
      <c r="QF29" s="92"/>
      <c r="QG29" s="92"/>
      <c r="QH29" s="92"/>
      <c r="QI29" s="92"/>
      <c r="QJ29" s="92"/>
      <c r="QK29" s="92"/>
      <c r="QL29" s="92"/>
      <c r="QM29" s="92"/>
      <c r="QN29" s="92"/>
      <c r="QO29" s="92"/>
      <c r="QP29" s="92"/>
      <c r="QQ29" s="92"/>
      <c r="QR29" s="92"/>
      <c r="QS29" s="92"/>
      <c r="QT29" s="92"/>
      <c r="QU29" s="92"/>
      <c r="QV29" s="92"/>
      <c r="QW29" s="92"/>
      <c r="QX29" s="92"/>
      <c r="QY29" s="92"/>
    </row>
    <row r="30" spans="1:467" ht="15.75">
      <c r="A30" s="492"/>
      <c r="B30" s="517" t="s">
        <v>221</v>
      </c>
      <c r="C30" s="536">
        <f t="shared" si="10"/>
        <v>11523.313535852463</v>
      </c>
      <c r="D30" s="630">
        <f t="shared" si="11"/>
        <v>0</v>
      </c>
      <c r="E30" s="536">
        <f t="shared" si="12"/>
        <v>253.33446199043681</v>
      </c>
      <c r="F30" s="537">
        <f t="shared" si="18"/>
        <v>11776.6479978429</v>
      </c>
      <c r="G30" s="492"/>
      <c r="H30" s="493"/>
      <c r="I30" s="493"/>
      <c r="J30" s="493"/>
      <c r="K30" s="618" t="s">
        <v>221</v>
      </c>
      <c r="L30" s="616">
        <f>R30/R$31</f>
        <v>0.81643688098322353</v>
      </c>
      <c r="M30" s="616">
        <f t="shared" si="14"/>
        <v>1.196976821314385E-2</v>
      </c>
      <c r="N30" s="616">
        <f t="shared" si="15"/>
        <v>0.2048598136260639</v>
      </c>
      <c r="O30" s="616">
        <f t="shared" si="16"/>
        <v>0</v>
      </c>
      <c r="P30" s="613"/>
      <c r="Q30" s="618" t="s">
        <v>221</v>
      </c>
      <c r="R30" s="615">
        <f t="shared" si="19"/>
        <v>6748.9185538602351</v>
      </c>
      <c r="S30" s="615">
        <f t="shared" si="17"/>
        <v>16.287982829228618</v>
      </c>
      <c r="T30" s="615">
        <f t="shared" si="17"/>
        <v>5.6822009468265122</v>
      </c>
      <c r="U30" s="615">
        <f t="shared" si="17"/>
        <v>0</v>
      </c>
      <c r="V30" s="614"/>
      <c r="W30" s="618" t="s">
        <v>221</v>
      </c>
      <c r="X30" s="615">
        <f>'RESUMEN_SEC ELEC_PJ'!D33</f>
        <v>6748.9185538602351</v>
      </c>
      <c r="Y30" s="615">
        <f>'RESUMEN_SEC ELEC_PJ'!E33</f>
        <v>16.287982829228618</v>
      </c>
      <c r="Z30" s="615">
        <f>'RESUMEN_SEC ELEC_PJ'!F33</f>
        <v>5.6822009468265122</v>
      </c>
      <c r="AA30" s="615">
        <f>'RESUMEN_SEC ELEC_PJ'!G33</f>
        <v>0</v>
      </c>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c r="QP30" s="92"/>
      <c r="QQ30" s="92"/>
      <c r="QR30" s="92"/>
      <c r="QS30" s="92"/>
      <c r="QT30" s="92"/>
      <c r="QU30" s="92"/>
      <c r="QV30" s="92"/>
      <c r="QW30" s="92"/>
      <c r="QX30" s="92"/>
      <c r="QY30" s="92"/>
    </row>
    <row r="31" spans="1:467" ht="15.75">
      <c r="A31" s="492"/>
      <c r="B31" s="495" t="s">
        <v>7</v>
      </c>
      <c r="C31" s="533">
        <f>SUM(C19:C30)</f>
        <v>78675.864999999991</v>
      </c>
      <c r="D31" s="533">
        <f t="shared" ref="D31:E31" si="20">SUM(D19:D30)</f>
        <v>31288.560000000005</v>
      </c>
      <c r="E31" s="533">
        <f t="shared" si="20"/>
        <v>1461.2214433108343</v>
      </c>
      <c r="F31" s="537">
        <f>SUM(C31:E31)</f>
        <v>111425.64644331082</v>
      </c>
      <c r="G31" s="492"/>
      <c r="H31" s="533"/>
      <c r="I31" s="493"/>
      <c r="J31" s="493"/>
      <c r="K31" s="610" t="s">
        <v>560</v>
      </c>
      <c r="L31" s="619">
        <f>SUM(L19:L30)</f>
        <v>0.99999999999999989</v>
      </c>
      <c r="M31" s="619">
        <f t="shared" ref="M31" si="21">SUM(M19:M30)</f>
        <v>0.99999999999999989</v>
      </c>
      <c r="N31" s="619">
        <f t="shared" ref="N31:O31" si="22">SUM(N19:N30)</f>
        <v>1</v>
      </c>
      <c r="O31" s="619">
        <f t="shared" si="22"/>
        <v>1</v>
      </c>
      <c r="P31" s="613"/>
      <c r="Q31" s="610" t="s">
        <v>560</v>
      </c>
      <c r="R31" s="610">
        <f>SUM(R19:R30)</f>
        <v>8266.3077955672543</v>
      </c>
      <c r="S31" s="610">
        <f t="shared" ref="S31:U31" si="23">SUM(S19:S30)</f>
        <v>1360.7600865105301</v>
      </c>
      <c r="T31" s="610">
        <f t="shared" si="23"/>
        <v>27.737020971806533</v>
      </c>
      <c r="U31" s="610">
        <f t="shared" si="23"/>
        <v>126.45347756049459</v>
      </c>
      <c r="V31" s="614"/>
      <c r="W31" s="610" t="s">
        <v>560</v>
      </c>
      <c r="X31" s="610">
        <f>SUM(X19:X30)</f>
        <v>8266.3185281942533</v>
      </c>
      <c r="Y31" s="610">
        <f t="shared" ref="Y31:AA31" si="24">SUM(Y19:Y30)</f>
        <v>1360.9236506602961</v>
      </c>
      <c r="Z31" s="610">
        <f t="shared" si="24"/>
        <v>27.737020971806533</v>
      </c>
      <c r="AA31" s="610">
        <f t="shared" si="24"/>
        <v>126.45347756049459</v>
      </c>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c r="QP31" s="92"/>
      <c r="QQ31" s="92"/>
      <c r="QR31" s="92"/>
      <c r="QS31" s="92"/>
      <c r="QT31" s="92"/>
      <c r="QU31" s="92"/>
      <c r="QV31" s="92"/>
      <c r="QW31" s="92"/>
      <c r="QX31" s="92"/>
      <c r="QY31" s="92"/>
    </row>
    <row r="32" spans="1:467" ht="16.5" thickBot="1">
      <c r="A32" s="492"/>
      <c r="B32" s="492"/>
      <c r="C32" s="492"/>
      <c r="D32" s="492"/>
      <c r="E32" s="492"/>
      <c r="F32" s="492"/>
      <c r="G32" s="493"/>
      <c r="H32" s="493"/>
      <c r="I32" s="493"/>
      <c r="J32" s="493"/>
      <c r="K32" s="615"/>
      <c r="L32" s="615"/>
      <c r="M32" s="615"/>
      <c r="N32" s="615"/>
      <c r="O32" s="620"/>
      <c r="P32" s="614"/>
      <c r="Q32" s="614"/>
      <c r="R32" s="618"/>
      <c r="S32" s="618"/>
      <c r="T32" s="607"/>
      <c r="U32" s="607"/>
      <c r="V32" s="608"/>
      <c r="W32" s="608"/>
      <c r="X32" s="608"/>
      <c r="Y32" s="608"/>
      <c r="Z32" s="608"/>
      <c r="AA32" s="608"/>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c r="QP32" s="92"/>
      <c r="QQ32" s="92"/>
      <c r="QR32" s="92"/>
      <c r="QS32" s="92"/>
      <c r="QT32" s="92"/>
      <c r="QU32" s="92"/>
      <c r="QV32" s="92"/>
      <c r="QW32" s="92"/>
      <c r="QX32" s="92"/>
      <c r="QY32" s="92"/>
    </row>
    <row r="33" spans="1:467" ht="45">
      <c r="A33" s="492"/>
      <c r="B33" s="576" t="s">
        <v>658</v>
      </c>
      <c r="C33" s="577" t="s">
        <v>383</v>
      </c>
      <c r="D33" s="577" t="s">
        <v>384</v>
      </c>
      <c r="E33" s="577" t="s">
        <v>172</v>
      </c>
      <c r="F33" s="578"/>
      <c r="G33" s="493"/>
      <c r="H33" s="493"/>
      <c r="I33" s="493"/>
      <c r="J33" s="493"/>
      <c r="K33" s="500"/>
      <c r="L33" s="500"/>
      <c r="M33" s="500"/>
      <c r="N33" s="500"/>
      <c r="O33" s="538"/>
      <c r="P33" s="518"/>
      <c r="Q33" s="518"/>
      <c r="R33" s="517"/>
      <c r="S33" s="517"/>
      <c r="T33" s="529"/>
      <c r="U33" s="529"/>
      <c r="V33" s="111"/>
      <c r="W33" s="111"/>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c r="QP33" s="92"/>
      <c r="QQ33" s="92"/>
      <c r="QR33" s="92"/>
      <c r="QS33" s="92"/>
      <c r="QT33" s="92"/>
      <c r="QU33" s="92"/>
      <c r="QV33" s="92"/>
      <c r="QW33" s="92"/>
      <c r="QX33" s="92"/>
      <c r="QY33" s="92"/>
    </row>
    <row r="34" spans="1:467" ht="15.75">
      <c r="A34" s="492"/>
      <c r="B34" s="579" t="s">
        <v>218</v>
      </c>
      <c r="C34" s="539">
        <f t="shared" ref="C34:E46" si="25">C19/C$31</f>
        <v>0</v>
      </c>
      <c r="D34" s="539">
        <f t="shared" si="25"/>
        <v>0</v>
      </c>
      <c r="E34" s="539">
        <f t="shared" si="25"/>
        <v>9.4584908458395039E-2</v>
      </c>
      <c r="F34" s="580"/>
      <c r="G34" s="493"/>
      <c r="H34" s="493"/>
      <c r="I34" s="493"/>
      <c r="J34" s="493"/>
      <c r="K34" s="495" t="s">
        <v>650</v>
      </c>
      <c r="L34" s="492"/>
      <c r="M34" s="493"/>
      <c r="N34" s="493"/>
      <c r="O34" s="493"/>
      <c r="P34" s="518"/>
      <c r="Q34" s="495"/>
      <c r="R34" s="492"/>
      <c r="S34" s="493"/>
      <c r="T34" s="493"/>
      <c r="U34" s="493"/>
      <c r="V34" s="111"/>
      <c r="W34" s="111"/>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c r="QP34" s="92"/>
      <c r="QQ34" s="92"/>
      <c r="QR34" s="92"/>
      <c r="QS34" s="92"/>
      <c r="QT34" s="92"/>
      <c r="QU34" s="92"/>
      <c r="QV34" s="92"/>
      <c r="QW34" s="92"/>
      <c r="QX34" s="92"/>
      <c r="QY34" s="92"/>
    </row>
    <row r="35" spans="1:467" ht="15.75">
      <c r="A35" s="492"/>
      <c r="B35" s="579" t="s">
        <v>219</v>
      </c>
      <c r="C35" s="539">
        <f t="shared" si="25"/>
        <v>0</v>
      </c>
      <c r="D35" s="539">
        <f t="shared" si="25"/>
        <v>0</v>
      </c>
      <c r="E35" s="539">
        <f t="shared" si="25"/>
        <v>1.4120831092282422E-2</v>
      </c>
      <c r="F35" s="580"/>
      <c r="G35" s="493"/>
      <c r="H35" s="493"/>
      <c r="I35" s="493"/>
      <c r="J35" s="493"/>
      <c r="K35" s="500" t="s">
        <v>218</v>
      </c>
      <c r="L35" s="540">
        <v>95</v>
      </c>
      <c r="M35" s="540">
        <v>24</v>
      </c>
      <c r="N35" s="540">
        <v>40</v>
      </c>
      <c r="O35" s="493"/>
      <c r="P35" s="518"/>
      <c r="Q35" s="500"/>
      <c r="R35" s="540"/>
      <c r="S35" s="540"/>
      <c r="T35" s="540"/>
      <c r="U35" s="493"/>
      <c r="V35" s="111"/>
      <c r="W35" s="111"/>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c r="QP35" s="92"/>
      <c r="QQ35" s="92"/>
      <c r="QR35" s="92"/>
      <c r="QS35" s="92"/>
      <c r="QT35" s="92"/>
      <c r="QU35" s="92"/>
      <c r="QV35" s="92"/>
      <c r="QW35" s="92"/>
      <c r="QX35" s="92"/>
      <c r="QY35" s="92"/>
    </row>
    <row r="36" spans="1:467">
      <c r="A36" s="492"/>
      <c r="B36" s="579" t="s">
        <v>171</v>
      </c>
      <c r="C36" s="539">
        <f t="shared" si="25"/>
        <v>0</v>
      </c>
      <c r="D36" s="539">
        <f t="shared" si="25"/>
        <v>0</v>
      </c>
      <c r="E36" s="539">
        <f t="shared" si="25"/>
        <v>2.0482387957726382E-2</v>
      </c>
      <c r="F36" s="580"/>
      <c r="G36" s="493"/>
      <c r="H36" s="493"/>
      <c r="I36" s="493"/>
      <c r="J36" s="493"/>
      <c r="K36" s="500" t="s">
        <v>219</v>
      </c>
      <c r="L36" s="540">
        <f>$L$35</f>
        <v>95</v>
      </c>
      <c r="M36" s="540">
        <f>M35</f>
        <v>24</v>
      </c>
      <c r="N36" s="540">
        <f>N35</f>
        <v>40</v>
      </c>
      <c r="O36" s="493"/>
      <c r="P36" s="517"/>
      <c r="Q36" s="500"/>
      <c r="R36" s="540">
        <f>R28/(R28+S28)</f>
        <v>0.47325306414675794</v>
      </c>
      <c r="S36" s="540"/>
      <c r="T36" s="540"/>
      <c r="U36" s="493"/>
      <c r="V36" s="111"/>
      <c r="W36" s="111"/>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c r="QP36" s="92"/>
      <c r="QQ36" s="92"/>
      <c r="QR36" s="92"/>
      <c r="QS36" s="92"/>
      <c r="QT36" s="92"/>
      <c r="QU36" s="92"/>
      <c r="QV36" s="92"/>
      <c r="QW36" s="92"/>
      <c r="QX36" s="92"/>
      <c r="QY36" s="92"/>
    </row>
    <row r="37" spans="1:467">
      <c r="A37" s="492"/>
      <c r="B37" s="579" t="s">
        <v>11</v>
      </c>
      <c r="C37" s="539">
        <f t="shared" si="25"/>
        <v>0</v>
      </c>
      <c r="D37" s="539">
        <f t="shared" si="25"/>
        <v>0</v>
      </c>
      <c r="E37" s="539">
        <f t="shared" si="25"/>
        <v>6.5777042984003893E-5</v>
      </c>
      <c r="F37" s="580"/>
      <c r="G37" s="493"/>
      <c r="H37" s="493"/>
      <c r="I37" s="493"/>
      <c r="J37" s="493"/>
      <c r="K37" s="500" t="s">
        <v>171</v>
      </c>
      <c r="L37" s="540">
        <f t="shared" ref="L37:L42" si="26">$L$35</f>
        <v>95</v>
      </c>
      <c r="M37" s="540">
        <f t="shared" ref="M37:M46" si="27">M36</f>
        <v>24</v>
      </c>
      <c r="N37" s="540">
        <f t="shared" ref="N37:N46" si="28">N36</f>
        <v>40</v>
      </c>
      <c r="O37" s="493"/>
      <c r="P37" s="517"/>
      <c r="Q37" s="500"/>
      <c r="R37" s="540"/>
      <c r="S37" s="540"/>
      <c r="T37" s="540"/>
      <c r="U37" s="493"/>
      <c r="V37" s="111"/>
      <c r="W37" s="111"/>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c r="QP37" s="92"/>
      <c r="QQ37" s="92"/>
      <c r="QR37" s="92"/>
      <c r="QS37" s="92"/>
      <c r="QT37" s="92"/>
      <c r="QU37" s="92"/>
      <c r="QV37" s="92"/>
      <c r="QW37" s="92"/>
      <c r="QX37" s="92"/>
      <c r="QY37" s="92"/>
    </row>
    <row r="38" spans="1:467">
      <c r="A38" s="492"/>
      <c r="B38" s="581" t="s">
        <v>220</v>
      </c>
      <c r="C38" s="539">
        <f t="shared" si="25"/>
        <v>0</v>
      </c>
      <c r="D38" s="539">
        <f t="shared" si="25"/>
        <v>1.4199947568830626E-2</v>
      </c>
      <c r="E38" s="539">
        <f t="shared" si="25"/>
        <v>7.5107255507975614E-3</v>
      </c>
      <c r="F38" s="580"/>
      <c r="G38" s="493"/>
      <c r="H38" s="493"/>
      <c r="I38" s="493"/>
      <c r="J38" s="493"/>
      <c r="K38" s="500" t="s">
        <v>11</v>
      </c>
      <c r="L38" s="540">
        <f t="shared" si="26"/>
        <v>95</v>
      </c>
      <c r="M38" s="540">
        <f t="shared" si="27"/>
        <v>24</v>
      </c>
      <c r="N38" s="540">
        <f t="shared" si="28"/>
        <v>40</v>
      </c>
      <c r="O38" s="493"/>
      <c r="P38" s="517"/>
      <c r="Q38" s="500"/>
      <c r="R38" s="540"/>
      <c r="S38" s="540"/>
      <c r="T38" s="540"/>
      <c r="U38" s="493"/>
      <c r="V38" s="111"/>
      <c r="W38" s="111"/>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c r="QP38" s="92"/>
      <c r="QQ38" s="92"/>
      <c r="QR38" s="92"/>
      <c r="QS38" s="92"/>
      <c r="QT38" s="92"/>
      <c r="QU38" s="92"/>
      <c r="QV38" s="92"/>
      <c r="QW38" s="92"/>
      <c r="QX38" s="92"/>
      <c r="QY38" s="92"/>
    </row>
    <row r="39" spans="1:467" ht="15.75">
      <c r="A39" s="492"/>
      <c r="B39" s="582" t="s">
        <v>365</v>
      </c>
      <c r="C39" s="539">
        <f t="shared" si="25"/>
        <v>0</v>
      </c>
      <c r="D39" s="539">
        <f t="shared" si="25"/>
        <v>8.3570684407724694E-3</v>
      </c>
      <c r="E39" s="539">
        <f t="shared" si="25"/>
        <v>4.4202731850680101E-3</v>
      </c>
      <c r="F39" s="580"/>
      <c r="G39" s="493"/>
      <c r="H39" s="493"/>
      <c r="I39" s="493"/>
      <c r="J39" s="493"/>
      <c r="K39" s="513" t="s">
        <v>220</v>
      </c>
      <c r="L39" s="540">
        <f t="shared" si="26"/>
        <v>95</v>
      </c>
      <c r="M39" s="540">
        <f t="shared" si="27"/>
        <v>24</v>
      </c>
      <c r="N39" s="540">
        <f t="shared" si="28"/>
        <v>40</v>
      </c>
      <c r="O39" s="493"/>
      <c r="P39" s="517"/>
      <c r="Q39" s="513"/>
      <c r="R39" s="540"/>
      <c r="S39" s="540"/>
      <c r="T39" s="540"/>
      <c r="U39" s="493"/>
      <c r="V39" s="111"/>
      <c r="W39" s="111"/>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c r="QP39" s="92"/>
      <c r="QQ39" s="92"/>
      <c r="QR39" s="92"/>
      <c r="QS39" s="92"/>
      <c r="QT39" s="92"/>
      <c r="QU39" s="92"/>
      <c r="QV39" s="92"/>
      <c r="QW39" s="92"/>
      <c r="QX39" s="92"/>
      <c r="QY39" s="92"/>
    </row>
    <row r="40" spans="1:467" ht="15.75">
      <c r="A40" s="492"/>
      <c r="B40" s="582" t="s">
        <v>366</v>
      </c>
      <c r="C40" s="539">
        <f t="shared" si="25"/>
        <v>0</v>
      </c>
      <c r="D40" s="539">
        <f t="shared" si="25"/>
        <v>0</v>
      </c>
      <c r="E40" s="539">
        <f t="shared" si="25"/>
        <v>1.9359078095554425E-6</v>
      </c>
      <c r="F40" s="580"/>
      <c r="G40" s="493"/>
      <c r="H40" s="493"/>
      <c r="I40" s="493"/>
      <c r="J40" s="493"/>
      <c r="K40" s="518" t="s">
        <v>365</v>
      </c>
      <c r="L40" s="540">
        <f t="shared" si="26"/>
        <v>95</v>
      </c>
      <c r="M40" s="540">
        <f t="shared" si="27"/>
        <v>24</v>
      </c>
      <c r="N40" s="540">
        <f t="shared" si="28"/>
        <v>40</v>
      </c>
      <c r="O40" s="493"/>
      <c r="P40" s="517"/>
      <c r="Q40" s="518"/>
      <c r="R40" s="540"/>
      <c r="S40" s="540"/>
      <c r="T40" s="540"/>
      <c r="U40" s="493"/>
      <c r="V40" s="111"/>
      <c r="W40" s="111"/>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c r="QP40" s="92"/>
      <c r="QQ40" s="92"/>
      <c r="QR40" s="92"/>
      <c r="QS40" s="92"/>
      <c r="QT40" s="92"/>
      <c r="QU40" s="92"/>
      <c r="QV40" s="92"/>
      <c r="QW40" s="92"/>
      <c r="QX40" s="92"/>
      <c r="QY40" s="92"/>
    </row>
    <row r="41" spans="1:467" ht="15.75">
      <c r="A41" s="492"/>
      <c r="B41" s="583" t="s">
        <v>187</v>
      </c>
      <c r="C41" s="539">
        <f t="shared" si="25"/>
        <v>0</v>
      </c>
      <c r="D41" s="539">
        <f t="shared" si="25"/>
        <v>0</v>
      </c>
      <c r="E41" s="539">
        <f t="shared" si="25"/>
        <v>3.9818906734783027E-2</v>
      </c>
      <c r="F41" s="580"/>
      <c r="G41" s="493"/>
      <c r="H41" s="493"/>
      <c r="I41" s="493"/>
      <c r="J41" s="493"/>
      <c r="K41" s="518" t="s">
        <v>366</v>
      </c>
      <c r="L41" s="540">
        <f t="shared" si="26"/>
        <v>95</v>
      </c>
      <c r="M41" s="540">
        <f t="shared" si="27"/>
        <v>24</v>
      </c>
      <c r="N41" s="540">
        <f t="shared" si="28"/>
        <v>40</v>
      </c>
      <c r="O41" s="493"/>
      <c r="P41" s="517"/>
      <c r="Q41" s="518"/>
      <c r="R41" s="540"/>
      <c r="S41" s="540"/>
      <c r="T41" s="540"/>
      <c r="U41" s="493"/>
      <c r="V41" s="111"/>
      <c r="W41" s="111"/>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c r="QP41" s="92"/>
      <c r="QQ41" s="92"/>
      <c r="QR41" s="92"/>
      <c r="QS41" s="92"/>
      <c r="QT41" s="92"/>
      <c r="QU41" s="92"/>
      <c r="QV41" s="92"/>
      <c r="QW41" s="92"/>
      <c r="QX41" s="92"/>
      <c r="QY41" s="92"/>
    </row>
    <row r="42" spans="1:467">
      <c r="A42" s="492"/>
      <c r="B42" s="583" t="s">
        <v>222</v>
      </c>
      <c r="C42" s="539">
        <f>C27/C$31</f>
        <v>0.41042567501482197</v>
      </c>
      <c r="D42" s="539">
        <f t="shared" si="25"/>
        <v>0</v>
      </c>
      <c r="E42" s="539">
        <f t="shared" si="25"/>
        <v>0.1211139432670597</v>
      </c>
      <c r="F42" s="580"/>
      <c r="G42" s="493"/>
      <c r="H42" s="493"/>
      <c r="I42" s="493"/>
      <c r="J42" s="493"/>
      <c r="K42" s="517" t="s">
        <v>187</v>
      </c>
      <c r="L42" s="540">
        <f t="shared" si="26"/>
        <v>95</v>
      </c>
      <c r="M42" s="540">
        <f t="shared" si="27"/>
        <v>24</v>
      </c>
      <c r="N42" s="540">
        <f t="shared" si="28"/>
        <v>40</v>
      </c>
      <c r="O42" s="493"/>
      <c r="P42" s="517"/>
      <c r="Q42" s="517"/>
      <c r="R42" s="540"/>
      <c r="S42" s="540"/>
      <c r="T42" s="540"/>
      <c r="U42" s="493"/>
      <c r="V42" s="111"/>
      <c r="W42" s="111"/>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c r="QP42" s="92"/>
      <c r="QQ42" s="92"/>
      <c r="QR42" s="92"/>
      <c r="QS42" s="92"/>
      <c r="QT42" s="92"/>
      <c r="QU42" s="92"/>
      <c r="QV42" s="92"/>
      <c r="QW42" s="92"/>
      <c r="QX42" s="92"/>
      <c r="QY42" s="92"/>
    </row>
    <row r="43" spans="1:467">
      <c r="A43" s="492"/>
      <c r="B43" s="584" t="s">
        <v>224</v>
      </c>
      <c r="C43" s="539">
        <f t="shared" si="25"/>
        <v>0.43676135247964848</v>
      </c>
      <c r="D43" s="539">
        <f t="shared" si="25"/>
        <v>0.97744298399039686</v>
      </c>
      <c r="E43" s="539">
        <f t="shared" si="25"/>
        <v>0.51699528880084766</v>
      </c>
      <c r="F43" s="580"/>
      <c r="G43" s="493"/>
      <c r="H43" s="493"/>
      <c r="I43" s="493"/>
      <c r="J43" s="493"/>
      <c r="K43" s="517" t="s">
        <v>222</v>
      </c>
      <c r="L43" s="622">
        <v>95</v>
      </c>
      <c r="M43" s="540">
        <f t="shared" si="27"/>
        <v>24</v>
      </c>
      <c r="N43" s="540">
        <f t="shared" si="28"/>
        <v>40</v>
      </c>
      <c r="O43" s="493"/>
      <c r="P43" s="517"/>
      <c r="Q43" s="517"/>
      <c r="R43" s="540"/>
      <c r="S43" s="540"/>
      <c r="T43" s="540"/>
      <c r="U43" s="493"/>
      <c r="V43" s="111"/>
      <c r="W43" s="111"/>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c r="QP43" s="92"/>
      <c r="QQ43" s="92"/>
      <c r="QR43" s="92"/>
      <c r="QS43" s="92"/>
      <c r="QT43" s="92"/>
      <c r="QU43" s="92"/>
      <c r="QV43" s="92"/>
      <c r="QW43" s="92"/>
      <c r="QX43" s="92"/>
      <c r="QY43" s="92"/>
    </row>
    <row r="44" spans="1:467">
      <c r="A44" s="492"/>
      <c r="B44" s="584" t="s">
        <v>223</v>
      </c>
      <c r="C44" s="539">
        <f t="shared" si="25"/>
        <v>6.347299254241396E-3</v>
      </c>
      <c r="D44" s="631">
        <f t="shared" si="25"/>
        <v>0</v>
      </c>
      <c r="E44" s="539">
        <f t="shared" si="25"/>
        <v>7.5133108559664562E-3</v>
      </c>
      <c r="F44" s="580"/>
      <c r="G44" s="493"/>
      <c r="H44" s="493"/>
      <c r="I44" s="493"/>
      <c r="J44" s="493"/>
      <c r="K44" s="529" t="s">
        <v>224</v>
      </c>
      <c r="L44" s="540">
        <f>L42</f>
        <v>95</v>
      </c>
      <c r="M44" s="540">
        <f t="shared" si="27"/>
        <v>24</v>
      </c>
      <c r="N44" s="540">
        <f t="shared" si="28"/>
        <v>40</v>
      </c>
      <c r="O44" s="493"/>
      <c r="P44" s="517"/>
      <c r="Q44" s="529"/>
      <c r="R44" s="540"/>
      <c r="S44" s="540"/>
      <c r="T44" s="540"/>
      <c r="U44" s="493"/>
      <c r="V44" s="111"/>
      <c r="W44" s="111"/>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c r="QP44" s="92"/>
      <c r="QQ44" s="92"/>
      <c r="QR44" s="92"/>
      <c r="QS44" s="92"/>
      <c r="QT44" s="92"/>
      <c r="QU44" s="92"/>
      <c r="QV44" s="92"/>
      <c r="QW44" s="92"/>
      <c r="QX44" s="92"/>
      <c r="QY44" s="92"/>
    </row>
    <row r="45" spans="1:467">
      <c r="A45" s="492"/>
      <c r="B45" s="583" t="s">
        <v>221</v>
      </c>
      <c r="C45" s="539">
        <f t="shared" si="25"/>
        <v>0.14646567325128823</v>
      </c>
      <c r="D45" s="631">
        <f t="shared" si="25"/>
        <v>0</v>
      </c>
      <c r="E45" s="539">
        <f t="shared" si="25"/>
        <v>0.17337171114628033</v>
      </c>
      <c r="F45" s="580"/>
      <c r="G45" s="493"/>
      <c r="H45" s="493"/>
      <c r="I45" s="493"/>
      <c r="J45" s="493"/>
      <c r="K45" s="529" t="s">
        <v>223</v>
      </c>
      <c r="L45" s="540">
        <f t="shared" ref="L45:L46" si="29">L43</f>
        <v>95</v>
      </c>
      <c r="M45" s="540">
        <f t="shared" si="27"/>
        <v>24</v>
      </c>
      <c r="N45" s="540">
        <f t="shared" si="28"/>
        <v>40</v>
      </c>
      <c r="O45" s="493"/>
      <c r="P45" s="517"/>
      <c r="Q45" s="529"/>
      <c r="R45" s="540"/>
      <c r="S45" s="540"/>
      <c r="T45" s="540"/>
      <c r="U45" s="493"/>
      <c r="V45" s="111"/>
      <c r="W45" s="111"/>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c r="QP45" s="92"/>
      <c r="QQ45" s="92"/>
      <c r="QR45" s="92"/>
      <c r="QS45" s="92"/>
      <c r="QT45" s="92"/>
      <c r="QU45" s="92"/>
      <c r="QV45" s="92"/>
      <c r="QW45" s="92"/>
      <c r="QX45" s="92"/>
      <c r="QY45" s="92"/>
    </row>
    <row r="46" spans="1:467">
      <c r="A46" s="492"/>
      <c r="B46" s="585" t="s">
        <v>7</v>
      </c>
      <c r="C46" s="541">
        <f t="shared" si="25"/>
        <v>1</v>
      </c>
      <c r="D46" s="541">
        <f t="shared" si="25"/>
        <v>1</v>
      </c>
      <c r="E46" s="541">
        <f t="shared" si="25"/>
        <v>1</v>
      </c>
      <c r="F46" s="580"/>
      <c r="G46" s="493"/>
      <c r="H46" s="493"/>
      <c r="I46" s="493"/>
      <c r="J46" s="493"/>
      <c r="K46" s="517" t="s">
        <v>221</v>
      </c>
      <c r="L46" s="540">
        <f t="shared" si="29"/>
        <v>95</v>
      </c>
      <c r="M46" s="540">
        <f t="shared" si="27"/>
        <v>24</v>
      </c>
      <c r="N46" s="540">
        <f t="shared" si="28"/>
        <v>40</v>
      </c>
      <c r="O46" s="493"/>
      <c r="P46" s="517"/>
      <c r="Q46" s="517"/>
      <c r="R46" s="540"/>
      <c r="S46" s="540"/>
      <c r="T46" s="540"/>
      <c r="U46" s="493"/>
      <c r="V46" s="111"/>
      <c r="W46" s="111"/>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c r="QP46" s="92"/>
      <c r="QQ46" s="92"/>
      <c r="QR46" s="92"/>
      <c r="QS46" s="92"/>
      <c r="QT46" s="92"/>
      <c r="QU46" s="92"/>
      <c r="QV46" s="92"/>
      <c r="QW46" s="92"/>
      <c r="QX46" s="92"/>
      <c r="QY46" s="92"/>
    </row>
    <row r="47" spans="1:467" ht="15.75" thickBot="1">
      <c r="A47" s="492"/>
      <c r="B47" s="586"/>
      <c r="C47" s="587"/>
      <c r="D47" s="588"/>
      <c r="E47" s="588"/>
      <c r="F47" s="589"/>
      <c r="G47" s="493"/>
      <c r="H47" s="493"/>
      <c r="I47" s="493"/>
      <c r="J47" s="493"/>
      <c r="K47" s="495" t="s">
        <v>7</v>
      </c>
      <c r="L47" s="492"/>
      <c r="M47" s="493"/>
      <c r="N47" s="493"/>
      <c r="O47" s="493"/>
      <c r="P47" s="517"/>
      <c r="Q47" s="495"/>
      <c r="R47" s="492"/>
      <c r="S47" s="493"/>
      <c r="T47" s="493"/>
      <c r="U47" s="493"/>
      <c r="V47" s="111"/>
      <c r="W47" s="111"/>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c r="QP47" s="92"/>
      <c r="QQ47" s="92"/>
      <c r="QR47" s="92"/>
      <c r="QS47" s="92"/>
      <c r="QT47" s="92"/>
      <c r="QU47" s="92"/>
      <c r="QV47" s="92"/>
      <c r="QW47" s="92"/>
      <c r="QX47" s="92"/>
      <c r="QY47" s="92"/>
    </row>
    <row r="48" spans="1:467">
      <c r="A48" s="492"/>
      <c r="B48" s="492"/>
      <c r="C48" s="539"/>
      <c r="D48" s="539"/>
      <c r="E48" s="493"/>
      <c r="F48" s="493"/>
      <c r="G48" s="493"/>
      <c r="H48" s="493"/>
      <c r="I48" s="493"/>
      <c r="J48" s="493"/>
      <c r="K48" s="500"/>
      <c r="L48" s="500"/>
      <c r="M48" s="500"/>
      <c r="N48" s="500"/>
      <c r="O48" s="513"/>
      <c r="P48" s="517"/>
      <c r="Q48" s="517"/>
      <c r="R48" s="517"/>
      <c r="S48" s="517"/>
      <c r="T48" s="517"/>
      <c r="U48" s="517"/>
      <c r="V48" s="111"/>
      <c r="W48" s="111"/>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c r="QP48" s="92"/>
      <c r="QQ48" s="92"/>
      <c r="QR48" s="92"/>
      <c r="QS48" s="92"/>
      <c r="QT48" s="92"/>
      <c r="QU48" s="92"/>
      <c r="QV48" s="92"/>
      <c r="QW48" s="92"/>
      <c r="QX48" s="92"/>
      <c r="QY48" s="92"/>
    </row>
    <row r="49" spans="1:467">
      <c r="A49" s="492"/>
      <c r="B49" s="492"/>
      <c r="C49" s="539"/>
      <c r="D49" s="539"/>
      <c r="E49" s="493"/>
      <c r="F49" s="493"/>
      <c r="G49" s="493"/>
      <c r="H49" s="493"/>
      <c r="I49" s="493"/>
      <c r="J49" s="493"/>
      <c r="K49" s="500"/>
      <c r="L49" s="500"/>
      <c r="M49" s="500"/>
      <c r="N49" s="500"/>
      <c r="O49" s="513"/>
      <c r="P49" s="517"/>
      <c r="Q49" s="517"/>
      <c r="R49" s="517"/>
      <c r="S49" s="517"/>
      <c r="T49" s="517"/>
      <c r="U49" s="517"/>
      <c r="V49" s="111"/>
      <c r="W49" s="111"/>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c r="QP49" s="92"/>
      <c r="QQ49" s="92"/>
      <c r="QR49" s="92"/>
      <c r="QS49" s="92"/>
      <c r="QT49" s="92"/>
      <c r="QU49" s="92"/>
      <c r="QV49" s="92"/>
      <c r="QW49" s="92"/>
      <c r="QX49" s="92"/>
      <c r="QY49" s="92"/>
    </row>
    <row r="50" spans="1:467">
      <c r="A50" s="492"/>
      <c r="B50" s="492"/>
      <c r="C50" s="539"/>
      <c r="D50" s="539"/>
      <c r="E50" s="493"/>
      <c r="F50" s="493"/>
      <c r="G50" s="493"/>
      <c r="H50" s="493"/>
      <c r="I50" s="493"/>
      <c r="J50" s="493"/>
      <c r="K50" s="500"/>
      <c r="L50" s="500"/>
      <c r="M50" s="500"/>
      <c r="N50" s="500"/>
      <c r="O50" s="513"/>
      <c r="P50" s="517"/>
      <c r="Q50" s="517"/>
      <c r="R50" s="517"/>
      <c r="S50" s="517"/>
      <c r="T50" s="517"/>
      <c r="U50" s="517"/>
      <c r="V50" s="111"/>
      <c r="W50" s="111"/>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c r="QP50" s="92"/>
      <c r="QQ50" s="92"/>
      <c r="QR50" s="92"/>
      <c r="QS50" s="92"/>
      <c r="QT50" s="92"/>
      <c r="QU50" s="92"/>
      <c r="QV50" s="92"/>
      <c r="QW50" s="92"/>
      <c r="QX50" s="92"/>
      <c r="QY50" s="92"/>
    </row>
    <row r="51" spans="1:467">
      <c r="A51" s="492"/>
      <c r="B51" s="492"/>
      <c r="C51" s="539"/>
      <c r="D51" s="539"/>
      <c r="E51" s="493"/>
      <c r="F51" s="493"/>
      <c r="G51" s="493"/>
      <c r="H51" s="493"/>
      <c r="I51" s="493"/>
      <c r="J51" s="493"/>
      <c r="K51" s="534" t="s">
        <v>638</v>
      </c>
      <c r="L51" s="534" t="s">
        <v>639</v>
      </c>
      <c r="M51" s="534" t="s">
        <v>644</v>
      </c>
      <c r="N51" s="534" t="s">
        <v>648</v>
      </c>
      <c r="O51" s="535"/>
      <c r="P51" s="517"/>
      <c r="Q51" s="517"/>
      <c r="R51" s="517"/>
      <c r="S51" s="517"/>
      <c r="T51" s="517"/>
      <c r="U51" s="517"/>
      <c r="V51" s="111"/>
      <c r="W51" s="111"/>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c r="QP51" s="92"/>
      <c r="QQ51" s="92"/>
      <c r="QR51" s="92"/>
      <c r="QS51" s="92"/>
      <c r="QT51" s="92"/>
      <c r="QU51" s="92"/>
      <c r="QV51" s="92"/>
      <c r="QW51" s="92"/>
      <c r="QX51" s="92"/>
      <c r="QY51" s="92"/>
    </row>
    <row r="52" spans="1:467">
      <c r="A52" s="492"/>
      <c r="B52" s="492"/>
      <c r="C52" s="539"/>
      <c r="D52" s="539"/>
      <c r="E52" s="493"/>
      <c r="F52" s="493"/>
      <c r="G52" s="493"/>
      <c r="H52" s="493"/>
      <c r="I52" s="493"/>
      <c r="J52" s="493"/>
      <c r="K52" s="500" t="s">
        <v>13</v>
      </c>
      <c r="L52" s="500">
        <v>29</v>
      </c>
      <c r="M52" s="500">
        <f>L52*M56</f>
        <v>580</v>
      </c>
      <c r="N52" s="500">
        <f>M52*O61</f>
        <v>161.11111111111111</v>
      </c>
      <c r="O52" s="513"/>
      <c r="P52" s="517"/>
      <c r="Q52" s="517"/>
      <c r="R52" s="517"/>
      <c r="S52" s="517"/>
      <c r="T52" s="517"/>
      <c r="U52" s="517"/>
      <c r="V52" s="111"/>
      <c r="W52" s="111"/>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c r="QP52" s="92"/>
      <c r="QQ52" s="92"/>
      <c r="QR52" s="92"/>
      <c r="QS52" s="92"/>
      <c r="QT52" s="92"/>
      <c r="QU52" s="92"/>
      <c r="QV52" s="92"/>
      <c r="QW52" s="92"/>
      <c r="QX52" s="92"/>
      <c r="QY52" s="92"/>
    </row>
    <row r="53" spans="1:467">
      <c r="A53" s="492"/>
      <c r="B53" s="492"/>
      <c r="C53" s="539"/>
      <c r="D53" s="539"/>
      <c r="E53" s="493"/>
      <c r="F53" s="493"/>
      <c r="G53" s="493"/>
      <c r="H53" s="493"/>
      <c r="I53" s="493"/>
      <c r="J53" s="493"/>
      <c r="K53" s="542" t="s">
        <v>376</v>
      </c>
      <c r="L53" s="500">
        <v>100</v>
      </c>
      <c r="M53" s="500">
        <f>L53*M56</f>
        <v>2000</v>
      </c>
      <c r="N53" s="500">
        <f>M53*O61</f>
        <v>555.55555555555554</v>
      </c>
      <c r="O53" s="513"/>
      <c r="P53" s="517"/>
      <c r="Q53" s="517"/>
      <c r="R53" s="517"/>
      <c r="S53" s="517"/>
      <c r="T53" s="517"/>
      <c r="U53" s="517"/>
      <c r="V53" s="111"/>
      <c r="W53" s="111"/>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c r="QP53" s="92"/>
      <c r="QQ53" s="92"/>
      <c r="QR53" s="92"/>
      <c r="QS53" s="92"/>
      <c r="QT53" s="92"/>
      <c r="QU53" s="92"/>
      <c r="QV53" s="92"/>
      <c r="QW53" s="92"/>
      <c r="QX53" s="92"/>
      <c r="QY53" s="92"/>
    </row>
    <row r="54" spans="1:467">
      <c r="A54" s="492"/>
      <c r="B54" s="492"/>
      <c r="C54" s="539"/>
      <c r="D54" s="539"/>
      <c r="E54" s="493"/>
      <c r="F54" s="493"/>
      <c r="G54" s="493"/>
      <c r="H54" s="493"/>
      <c r="I54" s="493"/>
      <c r="J54" s="493"/>
      <c r="K54" s="543"/>
      <c r="L54" s="492"/>
      <c r="M54" s="492"/>
      <c r="N54" s="492"/>
      <c r="O54" s="492"/>
      <c r="P54" s="517"/>
      <c r="Q54" s="517"/>
      <c r="R54" s="517"/>
      <c r="S54" s="517"/>
      <c r="T54" s="517"/>
      <c r="U54" s="517"/>
      <c r="V54" s="111"/>
      <c r="W54" s="111"/>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c r="QP54" s="92"/>
      <c r="QQ54" s="92"/>
      <c r="QR54" s="92"/>
      <c r="QS54" s="92"/>
      <c r="QT54" s="92"/>
      <c r="QU54" s="92"/>
      <c r="QV54" s="92"/>
      <c r="QW54" s="92"/>
      <c r="QX54" s="92"/>
      <c r="QY54" s="92"/>
    </row>
    <row r="55" spans="1:467">
      <c r="A55" s="492"/>
      <c r="B55" s="492"/>
      <c r="C55" s="539"/>
      <c r="D55" s="539"/>
      <c r="E55" s="493"/>
      <c r="F55" s="493"/>
      <c r="G55" s="493"/>
      <c r="H55" s="493"/>
      <c r="I55" s="493"/>
      <c r="J55" s="493"/>
      <c r="K55" s="492"/>
      <c r="L55" s="492"/>
      <c r="M55" s="492"/>
      <c r="N55" s="492"/>
      <c r="O55" s="492"/>
      <c r="P55" s="517"/>
      <c r="Q55" s="517"/>
      <c r="R55" s="517"/>
      <c r="S55" s="517"/>
      <c r="T55" s="517"/>
      <c r="U55" s="517"/>
      <c r="V55" s="111"/>
      <c r="W55" s="111"/>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c r="QP55" s="92"/>
      <c r="QQ55" s="92"/>
      <c r="QR55" s="92"/>
      <c r="QS55" s="92"/>
      <c r="QT55" s="92"/>
      <c r="QU55" s="92"/>
      <c r="QV55" s="92"/>
      <c r="QW55" s="92"/>
      <c r="QX55" s="92"/>
      <c r="QY55" s="92"/>
    </row>
    <row r="56" spans="1:467">
      <c r="A56" s="492"/>
      <c r="B56" s="492"/>
      <c r="C56" s="539"/>
      <c r="D56" s="539"/>
      <c r="E56" s="493"/>
      <c r="F56" s="493"/>
      <c r="G56" s="493"/>
      <c r="H56" s="493"/>
      <c r="I56" s="493"/>
      <c r="J56" s="493"/>
      <c r="K56" s="544" t="s">
        <v>647</v>
      </c>
      <c r="L56" s="545" t="s">
        <v>568</v>
      </c>
      <c r="M56" s="498">
        <v>20</v>
      </c>
      <c r="N56" s="546" t="s">
        <v>640</v>
      </c>
      <c r="O56" s="513"/>
      <c r="P56" s="517"/>
      <c r="Q56" s="517"/>
      <c r="R56" s="517"/>
      <c r="S56" s="517"/>
      <c r="T56" s="517"/>
      <c r="U56" s="517"/>
      <c r="V56" s="517"/>
      <c r="W56" s="517"/>
      <c r="X56" s="333"/>
      <c r="Y56" s="334"/>
      <c r="Z56" s="334"/>
      <c r="AA56" s="334"/>
      <c r="AB56" s="334"/>
      <c r="AC56" s="334"/>
      <c r="AD56" s="334"/>
      <c r="AE56" s="285"/>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c r="QP56" s="92"/>
      <c r="QQ56" s="92"/>
      <c r="QR56" s="92"/>
      <c r="QS56" s="92"/>
      <c r="QT56" s="92"/>
      <c r="QU56" s="92"/>
      <c r="QV56" s="92"/>
      <c r="QW56" s="92"/>
      <c r="QX56" s="92"/>
      <c r="QY56" s="92"/>
    </row>
    <row r="57" spans="1:467">
      <c r="A57" s="492"/>
      <c r="B57" s="547"/>
      <c r="C57" s="539"/>
      <c r="D57" s="539"/>
      <c r="E57" s="493"/>
      <c r="F57" s="501"/>
      <c r="G57" s="501"/>
      <c r="H57" s="501"/>
      <c r="I57" s="501"/>
      <c r="J57" s="493"/>
      <c r="K57" s="522" t="s">
        <v>645</v>
      </c>
      <c r="L57" s="500" t="s">
        <v>568</v>
      </c>
      <c r="M57" s="548">
        <f>1/1000000</f>
        <v>9.9999999999999995E-7</v>
      </c>
      <c r="N57" s="549" t="s">
        <v>646</v>
      </c>
      <c r="O57" s="513"/>
      <c r="P57" s="111"/>
      <c r="Q57" s="111"/>
      <c r="R57" s="111"/>
      <c r="S57" s="550"/>
      <c r="T57" s="550"/>
      <c r="U57" s="551"/>
      <c r="V57" s="111"/>
      <c r="W57" s="111"/>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c r="QP57" s="92"/>
      <c r="QQ57" s="92"/>
      <c r="QR57" s="92"/>
      <c r="QS57" s="92"/>
      <c r="QT57" s="92"/>
      <c r="QU57" s="92"/>
      <c r="QV57" s="92"/>
      <c r="QW57" s="92"/>
      <c r="QX57" s="92"/>
      <c r="QY57" s="92"/>
    </row>
    <row r="58" spans="1:467">
      <c r="A58" s="492"/>
      <c r="B58" s="547"/>
      <c r="C58" s="539"/>
      <c r="D58" s="539"/>
      <c r="E58" s="493"/>
      <c r="F58" s="552"/>
      <c r="G58" s="552"/>
      <c r="H58" s="552"/>
      <c r="I58" s="552"/>
      <c r="J58" s="493"/>
      <c r="K58" s="553" t="s">
        <v>916</v>
      </c>
      <c r="L58" s="513" t="s">
        <v>568</v>
      </c>
      <c r="M58" s="554">
        <v>3.5999999999999998E-6</v>
      </c>
      <c r="N58" s="555" t="s">
        <v>390</v>
      </c>
      <c r="O58" s="513"/>
      <c r="P58" s="556"/>
      <c r="Q58" s="557"/>
      <c r="R58" s="111"/>
      <c r="S58" s="558"/>
      <c r="T58" s="558"/>
      <c r="U58" s="559"/>
      <c r="V58" s="111"/>
      <c r="W58" s="111"/>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c r="QP58" s="92"/>
      <c r="QQ58" s="92"/>
      <c r="QR58" s="92"/>
      <c r="QS58" s="92"/>
      <c r="QT58" s="92"/>
      <c r="QU58" s="92"/>
      <c r="QV58" s="92"/>
      <c r="QW58" s="92"/>
      <c r="QX58" s="92"/>
      <c r="QY58" s="92"/>
    </row>
    <row r="59" spans="1:467">
      <c r="A59" s="492"/>
      <c r="B59" s="560"/>
      <c r="C59" s="539"/>
      <c r="D59" s="539"/>
      <c r="E59" s="493"/>
      <c r="F59" s="513"/>
      <c r="G59" s="513"/>
      <c r="H59" s="513"/>
      <c r="I59" s="513"/>
      <c r="J59" s="493"/>
      <c r="K59" s="561" t="s">
        <v>917</v>
      </c>
      <c r="L59" s="562" t="s">
        <v>568</v>
      </c>
      <c r="M59" s="563">
        <v>3.5999999999999999E-3</v>
      </c>
      <c r="N59" s="564" t="s">
        <v>390</v>
      </c>
      <c r="O59" s="552"/>
      <c r="P59" s="565"/>
      <c r="Q59" s="557"/>
      <c r="R59" s="111"/>
      <c r="S59" s="111"/>
      <c r="T59" s="566"/>
      <c r="U59" s="567"/>
      <c r="V59" s="111"/>
      <c r="W59" s="111"/>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c r="QP59" s="92"/>
      <c r="QQ59" s="92"/>
      <c r="QR59" s="92"/>
      <c r="QS59" s="92"/>
      <c r="QT59" s="92"/>
      <c r="QU59" s="92"/>
      <c r="QV59" s="92"/>
      <c r="QW59" s="92"/>
      <c r="QX59" s="92"/>
      <c r="QY59" s="92"/>
    </row>
    <row r="60" spans="1:467">
      <c r="A60" s="492"/>
      <c r="B60" s="495"/>
      <c r="C60" s="539"/>
      <c r="D60" s="539"/>
      <c r="E60" s="493"/>
      <c r="F60" s="514"/>
      <c r="G60" s="514"/>
      <c r="H60" s="514"/>
      <c r="I60" s="514"/>
      <c r="J60" s="493"/>
      <c r="K60" s="552"/>
      <c r="L60" s="552"/>
      <c r="M60" s="552"/>
      <c r="N60" s="569"/>
      <c r="O60" s="552"/>
      <c r="P60" s="565"/>
      <c r="Q60" s="557"/>
      <c r="R60" s="111"/>
      <c r="S60" s="111"/>
      <c r="T60" s="566"/>
      <c r="U60" s="567"/>
      <c r="V60" s="111"/>
      <c r="W60" s="111"/>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c r="QP60" s="92"/>
      <c r="QQ60" s="92"/>
      <c r="QR60" s="92"/>
      <c r="QS60" s="92"/>
      <c r="QT60" s="92"/>
      <c r="QU60" s="92"/>
      <c r="QV60" s="92"/>
      <c r="QW60" s="92"/>
      <c r="QX60" s="92"/>
      <c r="QY60" s="92"/>
    </row>
    <row r="61" spans="1:467">
      <c r="A61" s="492"/>
      <c r="B61" s="492"/>
      <c r="C61" s="568"/>
      <c r="D61" s="552"/>
      <c r="E61" s="552"/>
      <c r="F61" s="552"/>
      <c r="G61" s="552"/>
      <c r="H61" s="552"/>
      <c r="I61" s="552"/>
      <c r="J61" s="493"/>
      <c r="K61" s="711" t="s">
        <v>643</v>
      </c>
      <c r="L61" s="711"/>
      <c r="M61" s="711"/>
      <c r="N61" s="711"/>
      <c r="O61" s="337">
        <f>M57/M58</f>
        <v>0.27777777777777779</v>
      </c>
      <c r="P61" s="556"/>
      <c r="Q61" s="557"/>
      <c r="R61" s="111"/>
      <c r="S61" s="558"/>
      <c r="T61" s="558"/>
      <c r="U61" s="559"/>
      <c r="V61" s="111"/>
      <c r="W61" s="111"/>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c r="QP61" s="92"/>
      <c r="QQ61" s="92"/>
      <c r="QR61" s="92"/>
      <c r="QS61" s="92"/>
      <c r="QT61" s="92"/>
      <c r="QU61" s="92"/>
      <c r="QV61" s="92"/>
      <c r="QW61" s="92"/>
      <c r="QX61" s="92"/>
      <c r="QY61" s="92"/>
    </row>
    <row r="62" spans="1:467">
      <c r="A62" s="492"/>
      <c r="B62" s="492"/>
      <c r="C62" s="568"/>
      <c r="D62" s="552"/>
      <c r="E62" s="552"/>
      <c r="F62" s="552"/>
      <c r="G62" s="552"/>
      <c r="H62" s="552"/>
      <c r="I62" s="552"/>
      <c r="J62" s="493"/>
      <c r="K62" s="711"/>
      <c r="L62" s="711"/>
      <c r="M62" s="711"/>
      <c r="N62" s="711"/>
      <c r="O62" s="337"/>
      <c r="P62" s="565"/>
      <c r="Q62" s="557"/>
      <c r="R62" s="111"/>
      <c r="S62" s="570"/>
      <c r="T62" s="570"/>
      <c r="U62" s="567"/>
      <c r="V62" s="111"/>
      <c r="W62" s="111"/>
      <c r="X62" s="92"/>
      <c r="Y62" s="92"/>
      <c r="Z62" s="92"/>
      <c r="AA62" s="92"/>
      <c r="AB62" s="92"/>
      <c r="AC62" s="92"/>
      <c r="AD62" s="92"/>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c r="QP62" s="92"/>
      <c r="QQ62" s="92"/>
      <c r="QR62" s="92"/>
      <c r="QS62" s="92"/>
      <c r="QT62" s="92"/>
      <c r="QU62" s="92"/>
      <c r="QV62" s="92"/>
      <c r="QW62" s="92"/>
      <c r="QX62" s="92"/>
      <c r="QY62" s="92"/>
    </row>
    <row r="63" spans="1:467">
      <c r="A63" s="492"/>
      <c r="B63" s="492"/>
      <c r="C63" s="568"/>
      <c r="D63" s="552"/>
      <c r="E63" s="552"/>
      <c r="F63" s="552"/>
      <c r="G63" s="552"/>
      <c r="H63" s="552"/>
      <c r="I63" s="552"/>
      <c r="J63" s="493"/>
      <c r="K63" s="552"/>
      <c r="L63" s="552"/>
      <c r="M63" s="552"/>
      <c r="N63" s="569"/>
      <c r="O63" s="552"/>
      <c r="P63" s="565"/>
      <c r="Q63" s="557"/>
      <c r="R63" s="111"/>
      <c r="S63" s="570"/>
      <c r="T63" s="570"/>
      <c r="U63" s="567"/>
      <c r="V63" s="111"/>
      <c r="W63" s="111"/>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c r="QP63" s="92"/>
      <c r="QQ63" s="92"/>
      <c r="QR63" s="92"/>
      <c r="QS63" s="92"/>
      <c r="QT63" s="92"/>
      <c r="QU63" s="92"/>
      <c r="QV63" s="92"/>
      <c r="QW63" s="92"/>
      <c r="QX63" s="92"/>
      <c r="QY63" s="92"/>
    </row>
    <row r="64" spans="1:467">
      <c r="A64" s="492"/>
      <c r="B64" s="492"/>
      <c r="C64" s="568"/>
      <c r="D64" s="552"/>
      <c r="E64" s="552"/>
      <c r="F64" s="552"/>
      <c r="G64" s="552"/>
      <c r="H64" s="552"/>
      <c r="I64" s="552"/>
      <c r="J64" s="493"/>
      <c r="K64" s="552"/>
      <c r="L64" s="552"/>
      <c r="M64" s="552"/>
      <c r="N64" s="569"/>
      <c r="O64" s="552"/>
      <c r="P64" s="565"/>
      <c r="Q64" s="557"/>
      <c r="R64" s="111"/>
      <c r="S64" s="570"/>
      <c r="T64" s="570"/>
      <c r="U64" s="567"/>
      <c r="V64" s="111"/>
      <c r="W64" s="111"/>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c r="QP64" s="92"/>
      <c r="QQ64" s="92"/>
      <c r="QR64" s="92"/>
      <c r="QS64" s="92"/>
      <c r="QT64" s="92"/>
      <c r="QU64" s="92"/>
      <c r="QV64" s="92"/>
      <c r="QW64" s="92"/>
      <c r="QX64" s="92"/>
      <c r="QY64" s="92"/>
    </row>
    <row r="65" spans="1:467">
      <c r="A65" s="492"/>
      <c r="B65" s="492"/>
      <c r="C65" s="568"/>
      <c r="D65" s="552"/>
      <c r="E65" s="552"/>
      <c r="F65" s="552"/>
      <c r="G65" s="552"/>
      <c r="H65" s="552"/>
      <c r="I65" s="552"/>
      <c r="J65" s="493"/>
      <c r="K65" s="571"/>
      <c r="L65" s="571"/>
      <c r="M65" s="571"/>
      <c r="N65" s="569"/>
      <c r="O65" s="572"/>
      <c r="P65" s="565"/>
      <c r="Q65" s="557"/>
      <c r="R65" s="111"/>
      <c r="S65" s="570"/>
      <c r="T65" s="570"/>
      <c r="U65" s="567"/>
      <c r="V65" s="111"/>
      <c r="W65" s="111"/>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c r="QP65" s="92"/>
      <c r="QQ65" s="92"/>
      <c r="QR65" s="92"/>
      <c r="QS65" s="92"/>
      <c r="QT65" s="92"/>
      <c r="QU65" s="92"/>
      <c r="QV65" s="92"/>
      <c r="QW65" s="92"/>
      <c r="QX65" s="92"/>
      <c r="QY65" s="92"/>
    </row>
    <row r="66" spans="1:467">
      <c r="A66" s="492"/>
      <c r="B66" s="492"/>
      <c r="C66" s="568"/>
      <c r="D66" s="552"/>
      <c r="E66" s="552"/>
      <c r="F66" s="552"/>
      <c r="G66" s="552"/>
      <c r="H66" s="552"/>
      <c r="I66" s="552"/>
      <c r="J66" s="493"/>
      <c r="K66" s="573"/>
      <c r="L66" s="573"/>
      <c r="M66" s="573"/>
      <c r="N66" s="569"/>
      <c r="O66" s="574"/>
      <c r="P66" s="565"/>
      <c r="Q66" s="557"/>
      <c r="R66" s="111"/>
      <c r="S66" s="570"/>
      <c r="T66" s="570"/>
      <c r="U66" s="567"/>
      <c r="V66" s="111"/>
      <c r="W66" s="111"/>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c r="QP66" s="92"/>
      <c r="QQ66" s="92"/>
      <c r="QR66" s="92"/>
      <c r="QS66" s="92"/>
      <c r="QT66" s="92"/>
      <c r="QU66" s="92"/>
      <c r="QV66" s="92"/>
      <c r="QW66" s="92"/>
      <c r="QX66" s="92"/>
      <c r="QY66" s="92"/>
    </row>
    <row r="67" spans="1:467">
      <c r="C67" s="106"/>
      <c r="D67" s="101"/>
      <c r="E67" s="101"/>
      <c r="F67" s="101"/>
      <c r="G67" s="101"/>
      <c r="H67" s="101"/>
      <c r="I67" s="101"/>
      <c r="J67" s="493"/>
      <c r="K67" s="575"/>
      <c r="L67" s="575"/>
      <c r="M67" s="575"/>
      <c r="N67" s="569"/>
      <c r="O67" s="574"/>
      <c r="P67" s="565"/>
      <c r="Q67" s="557"/>
      <c r="R67" s="111"/>
      <c r="S67" s="570"/>
      <c r="T67" s="570"/>
      <c r="U67" s="567"/>
      <c r="V67" s="111"/>
      <c r="W67" s="111"/>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c r="QP67" s="92"/>
      <c r="QQ67" s="92"/>
      <c r="QR67" s="92"/>
      <c r="QS67" s="92"/>
      <c r="QT67" s="92"/>
      <c r="QU67" s="92"/>
      <c r="QV67" s="92"/>
      <c r="QW67" s="92"/>
      <c r="QX67" s="92"/>
      <c r="QY67" s="92"/>
    </row>
    <row r="68" spans="1:467">
      <c r="A68" s="83"/>
      <c r="C68" s="106"/>
      <c r="D68" s="79"/>
      <c r="E68" s="79"/>
      <c r="F68" s="79"/>
      <c r="G68" s="79"/>
      <c r="H68" s="79"/>
      <c r="I68" s="79"/>
      <c r="J68" s="95"/>
      <c r="K68" s="82"/>
      <c r="L68" s="82"/>
      <c r="M68" s="82"/>
      <c r="N68" s="102"/>
      <c r="O68" s="83"/>
      <c r="P68" s="100"/>
      <c r="Q68" s="97"/>
      <c r="R68" s="92"/>
      <c r="S68" s="86"/>
      <c r="T68" s="86"/>
      <c r="U68" s="88"/>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c r="QP68" s="92"/>
      <c r="QQ68" s="92"/>
      <c r="QR68" s="92"/>
      <c r="QS68" s="92"/>
      <c r="QT68" s="92"/>
      <c r="QU68" s="92"/>
      <c r="QV68" s="92"/>
      <c r="QW68" s="92"/>
      <c r="QX68" s="92"/>
      <c r="QY68" s="92"/>
    </row>
    <row r="69" spans="1:467">
      <c r="A69" s="83"/>
      <c r="C69" s="106"/>
      <c r="D69" s="80"/>
      <c r="E69" s="80"/>
      <c r="F69" s="80"/>
      <c r="G69" s="80"/>
      <c r="H69" s="80"/>
      <c r="I69" s="80"/>
      <c r="J69" s="101"/>
      <c r="K69" s="82"/>
      <c r="L69" s="82"/>
      <c r="M69" s="82"/>
      <c r="N69" s="102"/>
      <c r="O69" s="83"/>
      <c r="P69" s="100"/>
      <c r="Q69" s="97"/>
      <c r="R69" s="92"/>
      <c r="S69" s="86"/>
      <c r="T69" s="86"/>
      <c r="U69" s="88"/>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c r="QP69" s="92"/>
      <c r="QQ69" s="92"/>
      <c r="QR69" s="92"/>
      <c r="QS69" s="92"/>
      <c r="QT69" s="92"/>
      <c r="QU69" s="92"/>
      <c r="QV69" s="92"/>
      <c r="QW69" s="92"/>
      <c r="QX69" s="92"/>
      <c r="QY69" s="92"/>
    </row>
    <row r="70" spans="1:467">
      <c r="A70" s="317"/>
      <c r="C70" s="106"/>
      <c r="D70" s="81"/>
      <c r="E70" s="81"/>
      <c r="F70" s="81"/>
      <c r="G70" s="81"/>
      <c r="H70" s="81"/>
      <c r="I70" s="81"/>
      <c r="J70" s="223"/>
      <c r="K70" s="82"/>
      <c r="L70" s="82"/>
      <c r="M70" s="82"/>
      <c r="N70" s="102"/>
      <c r="O70" s="83"/>
      <c r="P70" s="100"/>
      <c r="Q70" s="97"/>
      <c r="R70" s="92"/>
      <c r="S70" s="86"/>
      <c r="T70" s="86"/>
      <c r="U70" s="88"/>
      <c r="V70" s="92"/>
      <c r="W70" s="92"/>
      <c r="X70" s="92"/>
      <c r="Y70" s="92"/>
      <c r="Z70" s="92"/>
      <c r="AA70" s="92"/>
      <c r="AB70" s="92"/>
      <c r="AC70" s="92"/>
      <c r="AD70" s="92"/>
      <c r="AE70" s="92"/>
      <c r="AF70" s="285"/>
      <c r="AG70" s="285"/>
      <c r="AH70" s="285"/>
      <c r="AI70" s="285"/>
      <c r="AJ70" s="285"/>
      <c r="AK70" s="285"/>
      <c r="AL70" s="285"/>
      <c r="AM70" s="285"/>
      <c r="AN70" s="285"/>
      <c r="AO70" s="285"/>
      <c r="AP70" s="285"/>
      <c r="AQ70" s="285"/>
      <c r="AR70" s="285"/>
      <c r="AS70" s="285"/>
      <c r="AT70" s="285"/>
      <c r="AU70" s="285"/>
      <c r="AV70" s="285"/>
      <c r="AW70" s="285"/>
      <c r="AX70" s="285"/>
      <c r="AY70" s="285"/>
      <c r="AZ70" s="285"/>
      <c r="BA70" s="285"/>
      <c r="BB70" s="285"/>
      <c r="BC70" s="285"/>
      <c r="BD70" s="285"/>
      <c r="BE70" s="285"/>
      <c r="BF70" s="285"/>
      <c r="BG70" s="285"/>
      <c r="BH70" s="285"/>
      <c r="BI70" s="285"/>
      <c r="BJ70" s="285"/>
      <c r="BK70" s="285"/>
      <c r="BL70" s="285"/>
      <c r="BM70" s="285"/>
      <c r="BN70" s="285"/>
      <c r="BO70" s="285"/>
      <c r="BP70" s="285"/>
      <c r="BQ70" s="285"/>
      <c r="BR70" s="285"/>
      <c r="BS70" s="285"/>
      <c r="BT70" s="285"/>
      <c r="BU70" s="285"/>
      <c r="BV70" s="285"/>
      <c r="BW70" s="285"/>
      <c r="BX70" s="285"/>
      <c r="BY70" s="285"/>
      <c r="BZ70" s="285"/>
      <c r="CA70" s="285"/>
      <c r="CB70" s="285"/>
      <c r="CC70" s="285"/>
      <c r="CD70" s="285"/>
      <c r="CE70" s="285"/>
      <c r="CF70" s="285"/>
      <c r="CG70" s="285"/>
      <c r="CH70" s="285"/>
      <c r="CI70" s="285"/>
      <c r="CJ70" s="285"/>
      <c r="CK70" s="285"/>
      <c r="CL70" s="285"/>
      <c r="CM70" s="285"/>
      <c r="CN70" s="285"/>
      <c r="CO70" s="285"/>
      <c r="CP70" s="285"/>
      <c r="CQ70" s="285"/>
      <c r="CR70" s="285"/>
      <c r="CS70" s="285"/>
      <c r="CT70" s="285"/>
      <c r="CU70" s="285"/>
      <c r="CV70" s="285"/>
      <c r="CW70" s="285"/>
      <c r="CX70" s="285"/>
      <c r="CY70" s="285"/>
      <c r="CZ70" s="285"/>
      <c r="DA70" s="285"/>
      <c r="DB70" s="285"/>
      <c r="DC70" s="285"/>
      <c r="DD70" s="285"/>
      <c r="DE70" s="285"/>
      <c r="DF70" s="285"/>
      <c r="DG70" s="285"/>
      <c r="DH70" s="285"/>
      <c r="DI70" s="285"/>
      <c r="DJ70" s="285"/>
      <c r="DK70" s="285"/>
      <c r="DL70" s="285"/>
      <c r="DM70" s="285"/>
      <c r="DN70" s="285"/>
      <c r="DO70" s="285"/>
      <c r="DP70" s="285"/>
      <c r="DQ70" s="285"/>
      <c r="DR70" s="285"/>
      <c r="DS70" s="285"/>
      <c r="DT70" s="285"/>
      <c r="DU70" s="285"/>
      <c r="DV70" s="285"/>
      <c r="DW70" s="285"/>
      <c r="DX70" s="285"/>
      <c r="DY70" s="285"/>
      <c r="DZ70" s="285"/>
      <c r="EA70" s="285"/>
      <c r="EB70" s="285"/>
      <c r="EC70" s="285"/>
      <c r="ED70" s="285"/>
      <c r="EE70" s="285"/>
      <c r="EF70" s="285"/>
      <c r="EG70" s="285"/>
      <c r="EH70" s="285"/>
      <c r="EI70" s="285"/>
      <c r="EJ70" s="285"/>
      <c r="EK70" s="285"/>
      <c r="EL70" s="285"/>
      <c r="EM70" s="285"/>
      <c r="EN70" s="285"/>
      <c r="EO70" s="285"/>
      <c r="EP70" s="285"/>
      <c r="EQ70" s="285"/>
      <c r="ER70" s="285"/>
      <c r="ES70" s="285"/>
      <c r="ET70" s="285"/>
      <c r="EU70" s="285"/>
      <c r="EV70" s="285"/>
      <c r="EW70" s="285"/>
      <c r="EX70" s="285"/>
      <c r="EY70" s="285"/>
      <c r="EZ70" s="285"/>
      <c r="FA70" s="285"/>
      <c r="FB70" s="285"/>
      <c r="FC70" s="285"/>
      <c r="FD70" s="285"/>
      <c r="FE70" s="285"/>
      <c r="FF70" s="285"/>
      <c r="FG70" s="285"/>
      <c r="FH70" s="285"/>
      <c r="FI70" s="285"/>
      <c r="FJ70" s="285"/>
      <c r="FK70" s="285"/>
      <c r="FL70" s="285"/>
      <c r="FM70" s="285"/>
      <c r="FN70" s="285"/>
      <c r="FO70" s="285"/>
      <c r="FP70" s="285"/>
      <c r="FQ70" s="285"/>
      <c r="FR70" s="285"/>
      <c r="FS70" s="285"/>
      <c r="FT70" s="285"/>
      <c r="FU70" s="285"/>
      <c r="FV70" s="285"/>
      <c r="FW70" s="285"/>
      <c r="FX70" s="285"/>
      <c r="FY70" s="285"/>
      <c r="FZ70" s="285"/>
      <c r="GA70" s="285"/>
      <c r="GB70" s="285"/>
      <c r="GC70" s="285"/>
      <c r="GD70" s="285"/>
      <c r="GE70" s="285"/>
      <c r="GF70" s="285"/>
      <c r="GG70" s="285"/>
      <c r="GH70" s="285"/>
      <c r="GI70" s="285"/>
      <c r="GJ70" s="285"/>
      <c r="GK70" s="285"/>
      <c r="GL70" s="285"/>
      <c r="GM70" s="285"/>
      <c r="GN70" s="285"/>
      <c r="GO70" s="285"/>
      <c r="GP70" s="285"/>
      <c r="GQ70" s="285"/>
      <c r="GR70" s="285"/>
      <c r="GS70" s="285"/>
      <c r="GT70" s="285"/>
      <c r="GU70" s="285"/>
      <c r="GV70" s="285"/>
      <c r="GW70" s="285"/>
      <c r="GX70" s="285"/>
      <c r="GY70" s="285"/>
      <c r="GZ70" s="285"/>
      <c r="HA70" s="285"/>
      <c r="HB70" s="285"/>
      <c r="HC70" s="285"/>
      <c r="HD70" s="285"/>
      <c r="HE70" s="285"/>
      <c r="HF70" s="285"/>
      <c r="HG70" s="285"/>
      <c r="HH70" s="285"/>
      <c r="HI70" s="285"/>
      <c r="HJ70" s="285"/>
      <c r="HK70" s="285"/>
      <c r="HL70" s="285"/>
      <c r="HM70" s="285"/>
      <c r="HN70" s="285"/>
      <c r="HO70" s="285"/>
      <c r="HP70" s="285"/>
      <c r="HQ70" s="285"/>
      <c r="HR70" s="285"/>
      <c r="HS70" s="285"/>
      <c r="HT70" s="285"/>
      <c r="HU70" s="285"/>
      <c r="HV70" s="285"/>
      <c r="HW70" s="285"/>
      <c r="HX70" s="285"/>
      <c r="HY70" s="285"/>
      <c r="HZ70" s="285"/>
      <c r="IA70" s="285"/>
      <c r="IB70" s="285"/>
      <c r="IC70" s="285"/>
      <c r="ID70" s="285"/>
      <c r="IE70" s="285"/>
      <c r="IF70" s="285"/>
      <c r="IG70" s="285"/>
      <c r="IH70" s="285"/>
      <c r="II70" s="285"/>
      <c r="IJ70" s="285"/>
      <c r="IK70" s="285"/>
      <c r="IL70" s="285"/>
      <c r="IM70" s="285"/>
      <c r="IN70" s="285"/>
      <c r="IO70" s="285"/>
      <c r="IP70" s="285"/>
      <c r="IQ70" s="285"/>
      <c r="IR70" s="285"/>
      <c r="IS70" s="285"/>
      <c r="IT70" s="285"/>
      <c r="IU70" s="285"/>
      <c r="IV70" s="285"/>
      <c r="IW70" s="285"/>
      <c r="IX70" s="285"/>
      <c r="IY70" s="285"/>
      <c r="IZ70" s="285"/>
      <c r="JA70" s="285"/>
      <c r="JB70" s="285"/>
      <c r="JC70" s="285"/>
      <c r="JD70" s="285"/>
      <c r="JE70" s="285"/>
      <c r="JF70" s="285"/>
      <c r="JG70" s="285"/>
      <c r="JH70" s="285"/>
      <c r="JI70" s="285"/>
      <c r="JJ70" s="285"/>
      <c r="JK70" s="285"/>
      <c r="JL70" s="285"/>
      <c r="JM70" s="285"/>
      <c r="JN70" s="285"/>
      <c r="JO70" s="285"/>
      <c r="JP70" s="285"/>
      <c r="JQ70" s="285"/>
      <c r="JR70" s="285"/>
      <c r="JS70" s="285"/>
      <c r="JT70" s="285"/>
      <c r="JU70" s="285"/>
      <c r="JV70" s="285"/>
      <c r="JW70" s="285"/>
      <c r="JX70" s="285"/>
      <c r="JY70" s="285"/>
      <c r="JZ70" s="285"/>
      <c r="KA70" s="285"/>
      <c r="KB70" s="285"/>
      <c r="KC70" s="285"/>
      <c r="KD70" s="285"/>
      <c r="KE70" s="285"/>
      <c r="KF70" s="285"/>
      <c r="KG70" s="285"/>
      <c r="KH70" s="285"/>
      <c r="KI70" s="285"/>
      <c r="KJ70" s="285"/>
      <c r="KK70" s="285"/>
      <c r="KL70" s="285"/>
      <c r="KM70" s="285"/>
      <c r="KN70" s="285"/>
      <c r="KO70" s="285"/>
      <c r="KP70" s="285"/>
      <c r="KQ70" s="285"/>
      <c r="KR70" s="285"/>
      <c r="KS70" s="285"/>
      <c r="KT70" s="285"/>
      <c r="KU70" s="285"/>
      <c r="KV70" s="285"/>
      <c r="KW70" s="285"/>
      <c r="KX70" s="285"/>
      <c r="KY70" s="285"/>
      <c r="KZ70" s="285"/>
      <c r="LA70" s="285"/>
      <c r="LB70" s="285"/>
      <c r="LC70" s="285"/>
      <c r="LD70" s="285"/>
      <c r="LE70" s="285"/>
      <c r="LF70" s="285"/>
      <c r="LG70" s="285"/>
      <c r="LH70" s="285"/>
      <c r="LI70" s="285"/>
      <c r="LJ70" s="285"/>
      <c r="LK70" s="285"/>
      <c r="LL70" s="285"/>
      <c r="LM70" s="285"/>
      <c r="LN70" s="285"/>
      <c r="LO70" s="285"/>
      <c r="LP70" s="285"/>
      <c r="LQ70" s="285"/>
      <c r="LR70" s="285"/>
      <c r="LS70" s="285"/>
      <c r="LT70" s="285"/>
      <c r="LU70" s="285"/>
      <c r="LV70" s="285"/>
      <c r="LW70" s="285"/>
      <c r="LX70" s="285"/>
      <c r="LY70" s="285"/>
      <c r="LZ70" s="285"/>
      <c r="MA70" s="285"/>
      <c r="MB70" s="285"/>
      <c r="MC70" s="285"/>
      <c r="MD70" s="285"/>
      <c r="ME70" s="285"/>
      <c r="MF70" s="285"/>
      <c r="MG70" s="285"/>
      <c r="MH70" s="285"/>
      <c r="MI70" s="285"/>
      <c r="MJ70" s="285"/>
      <c r="MK70" s="285"/>
      <c r="ML70" s="285"/>
      <c r="MM70" s="285"/>
      <c r="MN70" s="285"/>
      <c r="MO70" s="285"/>
      <c r="MP70" s="285"/>
      <c r="MQ70" s="285"/>
      <c r="MR70" s="285"/>
      <c r="MS70" s="285"/>
      <c r="MT70" s="285"/>
      <c r="MU70" s="285"/>
      <c r="MV70" s="285"/>
      <c r="MW70" s="285"/>
      <c r="MX70" s="285"/>
      <c r="MY70" s="285"/>
      <c r="MZ70" s="285"/>
      <c r="NA70" s="285"/>
      <c r="NB70" s="285"/>
      <c r="NC70" s="285"/>
      <c r="ND70" s="285"/>
      <c r="NE70" s="285"/>
      <c r="NF70" s="285"/>
      <c r="NG70" s="285"/>
      <c r="NH70" s="285"/>
      <c r="NI70" s="285"/>
      <c r="NJ70" s="285"/>
      <c r="NK70" s="285"/>
      <c r="NL70" s="285"/>
      <c r="NM70" s="285"/>
      <c r="NN70" s="285"/>
      <c r="NO70" s="285"/>
      <c r="NP70" s="285"/>
      <c r="NQ70" s="285"/>
      <c r="NR70" s="285"/>
      <c r="NS70" s="285"/>
      <c r="NT70" s="285"/>
      <c r="NU70" s="285"/>
      <c r="NV70" s="285"/>
      <c r="NW70" s="285"/>
      <c r="NX70" s="285"/>
      <c r="NY70" s="285"/>
      <c r="NZ70" s="285"/>
      <c r="OA70" s="285"/>
      <c r="OB70" s="285"/>
      <c r="OC70" s="285"/>
      <c r="OD70" s="285"/>
      <c r="OE70" s="285"/>
      <c r="OF70" s="285"/>
      <c r="OG70" s="285"/>
      <c r="OH70" s="285"/>
      <c r="OI70" s="285"/>
      <c r="OJ70" s="285"/>
      <c r="OK70" s="285"/>
      <c r="OL70" s="285"/>
      <c r="OM70" s="285"/>
      <c r="ON70" s="285"/>
      <c r="OO70" s="285"/>
      <c r="OP70" s="285"/>
      <c r="OQ70" s="285"/>
      <c r="OR70" s="285"/>
      <c r="OS70" s="285"/>
      <c r="OT70" s="285"/>
      <c r="OU70" s="285"/>
      <c r="OV70" s="285"/>
      <c r="OW70" s="285"/>
      <c r="OX70" s="285"/>
      <c r="OY70" s="285"/>
      <c r="OZ70" s="285"/>
      <c r="PA70" s="285"/>
      <c r="PB70" s="285"/>
      <c r="PC70" s="285"/>
      <c r="PD70" s="285"/>
      <c r="PE70" s="285"/>
      <c r="PF70" s="285"/>
      <c r="PG70" s="285"/>
      <c r="PH70" s="285"/>
      <c r="PI70" s="285"/>
      <c r="PJ70" s="285"/>
      <c r="PK70" s="285"/>
      <c r="PL70" s="285"/>
      <c r="PM70" s="285"/>
      <c r="PN70" s="285"/>
      <c r="PO70" s="285"/>
      <c r="PP70" s="285"/>
      <c r="PQ70" s="285"/>
      <c r="PR70" s="285"/>
      <c r="PS70" s="285"/>
      <c r="PT70" s="285"/>
      <c r="PU70" s="285"/>
      <c r="PV70" s="285"/>
      <c r="PW70" s="285"/>
      <c r="PX70" s="285"/>
      <c r="PY70" s="285"/>
      <c r="PZ70" s="285"/>
      <c r="QA70" s="285"/>
      <c r="QB70" s="285"/>
      <c r="QC70" s="285"/>
      <c r="QD70" s="285"/>
      <c r="QE70" s="285"/>
      <c r="QF70" s="285"/>
      <c r="QG70" s="285"/>
      <c r="QH70" s="285"/>
      <c r="QI70" s="285"/>
      <c r="QJ70" s="285"/>
      <c r="QK70" s="285"/>
      <c r="QL70" s="285"/>
      <c r="QM70" s="285"/>
      <c r="QN70" s="285"/>
      <c r="QO70" s="285"/>
      <c r="QP70" s="285"/>
      <c r="QQ70" s="285"/>
      <c r="QR70" s="285"/>
      <c r="QS70" s="285"/>
      <c r="QT70" s="285"/>
      <c r="QU70" s="285"/>
      <c r="QV70" s="285"/>
      <c r="QW70" s="285"/>
      <c r="QX70" s="285"/>
      <c r="QY70" s="285"/>
    </row>
    <row r="71" spans="1:467">
      <c r="A71" s="83"/>
      <c r="C71" s="106"/>
      <c r="D71" s="82"/>
      <c r="E71" s="82"/>
      <c r="F71" s="82"/>
      <c r="G71" s="82"/>
      <c r="H71" s="82"/>
      <c r="I71" s="82"/>
      <c r="J71" s="91"/>
      <c r="K71" s="82"/>
      <c r="L71" s="82"/>
      <c r="M71" s="82"/>
      <c r="N71" s="102"/>
      <c r="O71" s="83"/>
      <c r="P71" s="96"/>
      <c r="Q71" s="97"/>
      <c r="R71" s="92"/>
      <c r="S71" s="98"/>
      <c r="T71" s="85"/>
      <c r="U71" s="87"/>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c r="QP71" s="92"/>
      <c r="QQ71" s="92"/>
      <c r="QR71" s="92"/>
      <c r="QS71" s="92"/>
      <c r="QT71" s="92"/>
      <c r="QU71" s="92"/>
      <c r="QV71" s="92"/>
      <c r="QW71" s="92"/>
      <c r="QX71" s="92"/>
      <c r="QY71" s="92"/>
    </row>
    <row r="72" spans="1:467">
      <c r="A72" s="83"/>
      <c r="C72" s="106"/>
      <c r="D72" s="82"/>
      <c r="E72" s="82"/>
      <c r="F72" s="82"/>
      <c r="G72" s="82"/>
      <c r="H72" s="82"/>
      <c r="I72" s="82"/>
      <c r="J72" s="101"/>
      <c r="K72" s="82"/>
      <c r="L72" s="82"/>
      <c r="M72" s="82"/>
      <c r="N72" s="102"/>
      <c r="O72" s="83"/>
      <c r="P72" s="100"/>
      <c r="Q72" s="97"/>
      <c r="R72" s="92"/>
      <c r="S72" s="83"/>
      <c r="T72" s="99"/>
      <c r="U72" s="88"/>
      <c r="V72" s="82"/>
      <c r="W72" s="82"/>
      <c r="X72" s="82"/>
      <c r="Y72" s="82"/>
      <c r="Z72" s="82"/>
      <c r="AA72" s="54"/>
      <c r="AB72" s="83"/>
      <c r="AC72" s="83"/>
      <c r="AD72" s="83"/>
      <c r="AE72" s="83"/>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c r="QP72" s="92"/>
      <c r="QQ72" s="92"/>
      <c r="QR72" s="92"/>
      <c r="QS72" s="92"/>
      <c r="QT72" s="92"/>
      <c r="QU72" s="92"/>
      <c r="QV72" s="92"/>
      <c r="QW72" s="92"/>
      <c r="QX72" s="92"/>
      <c r="QY72" s="92"/>
    </row>
    <row r="73" spans="1:467" ht="15" customHeight="1">
      <c r="A73" s="83"/>
      <c r="C73" s="106"/>
      <c r="D73" s="82"/>
      <c r="E73" s="82"/>
      <c r="F73" s="82"/>
      <c r="G73" s="82"/>
      <c r="H73" s="82"/>
      <c r="I73" s="82"/>
      <c r="J73" s="101"/>
      <c r="K73" s="82"/>
      <c r="L73" s="82"/>
      <c r="M73" s="82"/>
      <c r="N73" s="102"/>
      <c r="O73" s="83"/>
      <c r="P73" s="100"/>
      <c r="Q73" s="97"/>
      <c r="R73" s="92"/>
      <c r="S73" s="83"/>
      <c r="T73" s="99"/>
      <c r="U73" s="88"/>
      <c r="V73" s="82"/>
      <c r="W73" s="82"/>
      <c r="X73" s="82"/>
      <c r="Y73" s="82"/>
      <c r="Z73" s="82"/>
      <c r="AA73" s="54"/>
      <c r="AB73" s="83"/>
      <c r="AC73" s="83"/>
      <c r="AD73" s="83"/>
      <c r="AE73" s="83"/>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c r="QP73" s="92"/>
      <c r="QQ73" s="92"/>
      <c r="QR73" s="92"/>
      <c r="QS73" s="92"/>
      <c r="QT73" s="92"/>
      <c r="QU73" s="92"/>
      <c r="QV73" s="92"/>
      <c r="QW73" s="92"/>
      <c r="QX73" s="92"/>
      <c r="QY73" s="92"/>
    </row>
    <row r="74" spans="1:467">
      <c r="A74" s="83"/>
      <c r="C74" s="106"/>
      <c r="D74" s="82"/>
      <c r="E74" s="82"/>
      <c r="F74" s="82"/>
      <c r="G74" s="82"/>
      <c r="H74" s="82"/>
      <c r="I74" s="82"/>
      <c r="J74" s="101"/>
      <c r="K74" s="82"/>
      <c r="L74" s="82"/>
      <c r="M74" s="82"/>
      <c r="N74" s="102"/>
      <c r="O74" s="83"/>
      <c r="P74" s="96"/>
      <c r="Q74" s="97"/>
      <c r="R74" s="92"/>
      <c r="S74" s="85"/>
      <c r="T74" s="85"/>
      <c r="U74" s="87"/>
      <c r="V74" s="82"/>
      <c r="W74" s="82"/>
      <c r="X74" s="82"/>
      <c r="Y74" s="82"/>
      <c r="Z74" s="82"/>
      <c r="AA74" s="54"/>
      <c r="AB74" s="83"/>
      <c r="AC74" s="83"/>
      <c r="AD74" s="83"/>
      <c r="AE74" s="83"/>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c r="QP74" s="92"/>
      <c r="QQ74" s="92"/>
      <c r="QR74" s="92"/>
      <c r="QS74" s="92"/>
      <c r="QT74" s="92"/>
      <c r="QU74" s="92"/>
      <c r="QV74" s="92"/>
      <c r="QW74" s="92"/>
      <c r="QX74" s="92"/>
      <c r="QY74" s="92"/>
    </row>
    <row r="75" spans="1:467" ht="36" customHeight="1">
      <c r="A75" s="83"/>
      <c r="C75" s="106"/>
      <c r="D75" s="82"/>
      <c r="E75" s="82"/>
      <c r="F75" s="82"/>
      <c r="G75" s="82"/>
      <c r="H75" s="82"/>
      <c r="I75" s="82"/>
      <c r="J75" s="101"/>
      <c r="K75" s="82"/>
      <c r="L75" s="82"/>
      <c r="M75" s="82"/>
      <c r="N75" s="102"/>
      <c r="O75" s="83"/>
      <c r="P75" s="100"/>
      <c r="Q75" s="97"/>
      <c r="R75" s="83"/>
      <c r="S75" s="86"/>
      <c r="T75" s="86"/>
      <c r="U75" s="88"/>
      <c r="V75" s="82"/>
      <c r="W75" s="82"/>
      <c r="X75" s="82"/>
      <c r="Y75" s="82"/>
      <c r="Z75" s="82"/>
      <c r="AA75" s="54"/>
      <c r="AB75" s="83"/>
      <c r="AC75" s="83"/>
      <c r="AD75" s="83"/>
      <c r="AE75" s="83"/>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c r="QP75" s="92"/>
      <c r="QQ75" s="92"/>
      <c r="QR75" s="92"/>
      <c r="QS75" s="92"/>
      <c r="QT75" s="92"/>
      <c r="QU75" s="92"/>
      <c r="QV75" s="92"/>
      <c r="QW75" s="92"/>
      <c r="QX75" s="92"/>
      <c r="QY75" s="92"/>
    </row>
    <row r="76" spans="1:467">
      <c r="A76" s="83"/>
      <c r="C76" s="106"/>
      <c r="D76" s="82"/>
      <c r="E76" s="82"/>
      <c r="F76" s="82"/>
      <c r="G76" s="82"/>
      <c r="H76" s="82"/>
      <c r="I76" s="82"/>
      <c r="J76" s="101"/>
      <c r="K76" s="82"/>
      <c r="L76" s="82"/>
      <c r="M76" s="82"/>
      <c r="N76" s="102"/>
      <c r="O76" s="83"/>
      <c r="P76" s="100"/>
      <c r="Q76" s="97"/>
      <c r="R76" s="83"/>
      <c r="S76" s="86"/>
      <c r="T76" s="86"/>
      <c r="U76" s="88"/>
      <c r="V76" s="82"/>
      <c r="W76" s="82"/>
      <c r="X76" s="82"/>
      <c r="Y76" s="82"/>
      <c r="Z76" s="82"/>
      <c r="AA76" s="54"/>
      <c r="AB76" s="83"/>
      <c r="AC76" s="83"/>
      <c r="AD76" s="83"/>
      <c r="AE76" s="83"/>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c r="QP76" s="92"/>
      <c r="QQ76" s="92"/>
      <c r="QR76" s="92"/>
      <c r="QS76" s="92"/>
      <c r="QT76" s="92"/>
      <c r="QU76" s="92"/>
      <c r="QV76" s="92"/>
      <c r="QW76" s="92"/>
      <c r="QX76" s="92"/>
      <c r="QY76" s="92"/>
    </row>
    <row r="77" spans="1:467">
      <c r="A77" s="83"/>
      <c r="C77" s="106"/>
      <c r="D77" s="82"/>
      <c r="E77" s="82"/>
      <c r="F77" s="82"/>
      <c r="G77" s="82"/>
      <c r="H77" s="82"/>
      <c r="I77" s="82"/>
      <c r="J77" s="101"/>
      <c r="K77" s="82"/>
      <c r="L77" s="82"/>
      <c r="M77" s="82"/>
      <c r="N77" s="102"/>
      <c r="O77" s="83"/>
      <c r="P77" s="100"/>
      <c r="Q77" s="97"/>
      <c r="R77" s="83"/>
      <c r="S77" s="86"/>
      <c r="T77" s="86"/>
      <c r="U77" s="88"/>
      <c r="V77" s="82"/>
      <c r="W77" s="82"/>
      <c r="X77" s="82"/>
      <c r="Y77" s="82"/>
      <c r="Z77" s="82"/>
      <c r="AA77" s="54"/>
      <c r="AB77" s="83"/>
      <c r="AC77" s="83"/>
      <c r="AD77" s="83"/>
      <c r="AE77" s="83"/>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c r="QP77" s="92"/>
      <c r="QQ77" s="92"/>
      <c r="QR77" s="92"/>
      <c r="QS77" s="92"/>
      <c r="QT77" s="92"/>
      <c r="QU77" s="92"/>
      <c r="QV77" s="92"/>
      <c r="QW77" s="92"/>
      <c r="QX77" s="92"/>
      <c r="QY77" s="92"/>
    </row>
    <row r="78" spans="1:467">
      <c r="A78" s="83"/>
      <c r="C78" s="106"/>
      <c r="D78" s="82"/>
      <c r="E78" s="82"/>
      <c r="F78" s="82"/>
      <c r="G78" s="82"/>
      <c r="H78" s="82"/>
      <c r="I78" s="82"/>
      <c r="J78" s="101"/>
      <c r="K78" s="82"/>
      <c r="L78" s="82"/>
      <c r="M78" s="82"/>
      <c r="N78" s="102"/>
      <c r="O78" s="83"/>
      <c r="P78" s="100"/>
      <c r="Q78" s="97"/>
      <c r="R78" s="83"/>
      <c r="S78" s="86"/>
      <c r="T78" s="86"/>
      <c r="U78" s="88"/>
      <c r="V78" s="82"/>
      <c r="W78" s="82"/>
      <c r="X78" s="82"/>
      <c r="Y78" s="82"/>
      <c r="Z78" s="82"/>
      <c r="AA78" s="54"/>
      <c r="AB78" s="83"/>
      <c r="AC78" s="83"/>
      <c r="AD78" s="83"/>
      <c r="AE78" s="83"/>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c r="QP78" s="92"/>
      <c r="QQ78" s="92"/>
      <c r="QR78" s="92"/>
      <c r="QS78" s="92"/>
      <c r="QT78" s="92"/>
      <c r="QU78" s="92"/>
      <c r="QV78" s="92"/>
      <c r="QW78" s="92"/>
      <c r="QX78" s="92"/>
      <c r="QY78" s="92"/>
    </row>
    <row r="79" spans="1:467">
      <c r="A79" s="83"/>
      <c r="C79" s="106"/>
      <c r="D79" s="82"/>
      <c r="E79" s="82"/>
      <c r="F79" s="82"/>
      <c r="G79" s="82"/>
      <c r="H79" s="82"/>
      <c r="I79" s="82"/>
      <c r="J79" s="79"/>
      <c r="K79" s="82"/>
      <c r="L79" s="82"/>
      <c r="M79" s="82"/>
      <c r="N79" s="102"/>
      <c r="O79" s="83"/>
      <c r="P79" s="100"/>
      <c r="Q79" s="97"/>
      <c r="R79" s="83"/>
      <c r="S79" s="86"/>
      <c r="T79" s="86"/>
      <c r="U79" s="88"/>
      <c r="V79" s="82"/>
      <c r="W79" s="82"/>
      <c r="X79" s="82"/>
      <c r="Y79" s="82"/>
      <c r="Z79" s="82"/>
      <c r="AA79" s="54"/>
      <c r="AB79" s="83"/>
      <c r="AC79" s="83"/>
      <c r="AD79" s="83"/>
      <c r="AE79" s="83"/>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c r="QP79" s="92"/>
      <c r="QQ79" s="92"/>
      <c r="QR79" s="92"/>
      <c r="QS79" s="92"/>
      <c r="QT79" s="92"/>
      <c r="QU79" s="92"/>
      <c r="QV79" s="92"/>
      <c r="QW79" s="92"/>
      <c r="QX79" s="92"/>
      <c r="QY79" s="92"/>
    </row>
    <row r="80" spans="1:467">
      <c r="A80" s="83"/>
      <c r="C80" s="106"/>
      <c r="D80" s="82"/>
      <c r="E80" s="82"/>
      <c r="F80" s="82"/>
      <c r="G80" s="82"/>
      <c r="H80" s="82"/>
      <c r="I80" s="82"/>
      <c r="J80" s="80"/>
      <c r="K80" s="82"/>
      <c r="L80" s="82"/>
      <c r="M80" s="82"/>
      <c r="N80" s="102"/>
      <c r="O80" s="83"/>
      <c r="P80" s="100"/>
      <c r="Q80" s="97"/>
      <c r="R80" s="83"/>
      <c r="S80" s="86"/>
      <c r="T80" s="86"/>
      <c r="U80" s="88"/>
      <c r="V80" s="82"/>
      <c r="W80" s="82"/>
      <c r="X80" s="82"/>
      <c r="Y80" s="82"/>
      <c r="Z80" s="82"/>
      <c r="AA80" s="54"/>
      <c r="AB80" s="83"/>
      <c r="AC80" s="83"/>
      <c r="AD80" s="83"/>
      <c r="AE80" s="83"/>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c r="QP80" s="92"/>
      <c r="QQ80" s="92"/>
      <c r="QR80" s="92"/>
      <c r="QS80" s="92"/>
      <c r="QT80" s="92"/>
      <c r="QU80" s="92"/>
      <c r="QV80" s="92"/>
      <c r="QW80" s="92"/>
      <c r="QX80" s="92"/>
      <c r="QY80" s="92"/>
    </row>
    <row r="81" spans="1:467">
      <c r="A81" s="83"/>
      <c r="C81" s="106"/>
      <c r="D81" s="82"/>
      <c r="E81" s="82"/>
      <c r="F81" s="82"/>
      <c r="G81" s="82"/>
      <c r="H81" s="82"/>
      <c r="I81" s="82"/>
      <c r="J81" s="81"/>
      <c r="K81" s="82"/>
      <c r="L81" s="82"/>
      <c r="M81" s="82"/>
      <c r="N81" s="102"/>
      <c r="O81" s="83"/>
      <c r="P81" s="96"/>
      <c r="Q81" s="97"/>
      <c r="R81" s="83"/>
      <c r="S81" s="85"/>
      <c r="T81" s="85"/>
      <c r="U81" s="87"/>
      <c r="V81" s="82"/>
      <c r="W81" s="82"/>
      <c r="X81" s="82"/>
      <c r="Y81" s="82"/>
      <c r="Z81" s="82"/>
      <c r="AA81" s="54"/>
      <c r="AB81" s="83"/>
      <c r="AC81" s="83"/>
      <c r="AD81" s="83"/>
      <c r="AE81" s="83"/>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c r="QP81" s="92"/>
      <c r="QQ81" s="92"/>
      <c r="QR81" s="92"/>
      <c r="QS81" s="92"/>
      <c r="QT81" s="92"/>
      <c r="QU81" s="92"/>
      <c r="QV81" s="92"/>
      <c r="QW81" s="92"/>
      <c r="QX81" s="92"/>
      <c r="QY81" s="92"/>
    </row>
    <row r="82" spans="1:467">
      <c r="A82" s="83"/>
      <c r="C82" s="106"/>
      <c r="D82" s="82"/>
      <c r="E82" s="82"/>
      <c r="F82" s="82"/>
      <c r="G82" s="82"/>
      <c r="H82" s="82"/>
      <c r="I82" s="82"/>
      <c r="J82" s="82"/>
      <c r="K82" s="82"/>
      <c r="L82" s="82"/>
      <c r="M82" s="82"/>
      <c r="N82" s="102"/>
      <c r="O82" s="83"/>
      <c r="P82" s="100"/>
      <c r="Q82" s="97"/>
      <c r="R82" s="83"/>
      <c r="S82" s="86"/>
      <c r="T82" s="86"/>
      <c r="U82" s="88"/>
      <c r="V82" s="82"/>
      <c r="W82" s="82"/>
      <c r="X82" s="82"/>
      <c r="Y82" s="82"/>
      <c r="Z82" s="82"/>
      <c r="AA82" s="54"/>
      <c r="AB82" s="83"/>
      <c r="AC82" s="83"/>
      <c r="AD82" s="83"/>
      <c r="AE82" s="83"/>
      <c r="AF82" s="92"/>
      <c r="AG82" s="92"/>
      <c r="AH82" s="92"/>
      <c r="AI82" s="92"/>
      <c r="AJ82" s="92"/>
      <c r="AK82" s="92"/>
      <c r="AL82" s="92"/>
      <c r="AM82" s="92"/>
      <c r="AN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c r="QP82" s="92"/>
      <c r="QQ82" s="92"/>
      <c r="QR82" s="92"/>
      <c r="QS82" s="92"/>
      <c r="QT82" s="92"/>
      <c r="QU82" s="92"/>
      <c r="QV82" s="92"/>
      <c r="QW82" s="92"/>
      <c r="QX82" s="92"/>
      <c r="QY82" s="92"/>
    </row>
    <row r="83" spans="1:467">
      <c r="A83" s="83"/>
      <c r="C83" s="106"/>
      <c r="D83" s="82"/>
      <c r="E83" s="82"/>
      <c r="F83" s="82"/>
      <c r="G83" s="82"/>
      <c r="H83" s="82"/>
      <c r="I83" s="82"/>
      <c r="J83" s="82"/>
      <c r="K83" s="82"/>
      <c r="L83" s="82"/>
      <c r="M83" s="82"/>
      <c r="N83" s="102"/>
      <c r="O83" s="83"/>
      <c r="P83" s="100"/>
      <c r="Q83" s="97"/>
      <c r="R83" s="83"/>
      <c r="S83" s="86"/>
      <c r="T83" s="86"/>
      <c r="U83" s="88"/>
      <c r="V83" s="82"/>
      <c r="W83" s="82"/>
      <c r="X83" s="82"/>
      <c r="Y83" s="82"/>
      <c r="Z83" s="82"/>
      <c r="AA83" s="54"/>
      <c r="AB83" s="83"/>
      <c r="AC83" s="83"/>
      <c r="AD83" s="83"/>
      <c r="AE83" s="83"/>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c r="QP83" s="92"/>
      <c r="QQ83" s="92"/>
      <c r="QR83" s="92"/>
      <c r="QS83" s="92"/>
      <c r="QT83" s="92"/>
      <c r="QU83" s="92"/>
      <c r="QV83" s="92"/>
      <c r="QW83" s="92"/>
      <c r="QX83" s="92"/>
      <c r="QY83" s="92"/>
    </row>
    <row r="84" spans="1:467">
      <c r="A84" s="83"/>
      <c r="C84" s="106"/>
      <c r="D84" s="82"/>
      <c r="E84" s="82"/>
      <c r="F84" s="82"/>
      <c r="G84" s="82"/>
      <c r="H84" s="82"/>
      <c r="I84" s="82"/>
      <c r="J84" s="82"/>
      <c r="K84" s="82"/>
      <c r="L84" s="82"/>
      <c r="M84" s="82"/>
      <c r="N84" s="102"/>
      <c r="O84" s="83"/>
      <c r="P84" s="96"/>
      <c r="Q84" s="97"/>
      <c r="R84" s="83"/>
      <c r="S84" s="85"/>
      <c r="T84" s="85"/>
      <c r="U84" s="110"/>
      <c r="V84" s="82"/>
      <c r="W84" s="82"/>
      <c r="X84" s="82"/>
      <c r="Y84" s="82"/>
      <c r="Z84" s="82"/>
      <c r="AA84" s="54"/>
      <c r="AB84" s="83"/>
      <c r="AC84" s="83"/>
      <c r="AD84" s="83"/>
      <c r="AE84" s="83"/>
      <c r="AF84" s="92"/>
      <c r="AG84" s="92"/>
      <c r="AH84" s="92"/>
      <c r="AI84" s="92"/>
      <c r="AJ84" s="92"/>
      <c r="AK84" s="92"/>
      <c r="AL84" s="92"/>
      <c r="AM84" s="92"/>
      <c r="AN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c r="QP84" s="92"/>
      <c r="QQ84" s="92"/>
      <c r="QR84" s="92"/>
      <c r="QS84" s="92"/>
      <c r="QT84" s="92"/>
      <c r="QU84" s="92"/>
      <c r="QV84" s="92"/>
      <c r="QW84" s="92"/>
      <c r="QX84" s="92"/>
      <c r="QY84" s="92"/>
    </row>
    <row r="85" spans="1:467">
      <c r="A85" s="83"/>
      <c r="C85" s="106"/>
      <c r="D85" s="82"/>
      <c r="E85" s="82"/>
      <c r="F85" s="82"/>
      <c r="G85" s="82"/>
      <c r="H85" s="82"/>
      <c r="I85" s="82"/>
      <c r="J85" s="82"/>
      <c r="K85" s="82"/>
      <c r="L85" s="82"/>
      <c r="M85" s="82"/>
      <c r="N85" s="102"/>
      <c r="O85" s="83"/>
      <c r="P85" s="92"/>
      <c r="Q85" s="92"/>
      <c r="R85" s="83"/>
      <c r="S85" s="83"/>
      <c r="T85" s="82"/>
      <c r="U85" s="82"/>
      <c r="V85" s="82"/>
      <c r="W85" s="82"/>
      <c r="X85" s="82"/>
      <c r="Y85" s="82"/>
      <c r="Z85" s="82"/>
      <c r="AA85" s="54"/>
      <c r="AB85" s="83"/>
      <c r="AC85" s="83"/>
      <c r="AD85" s="83"/>
      <c r="AE85" s="83"/>
      <c r="AF85" s="92"/>
      <c r="AG85" s="92"/>
      <c r="AH85" s="92"/>
      <c r="AI85" s="92"/>
      <c r="AJ85" s="92"/>
      <c r="AK85" s="92"/>
      <c r="AL85" s="92"/>
      <c r="AM85" s="92"/>
      <c r="AN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c r="QP85" s="92"/>
      <c r="QQ85" s="92"/>
      <c r="QR85" s="92"/>
      <c r="QS85" s="92"/>
      <c r="QT85" s="92"/>
      <c r="QU85" s="92"/>
      <c r="QV85" s="92"/>
      <c r="QW85" s="92"/>
      <c r="QX85" s="92"/>
      <c r="QY85" s="92"/>
    </row>
    <row r="86" spans="1:467">
      <c r="A86" s="83"/>
      <c r="C86" s="106"/>
      <c r="D86" s="82"/>
      <c r="E86" s="82"/>
      <c r="F86" s="82"/>
      <c r="G86" s="82"/>
      <c r="H86" s="82"/>
      <c r="I86" s="82"/>
      <c r="J86" s="82"/>
      <c r="K86" s="82"/>
      <c r="L86" s="82"/>
      <c r="M86" s="82"/>
      <c r="N86" s="102"/>
      <c r="O86" s="83"/>
      <c r="P86" s="92"/>
      <c r="Q86" s="92"/>
      <c r="R86" s="83"/>
      <c r="S86" s="83"/>
      <c r="T86" s="82"/>
      <c r="U86" s="82"/>
      <c r="V86" s="82"/>
      <c r="W86" s="82"/>
      <c r="X86" s="82"/>
      <c r="Y86" s="82"/>
      <c r="Z86" s="82"/>
      <c r="AA86" s="54"/>
      <c r="AB86" s="83"/>
      <c r="AC86" s="83"/>
      <c r="AD86" s="83"/>
      <c r="AE86" s="83"/>
      <c r="AF86" s="83"/>
      <c r="AG86" s="83"/>
      <c r="AH86" s="83"/>
    </row>
    <row r="87" spans="1:467">
      <c r="A87" s="83"/>
      <c r="C87" s="106"/>
      <c r="D87" s="82"/>
      <c r="E87" s="82"/>
      <c r="F87" s="82"/>
      <c r="G87" s="82"/>
      <c r="H87" s="82"/>
      <c r="I87" s="82"/>
      <c r="J87" s="82"/>
      <c r="K87" s="82"/>
      <c r="L87" s="82"/>
      <c r="M87" s="82"/>
      <c r="N87" s="102"/>
      <c r="O87" s="83"/>
      <c r="P87" s="92"/>
      <c r="Q87" s="92"/>
      <c r="R87" s="83"/>
      <c r="S87" s="83"/>
      <c r="T87" s="82"/>
      <c r="U87" s="82"/>
      <c r="V87" s="82"/>
      <c r="W87" s="82"/>
      <c r="X87" s="82"/>
      <c r="Y87" s="82"/>
      <c r="Z87" s="82"/>
      <c r="AA87" s="54"/>
      <c r="AB87" s="83"/>
      <c r="AC87" s="83"/>
      <c r="AD87" s="83"/>
      <c r="AE87" s="83"/>
      <c r="AF87" s="83"/>
      <c r="AG87" s="83"/>
      <c r="AH87" s="83"/>
    </row>
    <row r="88" spans="1:467">
      <c r="A88" s="83"/>
      <c r="C88" s="106"/>
      <c r="D88" s="82"/>
      <c r="E88" s="82"/>
      <c r="F88" s="82"/>
      <c r="G88" s="82"/>
      <c r="H88" s="82"/>
      <c r="I88" s="82"/>
      <c r="J88" s="82"/>
      <c r="K88" s="82"/>
      <c r="L88" s="82"/>
      <c r="M88" s="82"/>
      <c r="N88" s="102"/>
      <c r="O88" s="83"/>
      <c r="P88" s="92"/>
      <c r="Q88" s="92"/>
      <c r="R88" s="83"/>
      <c r="S88" s="83"/>
      <c r="T88" s="82"/>
      <c r="U88" s="82"/>
      <c r="V88" s="82"/>
      <c r="W88" s="82"/>
      <c r="X88" s="82"/>
      <c r="Y88" s="82"/>
      <c r="Z88" s="82"/>
      <c r="AA88" s="54"/>
      <c r="AB88" s="83"/>
      <c r="AC88" s="83"/>
      <c r="AD88" s="83"/>
      <c r="AE88" s="83"/>
      <c r="AF88" s="83"/>
      <c r="AG88" s="83"/>
      <c r="AH88" s="83"/>
    </row>
    <row r="89" spans="1:467">
      <c r="A89" s="83"/>
      <c r="C89" s="106"/>
      <c r="D89" s="82"/>
      <c r="E89" s="82"/>
      <c r="F89" s="82"/>
      <c r="G89" s="82"/>
      <c r="H89" s="82"/>
      <c r="I89" s="82"/>
      <c r="J89" s="82"/>
      <c r="K89" s="82"/>
      <c r="L89" s="82"/>
      <c r="M89" s="82"/>
      <c r="N89" s="102"/>
      <c r="O89" s="83"/>
      <c r="P89" s="92"/>
      <c r="Q89" s="92"/>
      <c r="R89" s="83"/>
      <c r="S89" s="83"/>
      <c r="T89" s="82"/>
      <c r="U89" s="82"/>
      <c r="V89" s="82"/>
      <c r="W89" s="82"/>
      <c r="X89" s="82"/>
      <c r="Y89" s="82"/>
      <c r="Z89" s="82"/>
      <c r="AA89" s="54"/>
      <c r="AB89" s="83"/>
      <c r="AC89" s="83"/>
      <c r="AD89" s="83"/>
      <c r="AE89" s="83"/>
      <c r="AF89" s="83"/>
      <c r="AG89" s="83"/>
      <c r="AH89" s="83"/>
    </row>
    <row r="90" spans="1:467">
      <c r="A90" s="83"/>
      <c r="C90" s="106"/>
      <c r="D90" s="82"/>
      <c r="E90" s="82"/>
      <c r="F90" s="82"/>
      <c r="G90" s="82"/>
      <c r="H90" s="82"/>
      <c r="I90" s="82"/>
      <c r="J90" s="82"/>
      <c r="K90" s="82"/>
      <c r="L90" s="82"/>
      <c r="M90" s="82"/>
      <c r="N90" s="102"/>
      <c r="O90" s="83"/>
      <c r="P90" s="92"/>
      <c r="Q90" s="92"/>
      <c r="R90" s="83"/>
      <c r="S90" s="83"/>
      <c r="T90" s="82"/>
      <c r="U90" s="82"/>
      <c r="V90" s="82"/>
      <c r="W90" s="82"/>
      <c r="X90" s="82"/>
      <c r="Y90" s="82"/>
      <c r="Z90" s="82"/>
      <c r="AA90" s="54"/>
      <c r="AB90" s="83"/>
      <c r="AC90" s="83"/>
      <c r="AD90" s="83"/>
      <c r="AE90" s="83"/>
      <c r="AF90" s="83"/>
      <c r="AG90" s="83"/>
      <c r="AH90" s="83"/>
    </row>
    <row r="91" spans="1:467">
      <c r="A91" s="83"/>
      <c r="C91" s="106"/>
      <c r="D91" s="82"/>
      <c r="E91" s="82"/>
      <c r="F91" s="82"/>
      <c r="G91" s="82"/>
      <c r="H91" s="82"/>
      <c r="I91" s="82"/>
      <c r="J91" s="82"/>
      <c r="K91" s="82"/>
      <c r="L91" s="82"/>
      <c r="M91" s="82"/>
      <c r="N91" s="102"/>
      <c r="O91" s="83"/>
      <c r="P91" s="92"/>
      <c r="Q91" s="92"/>
      <c r="R91" s="83"/>
      <c r="S91" s="83"/>
      <c r="T91" s="82"/>
      <c r="U91" s="82"/>
      <c r="V91" s="82"/>
      <c r="W91" s="82"/>
      <c r="X91" s="82"/>
      <c r="Y91" s="82"/>
      <c r="Z91" s="82"/>
      <c r="AA91" s="54"/>
      <c r="AB91" s="83"/>
      <c r="AC91" s="83"/>
      <c r="AD91" s="83"/>
      <c r="AE91" s="83"/>
      <c r="AF91" s="83"/>
      <c r="AG91" s="83"/>
      <c r="AH91" s="83"/>
    </row>
    <row r="92" spans="1:467">
      <c r="A92" s="83"/>
      <c r="C92" s="106"/>
      <c r="D92" s="82"/>
      <c r="E92" s="82"/>
      <c r="F92" s="82"/>
      <c r="G92" s="82"/>
      <c r="H92" s="82"/>
      <c r="I92" s="82"/>
      <c r="J92" s="82"/>
      <c r="K92" s="82"/>
      <c r="L92" s="82"/>
      <c r="M92" s="82"/>
      <c r="N92" s="102"/>
      <c r="O92" s="83"/>
      <c r="P92" s="92"/>
      <c r="Q92" s="92"/>
      <c r="R92" s="83"/>
      <c r="S92" s="83"/>
      <c r="T92" s="82"/>
      <c r="U92" s="82"/>
      <c r="V92" s="82"/>
      <c r="W92" s="82"/>
      <c r="X92" s="82"/>
      <c r="Y92" s="82"/>
      <c r="Z92" s="82"/>
      <c r="AA92" s="54"/>
      <c r="AB92" s="83"/>
      <c r="AC92" s="83"/>
      <c r="AD92" s="83"/>
      <c r="AE92" s="83"/>
      <c r="AF92" s="83"/>
      <c r="AG92" s="83"/>
      <c r="AH92" s="83"/>
    </row>
    <row r="93" spans="1:467">
      <c r="A93" s="83"/>
      <c r="C93" s="106"/>
      <c r="D93" s="82"/>
      <c r="E93" s="82"/>
      <c r="F93" s="82"/>
      <c r="G93" s="82"/>
      <c r="H93" s="82"/>
      <c r="I93" s="82"/>
      <c r="J93" s="82"/>
      <c r="K93" s="54"/>
      <c r="L93" s="54"/>
      <c r="M93" s="54"/>
      <c r="N93" s="102"/>
      <c r="O93" s="83"/>
      <c r="P93" s="92"/>
      <c r="Q93" s="92"/>
      <c r="R93" s="83"/>
      <c r="S93" s="83"/>
      <c r="T93" s="82"/>
      <c r="U93" s="82"/>
      <c r="V93" s="82"/>
      <c r="W93" s="82"/>
      <c r="X93" s="82"/>
      <c r="Y93" s="82"/>
      <c r="Z93" s="82"/>
      <c r="AA93" s="54"/>
      <c r="AB93" s="83"/>
      <c r="AC93" s="83"/>
      <c r="AD93" s="83"/>
      <c r="AE93" s="83"/>
      <c r="AF93" s="83"/>
      <c r="AG93" s="83"/>
      <c r="AH93" s="83"/>
    </row>
    <row r="94" spans="1:467">
      <c r="A94" s="83"/>
      <c r="C94" s="106"/>
      <c r="D94" s="82"/>
      <c r="E94" s="82"/>
      <c r="F94" s="82"/>
      <c r="G94" s="82"/>
      <c r="H94" s="82"/>
      <c r="I94" s="82"/>
      <c r="J94" s="82"/>
      <c r="K94" s="83"/>
      <c r="L94" s="83"/>
      <c r="M94" s="83"/>
      <c r="N94" s="83"/>
      <c r="O94" s="83"/>
      <c r="P94" s="92"/>
      <c r="Q94" s="92"/>
      <c r="R94" s="83"/>
      <c r="S94" s="83"/>
      <c r="T94" s="82"/>
      <c r="U94" s="82"/>
      <c r="V94" s="82"/>
      <c r="W94" s="82"/>
      <c r="X94" s="82"/>
      <c r="Y94" s="82"/>
      <c r="Z94" s="82"/>
      <c r="AA94" s="54"/>
      <c r="AB94" s="83"/>
      <c r="AC94" s="83"/>
      <c r="AD94" s="83"/>
      <c r="AE94" s="83"/>
      <c r="AF94" s="83"/>
      <c r="AG94" s="83"/>
      <c r="AH94" s="83"/>
    </row>
    <row r="95" spans="1:467">
      <c r="A95" s="83"/>
      <c r="C95" s="106"/>
      <c r="D95" s="82"/>
      <c r="E95" s="82"/>
      <c r="F95" s="82"/>
      <c r="G95" s="82"/>
      <c r="H95" s="82"/>
      <c r="I95" s="82"/>
      <c r="J95" s="82"/>
      <c r="K95" s="223"/>
      <c r="L95" s="223"/>
      <c r="M95" s="223"/>
      <c r="N95" s="223"/>
      <c r="O95" s="223"/>
      <c r="P95" s="333"/>
      <c r="Q95" s="333"/>
      <c r="R95" s="333"/>
      <c r="S95" s="333"/>
      <c r="T95" s="333"/>
      <c r="U95" s="333"/>
      <c r="V95" s="333"/>
      <c r="W95" s="333"/>
      <c r="X95" s="333"/>
      <c r="Y95" s="82"/>
      <c r="Z95" s="82"/>
      <c r="AA95" s="54"/>
      <c r="AB95" s="83"/>
      <c r="AC95" s="83"/>
      <c r="AD95" s="83"/>
      <c r="AE95" s="83"/>
      <c r="AF95" s="83"/>
      <c r="AG95" s="83"/>
      <c r="AH95" s="83"/>
    </row>
    <row r="96" spans="1:467">
      <c r="A96" s="83"/>
      <c r="B96" s="83"/>
      <c r="C96" s="54"/>
      <c r="D96" s="54"/>
      <c r="E96" s="54"/>
      <c r="F96" s="54"/>
      <c r="G96" s="54"/>
      <c r="H96" s="54"/>
      <c r="I96" s="54"/>
      <c r="J96" s="82"/>
      <c r="K96" s="83"/>
      <c r="L96" s="83"/>
      <c r="M96" s="83"/>
      <c r="N96" s="83"/>
      <c r="O96" s="83"/>
      <c r="P96" s="92"/>
      <c r="Q96" s="92"/>
      <c r="R96" s="83"/>
      <c r="S96" s="83"/>
      <c r="T96" s="82"/>
      <c r="U96" s="82"/>
      <c r="V96" s="82"/>
      <c r="W96" s="82"/>
      <c r="X96" s="82"/>
      <c r="Y96" s="82"/>
      <c r="Z96" s="82"/>
      <c r="AA96" s="54"/>
      <c r="AB96" s="83"/>
      <c r="AC96" s="83"/>
      <c r="AD96" s="83"/>
      <c r="AE96" s="83"/>
      <c r="AF96" s="83"/>
      <c r="AG96" s="83"/>
      <c r="AH96" s="83"/>
    </row>
    <row r="97" spans="1:34">
      <c r="A97" s="83"/>
      <c r="B97" s="83"/>
      <c r="C97" s="82"/>
      <c r="D97" s="82"/>
      <c r="E97" s="82"/>
      <c r="F97" s="82"/>
      <c r="G97" s="82"/>
      <c r="H97" s="82"/>
      <c r="I97" s="82"/>
      <c r="J97" s="82"/>
      <c r="K97" s="83"/>
      <c r="L97" s="83"/>
      <c r="M97" s="83"/>
      <c r="N97" s="83"/>
      <c r="O97" s="83"/>
      <c r="P97" s="92"/>
      <c r="Q97" s="92"/>
      <c r="R97" s="83"/>
      <c r="S97" s="51"/>
      <c r="T97" s="54"/>
      <c r="U97" s="54"/>
      <c r="V97" s="54"/>
      <c r="W97" s="54"/>
      <c r="X97" s="54"/>
      <c r="Y97" s="54"/>
      <c r="Z97" s="54"/>
      <c r="AA97" s="54"/>
      <c r="AB97" s="83"/>
      <c r="AC97" s="83"/>
      <c r="AD97" s="83"/>
      <c r="AE97" s="83"/>
      <c r="AF97" s="83"/>
      <c r="AG97" s="83"/>
      <c r="AH97" s="83"/>
    </row>
    <row r="98" spans="1:34">
      <c r="A98" s="83"/>
      <c r="B98" s="84"/>
      <c r="C98" s="104"/>
      <c r="D98" s="104"/>
      <c r="E98" s="104"/>
      <c r="F98" s="104"/>
      <c r="G98" s="104"/>
      <c r="H98" s="104"/>
      <c r="I98" s="104"/>
      <c r="J98" s="82"/>
      <c r="K98" s="83"/>
      <c r="L98" s="83"/>
      <c r="M98" s="83"/>
      <c r="N98" s="83"/>
      <c r="O98" s="83"/>
      <c r="P98" s="92"/>
      <c r="Q98" s="92"/>
      <c r="R98" s="83"/>
      <c r="S98" s="83"/>
      <c r="T98" s="83"/>
      <c r="U98" s="83"/>
      <c r="V98" s="83"/>
      <c r="W98" s="83"/>
      <c r="X98" s="83"/>
      <c r="Y98" s="83"/>
      <c r="Z98" s="83"/>
      <c r="AA98" s="83"/>
      <c r="AB98" s="83"/>
      <c r="AC98" s="83"/>
      <c r="AD98" s="83"/>
      <c r="AE98" s="83"/>
      <c r="AF98" s="83"/>
      <c r="AG98" s="83"/>
      <c r="AH98" s="83"/>
    </row>
    <row r="99" spans="1:34">
      <c r="A99" s="83"/>
      <c r="B99" s="83"/>
      <c r="C99" s="82"/>
      <c r="D99" s="82"/>
      <c r="E99" s="82"/>
      <c r="F99" s="82"/>
      <c r="G99" s="82"/>
      <c r="H99" s="82"/>
      <c r="I99" s="82"/>
      <c r="J99" s="82"/>
      <c r="K99" s="83"/>
      <c r="L99" s="83"/>
      <c r="M99" s="83"/>
      <c r="N99" s="83"/>
      <c r="O99" s="83"/>
      <c r="P99" s="92"/>
      <c r="Q99" s="92"/>
      <c r="R99" s="83"/>
      <c r="S99" s="51"/>
      <c r="T99" s="53"/>
      <c r="U99" s="55"/>
      <c r="V99" s="53"/>
      <c r="W99" s="53"/>
      <c r="X99" s="55"/>
      <c r="Y99" s="55"/>
      <c r="Z99" s="55"/>
      <c r="AA99" s="55"/>
      <c r="AB99" s="83"/>
      <c r="AC99" s="83"/>
      <c r="AD99" s="83"/>
      <c r="AE99" s="83"/>
      <c r="AF99" s="83"/>
      <c r="AG99" s="83"/>
      <c r="AH99" s="83"/>
    </row>
    <row r="100" spans="1:34">
      <c r="A100" s="83"/>
      <c r="C100" s="127"/>
      <c r="D100" s="128"/>
      <c r="E100" s="128"/>
      <c r="F100" s="129"/>
      <c r="G100" s="128"/>
      <c r="H100" s="128"/>
      <c r="I100" s="128"/>
      <c r="J100" s="82"/>
      <c r="K100" s="51"/>
      <c r="L100" s="51"/>
      <c r="M100" s="51"/>
      <c r="N100" s="51"/>
      <c r="O100" s="51"/>
      <c r="P100" s="51"/>
      <c r="Q100" s="51"/>
      <c r="R100" s="83"/>
      <c r="S100" s="51"/>
      <c r="T100" s="54"/>
      <c r="U100" s="54"/>
      <c r="V100" s="54"/>
      <c r="W100" s="54"/>
      <c r="X100" s="54"/>
      <c r="Y100" s="54"/>
      <c r="Z100" s="54"/>
      <c r="AA100" s="54"/>
      <c r="AB100" s="51"/>
      <c r="AC100" s="51"/>
      <c r="AD100" s="83"/>
      <c r="AE100" s="83"/>
      <c r="AF100" s="83"/>
      <c r="AG100" s="83"/>
      <c r="AH100" s="83"/>
    </row>
    <row r="101" spans="1:34">
      <c r="A101" s="83"/>
      <c r="C101" s="109"/>
      <c r="D101" s="125"/>
      <c r="E101" s="126"/>
      <c r="F101" s="126"/>
      <c r="G101" s="126"/>
      <c r="H101" s="126"/>
      <c r="I101" s="126"/>
      <c r="J101" s="82"/>
      <c r="K101" s="83"/>
      <c r="L101" s="83"/>
      <c r="M101" s="83"/>
      <c r="N101" s="83"/>
      <c r="O101" s="83"/>
      <c r="P101" s="83"/>
      <c r="Q101" s="83"/>
      <c r="R101" s="83"/>
      <c r="S101" s="83"/>
      <c r="T101" s="82"/>
      <c r="U101" s="82"/>
      <c r="V101" s="82"/>
      <c r="W101" s="82"/>
      <c r="X101" s="82"/>
      <c r="Y101" s="82"/>
      <c r="Z101" s="82"/>
      <c r="AA101" s="54"/>
      <c r="AB101" s="83"/>
      <c r="AC101" s="83"/>
      <c r="AD101" s="83"/>
      <c r="AE101" s="83"/>
      <c r="AF101" s="83"/>
      <c r="AG101" s="83"/>
      <c r="AH101" s="83"/>
    </row>
    <row r="102" spans="1:34">
      <c r="A102" s="83"/>
      <c r="C102" s="109"/>
      <c r="D102" s="125"/>
      <c r="E102" s="126"/>
      <c r="F102" s="126"/>
      <c r="G102" s="126"/>
      <c r="H102" s="126"/>
      <c r="I102" s="126"/>
      <c r="J102" s="82"/>
      <c r="K102" s="83"/>
      <c r="L102" s="83"/>
      <c r="M102" s="83"/>
      <c r="N102" s="83"/>
      <c r="O102" s="83"/>
      <c r="P102" s="83"/>
      <c r="Q102" s="83"/>
      <c r="R102" s="83"/>
      <c r="S102" s="83"/>
      <c r="T102" s="82"/>
      <c r="U102" s="82"/>
      <c r="V102" s="82"/>
      <c r="W102" s="82"/>
      <c r="X102" s="82"/>
      <c r="Y102" s="82"/>
      <c r="Z102" s="82"/>
      <c r="AA102" s="54"/>
      <c r="AB102" s="83"/>
      <c r="AC102" s="83"/>
      <c r="AD102" s="83"/>
      <c r="AE102" s="83"/>
      <c r="AF102" s="83"/>
      <c r="AG102" s="83"/>
      <c r="AH102" s="83"/>
    </row>
    <row r="103" spans="1:34">
      <c r="A103" s="83"/>
      <c r="C103" s="109"/>
      <c r="D103" s="125"/>
      <c r="E103" s="126"/>
      <c r="F103" s="126"/>
      <c r="G103" s="126"/>
      <c r="H103" s="126"/>
      <c r="I103" s="126"/>
      <c r="J103" s="82"/>
      <c r="K103" s="83"/>
      <c r="L103" s="83"/>
      <c r="M103" s="83"/>
      <c r="N103" s="83"/>
      <c r="O103" s="83"/>
      <c r="P103" s="83"/>
      <c r="Q103" s="83"/>
      <c r="R103" s="83"/>
      <c r="S103" s="83"/>
      <c r="T103" s="82"/>
      <c r="U103" s="82"/>
      <c r="V103" s="82"/>
      <c r="W103" s="82"/>
      <c r="X103" s="82"/>
      <c r="Y103" s="82"/>
      <c r="Z103" s="82"/>
      <c r="AA103" s="54"/>
      <c r="AB103" s="83"/>
      <c r="AC103" s="83"/>
      <c r="AD103" s="83"/>
      <c r="AE103" s="83"/>
      <c r="AF103" s="83"/>
      <c r="AG103" s="83"/>
      <c r="AH103" s="83"/>
    </row>
    <row r="104" spans="1:34">
      <c r="A104" s="83"/>
      <c r="C104" s="109"/>
      <c r="D104" s="125"/>
      <c r="E104" s="126"/>
      <c r="F104" s="126"/>
      <c r="G104" s="126"/>
      <c r="H104" s="126"/>
      <c r="I104" s="126"/>
      <c r="J104" s="82"/>
      <c r="K104" s="83"/>
      <c r="L104" s="83"/>
      <c r="M104" s="83"/>
      <c r="N104" s="83"/>
      <c r="O104" s="83"/>
      <c r="P104" s="83"/>
      <c r="Q104" s="83"/>
      <c r="R104" s="83"/>
      <c r="S104" s="83"/>
      <c r="T104" s="82"/>
      <c r="U104" s="82"/>
      <c r="V104" s="82"/>
      <c r="W104" s="82"/>
      <c r="X104" s="82"/>
      <c r="Y104" s="82"/>
      <c r="Z104" s="82"/>
      <c r="AA104" s="54"/>
      <c r="AB104" s="83"/>
      <c r="AC104" s="83"/>
      <c r="AD104" s="83"/>
      <c r="AE104" s="83"/>
      <c r="AF104" s="83"/>
      <c r="AG104" s="83"/>
      <c r="AH104" s="83"/>
    </row>
    <row r="105" spans="1:34">
      <c r="A105" s="83"/>
      <c r="C105" s="109"/>
      <c r="D105" s="125"/>
      <c r="E105" s="126"/>
      <c r="F105" s="126"/>
      <c r="G105" s="126"/>
      <c r="H105" s="126"/>
      <c r="I105" s="126"/>
      <c r="J105" s="82"/>
      <c r="K105" s="83"/>
      <c r="L105" s="83"/>
      <c r="M105" s="83"/>
      <c r="N105" s="83"/>
      <c r="O105" s="83"/>
      <c r="P105" s="83"/>
      <c r="Q105" s="83"/>
      <c r="R105" s="83"/>
      <c r="S105" s="83"/>
      <c r="T105" s="82"/>
      <c r="U105" s="82"/>
      <c r="V105" s="82"/>
      <c r="W105" s="82"/>
      <c r="X105" s="82"/>
      <c r="Y105" s="82"/>
      <c r="Z105" s="82"/>
      <c r="AA105" s="54"/>
      <c r="AB105" s="83"/>
      <c r="AC105" s="83"/>
      <c r="AD105" s="83"/>
      <c r="AE105" s="83"/>
      <c r="AF105" s="83"/>
      <c r="AG105" s="83"/>
      <c r="AH105" s="83"/>
    </row>
    <row r="106" spans="1:34">
      <c r="A106" s="83"/>
      <c r="C106" s="109"/>
      <c r="D106" s="125"/>
      <c r="E106" s="126"/>
      <c r="F106" s="126"/>
      <c r="G106" s="126"/>
      <c r="H106" s="126"/>
      <c r="I106" s="126"/>
      <c r="J106" s="82"/>
      <c r="K106" s="83"/>
      <c r="L106" s="83"/>
      <c r="M106" s="83"/>
      <c r="N106" s="83"/>
      <c r="O106" s="83"/>
      <c r="P106" s="83"/>
      <c r="Q106" s="83"/>
      <c r="R106" s="83"/>
      <c r="S106" s="83"/>
      <c r="T106" s="82"/>
      <c r="U106" s="82"/>
      <c r="V106" s="82"/>
      <c r="W106" s="82"/>
      <c r="X106" s="82"/>
      <c r="Y106" s="82"/>
      <c r="Z106" s="82"/>
      <c r="AA106" s="54"/>
      <c r="AB106" s="83"/>
      <c r="AC106" s="83"/>
      <c r="AD106" s="83"/>
      <c r="AE106" s="83"/>
      <c r="AF106" s="83"/>
      <c r="AG106" s="83"/>
      <c r="AH106" s="83"/>
    </row>
    <row r="107" spans="1:34">
      <c r="A107" s="83"/>
      <c r="C107" s="109"/>
      <c r="D107" s="125"/>
      <c r="E107" s="126"/>
      <c r="F107" s="126"/>
      <c r="G107" s="126"/>
      <c r="H107" s="126"/>
      <c r="I107" s="126"/>
      <c r="J107" s="54"/>
      <c r="K107" s="83"/>
      <c r="L107" s="83"/>
      <c r="M107" s="83"/>
      <c r="N107" s="83"/>
      <c r="O107" s="83"/>
      <c r="P107" s="83"/>
      <c r="Q107" s="83"/>
      <c r="R107" s="83"/>
      <c r="S107" s="83"/>
      <c r="T107" s="82"/>
      <c r="U107" s="82"/>
      <c r="V107" s="82"/>
      <c r="W107" s="82"/>
      <c r="X107" s="82"/>
      <c r="Y107" s="82"/>
      <c r="Z107" s="82"/>
      <c r="AA107" s="54"/>
      <c r="AB107" s="83"/>
      <c r="AC107" s="83"/>
      <c r="AD107" s="83"/>
      <c r="AE107" s="83"/>
      <c r="AF107" s="83"/>
      <c r="AG107" s="83"/>
      <c r="AH107" s="83"/>
    </row>
    <row r="108" spans="1:34">
      <c r="A108" s="83"/>
      <c r="C108" s="109"/>
      <c r="D108" s="125"/>
      <c r="E108" s="126"/>
      <c r="F108" s="126"/>
      <c r="G108" s="126"/>
      <c r="H108" s="126"/>
      <c r="I108" s="126"/>
      <c r="J108" s="54"/>
      <c r="K108" s="83"/>
      <c r="L108" s="83"/>
      <c r="M108" s="83"/>
      <c r="N108" s="83"/>
      <c r="O108" s="83"/>
      <c r="P108" s="83"/>
      <c r="Q108" s="83"/>
      <c r="R108" s="83"/>
      <c r="S108" s="83"/>
      <c r="T108" s="82"/>
      <c r="U108" s="82"/>
      <c r="V108" s="82"/>
      <c r="W108" s="82"/>
      <c r="X108" s="82"/>
      <c r="Y108" s="82"/>
      <c r="Z108" s="82"/>
      <c r="AA108" s="54"/>
      <c r="AB108" s="83"/>
      <c r="AC108" s="83"/>
      <c r="AD108" s="83"/>
      <c r="AE108" s="83"/>
      <c r="AF108" s="83"/>
      <c r="AG108" s="83"/>
      <c r="AH108" s="83"/>
    </row>
    <row r="109" spans="1:34">
      <c r="A109" s="84"/>
      <c r="C109" s="109"/>
      <c r="D109" s="125"/>
      <c r="E109" s="126"/>
      <c r="F109" s="126"/>
      <c r="G109" s="126"/>
      <c r="H109" s="126"/>
      <c r="I109" s="126"/>
      <c r="J109" s="104"/>
      <c r="K109" s="83"/>
      <c r="L109" s="83"/>
      <c r="M109" s="83"/>
      <c r="N109" s="83"/>
      <c r="O109" s="83"/>
      <c r="P109" s="83"/>
      <c r="Q109" s="83"/>
      <c r="R109" s="83"/>
      <c r="S109" s="83"/>
      <c r="T109" s="82"/>
      <c r="U109" s="82"/>
      <c r="V109" s="82"/>
      <c r="W109" s="82"/>
      <c r="X109" s="82"/>
      <c r="Y109" s="82"/>
      <c r="Z109" s="82"/>
      <c r="AA109" s="54"/>
      <c r="AB109" s="83"/>
      <c r="AC109" s="83"/>
      <c r="AD109" s="83"/>
      <c r="AE109" s="83"/>
      <c r="AF109" s="83"/>
      <c r="AG109" s="83"/>
      <c r="AH109" s="83"/>
    </row>
    <row r="110" spans="1:34">
      <c r="A110" s="83"/>
      <c r="C110" s="109"/>
      <c r="D110" s="125"/>
      <c r="E110" s="126"/>
      <c r="F110" s="126"/>
      <c r="G110" s="126"/>
      <c r="H110" s="126"/>
      <c r="I110" s="126"/>
      <c r="J110" s="54"/>
      <c r="K110" s="83"/>
      <c r="L110" s="83"/>
      <c r="M110" s="83"/>
      <c r="N110" s="83"/>
      <c r="O110" s="83"/>
      <c r="P110" s="83"/>
      <c r="Q110" s="83"/>
      <c r="R110" s="83"/>
      <c r="S110" s="83"/>
      <c r="T110" s="82"/>
      <c r="U110" s="82"/>
      <c r="V110" s="82"/>
      <c r="W110" s="82"/>
      <c r="X110" s="82"/>
      <c r="Y110" s="82"/>
      <c r="Z110" s="82"/>
      <c r="AA110" s="54"/>
      <c r="AB110" s="83"/>
      <c r="AC110" s="83"/>
      <c r="AD110" s="83"/>
      <c r="AE110" s="83"/>
      <c r="AF110" s="83"/>
      <c r="AG110" s="83"/>
      <c r="AH110" s="83"/>
    </row>
    <row r="111" spans="1:34">
      <c r="A111" s="124"/>
      <c r="C111" s="109"/>
      <c r="D111" s="125"/>
      <c r="E111" s="126"/>
      <c r="F111" s="126"/>
      <c r="G111" s="126"/>
      <c r="H111" s="126"/>
      <c r="I111" s="126"/>
      <c r="J111" s="128"/>
      <c r="K111" s="83"/>
      <c r="L111" s="83"/>
      <c r="M111" s="83"/>
      <c r="N111" s="83"/>
      <c r="O111" s="83"/>
      <c r="P111" s="83"/>
      <c r="Q111" s="83"/>
      <c r="R111" s="83"/>
      <c r="S111" s="83"/>
      <c r="T111" s="82"/>
      <c r="U111" s="82"/>
      <c r="V111" s="82"/>
      <c r="W111" s="82"/>
      <c r="X111" s="82"/>
      <c r="Y111" s="82"/>
      <c r="Z111" s="82"/>
      <c r="AA111" s="54"/>
      <c r="AB111" s="83"/>
      <c r="AC111" s="83"/>
      <c r="AD111" s="83"/>
      <c r="AE111" s="83"/>
      <c r="AF111" s="83"/>
      <c r="AG111" s="83"/>
      <c r="AH111" s="83"/>
    </row>
    <row r="112" spans="1:34">
      <c r="A112" s="124"/>
      <c r="C112" s="109"/>
      <c r="D112" s="125"/>
      <c r="E112" s="126"/>
      <c r="F112" s="126"/>
      <c r="G112" s="126"/>
      <c r="H112" s="126"/>
      <c r="I112" s="126"/>
      <c r="J112" s="130"/>
      <c r="K112" s="83"/>
      <c r="L112" s="83"/>
      <c r="M112" s="83"/>
      <c r="N112" s="83"/>
      <c r="O112" s="83"/>
      <c r="P112" s="83"/>
      <c r="Q112" s="83"/>
      <c r="R112" s="83"/>
      <c r="S112" s="83"/>
      <c r="T112" s="82"/>
      <c r="U112" s="82"/>
      <c r="V112" s="82"/>
      <c r="W112" s="82"/>
      <c r="X112" s="82"/>
      <c r="Y112" s="82"/>
      <c r="Z112" s="82"/>
      <c r="AA112" s="54"/>
      <c r="AB112" s="83"/>
      <c r="AC112" s="83"/>
      <c r="AD112" s="83"/>
      <c r="AE112" s="83"/>
      <c r="AF112" s="83"/>
      <c r="AG112" s="83"/>
      <c r="AH112" s="83"/>
    </row>
    <row r="113" spans="1:34">
      <c r="A113" s="124"/>
      <c r="C113" s="90"/>
      <c r="D113" s="115"/>
      <c r="E113" s="125"/>
      <c r="F113" s="125"/>
      <c r="G113" s="131"/>
      <c r="H113" s="131"/>
      <c r="I113" s="131"/>
      <c r="J113" s="130"/>
      <c r="K113" s="83"/>
      <c r="L113" s="83"/>
      <c r="M113" s="83"/>
      <c r="N113" s="83"/>
      <c r="O113" s="83"/>
      <c r="P113" s="83"/>
      <c r="Q113" s="83"/>
      <c r="R113" s="83"/>
      <c r="S113" s="83"/>
      <c r="T113" s="82"/>
      <c r="U113" s="82"/>
      <c r="V113" s="82"/>
      <c r="W113" s="82"/>
      <c r="X113" s="82"/>
      <c r="Y113" s="82"/>
      <c r="Z113" s="82"/>
      <c r="AA113" s="54"/>
      <c r="AB113" s="83"/>
      <c r="AC113" s="83"/>
      <c r="AD113" s="83"/>
      <c r="AE113" s="83"/>
      <c r="AF113" s="83"/>
      <c r="AG113" s="83"/>
      <c r="AH113" s="83"/>
    </row>
    <row r="114" spans="1:34">
      <c r="A114" s="124"/>
      <c r="B114" s="83"/>
      <c r="C114" s="82"/>
      <c r="D114" s="82"/>
      <c r="E114" s="82"/>
      <c r="F114" s="82"/>
      <c r="G114" s="82"/>
      <c r="H114" s="82"/>
      <c r="I114" s="82"/>
      <c r="J114" s="130"/>
      <c r="K114" s="83"/>
      <c r="L114" s="83"/>
      <c r="M114" s="83"/>
      <c r="N114" s="83"/>
      <c r="O114" s="83"/>
      <c r="P114" s="83"/>
      <c r="Q114" s="83"/>
      <c r="R114" s="83"/>
      <c r="S114" s="83"/>
      <c r="T114" s="82"/>
      <c r="U114" s="82"/>
      <c r="V114" s="82"/>
      <c r="W114" s="82"/>
      <c r="X114" s="82"/>
      <c r="Y114" s="82"/>
      <c r="Z114" s="82"/>
      <c r="AA114" s="54"/>
      <c r="AB114" s="83"/>
      <c r="AC114" s="83"/>
      <c r="AD114" s="83"/>
      <c r="AE114" s="83"/>
      <c r="AF114" s="83"/>
      <c r="AG114" s="83"/>
      <c r="AH114" s="83"/>
    </row>
    <row r="115" spans="1:34">
      <c r="A115" s="124"/>
      <c r="B115" s="83"/>
      <c r="C115" s="82"/>
      <c r="D115" s="82"/>
      <c r="E115" s="82"/>
      <c r="F115" s="82"/>
      <c r="G115" s="82"/>
      <c r="H115" s="82"/>
      <c r="I115" s="82"/>
      <c r="J115" s="130"/>
      <c r="K115" s="83"/>
      <c r="L115" s="83"/>
      <c r="M115" s="83"/>
      <c r="N115" s="83"/>
      <c r="O115" s="83"/>
      <c r="P115" s="83"/>
      <c r="Q115" s="83"/>
      <c r="R115" s="83"/>
      <c r="S115" s="83"/>
      <c r="T115" s="82"/>
      <c r="U115" s="82"/>
      <c r="V115" s="82"/>
      <c r="W115" s="82"/>
      <c r="X115" s="82"/>
      <c r="Y115" s="82"/>
      <c r="Z115" s="82"/>
      <c r="AA115" s="54"/>
      <c r="AB115" s="83"/>
      <c r="AC115" s="83"/>
      <c r="AD115" s="83"/>
      <c r="AE115" s="83"/>
      <c r="AF115" s="83"/>
      <c r="AG115" s="83"/>
      <c r="AH115" s="83"/>
    </row>
    <row r="116" spans="1:34">
      <c r="A116" s="124"/>
      <c r="B116" s="83"/>
      <c r="C116" s="82"/>
      <c r="D116" s="82"/>
      <c r="E116" s="82"/>
      <c r="F116" s="82"/>
      <c r="G116" s="82"/>
      <c r="H116" s="82"/>
      <c r="I116" s="82"/>
      <c r="J116" s="130"/>
      <c r="K116" s="83"/>
      <c r="L116" s="83"/>
      <c r="M116" s="83"/>
      <c r="N116" s="83"/>
      <c r="O116" s="83"/>
      <c r="P116" s="83"/>
      <c r="Q116" s="83"/>
      <c r="R116" s="83"/>
      <c r="S116" s="83"/>
      <c r="T116" s="82"/>
      <c r="U116" s="82"/>
      <c r="V116" s="82"/>
      <c r="W116" s="82"/>
      <c r="X116" s="82"/>
      <c r="Y116" s="82"/>
      <c r="Z116" s="82"/>
      <c r="AA116" s="54"/>
      <c r="AB116" s="83"/>
      <c r="AC116" s="83"/>
      <c r="AD116" s="83"/>
      <c r="AE116" s="83"/>
      <c r="AF116" s="83"/>
      <c r="AG116" s="83"/>
      <c r="AH116" s="83"/>
    </row>
    <row r="117" spans="1:34">
      <c r="A117" s="124"/>
      <c r="B117" s="83"/>
      <c r="C117" s="82"/>
      <c r="D117" s="82"/>
      <c r="E117" s="82"/>
      <c r="F117" s="82"/>
      <c r="G117" s="82"/>
      <c r="H117" s="82"/>
      <c r="I117" s="82"/>
      <c r="J117" s="130"/>
      <c r="K117" s="83"/>
      <c r="L117" s="83"/>
      <c r="M117" s="83"/>
      <c r="N117" s="83"/>
      <c r="O117" s="83"/>
      <c r="P117" s="83"/>
      <c r="Q117" s="83"/>
      <c r="R117" s="83"/>
      <c r="S117" s="51"/>
      <c r="T117" s="54"/>
      <c r="U117" s="54"/>
      <c r="V117" s="54"/>
      <c r="W117" s="54"/>
      <c r="X117" s="54"/>
      <c r="Y117" s="54"/>
      <c r="Z117" s="54"/>
      <c r="AA117" s="54"/>
      <c r="AB117" s="83"/>
      <c r="AC117" s="83"/>
      <c r="AD117" s="83"/>
      <c r="AE117" s="83"/>
      <c r="AF117" s="83"/>
      <c r="AG117" s="83"/>
      <c r="AH117" s="83"/>
    </row>
    <row r="118" spans="1:34">
      <c r="A118" s="124"/>
      <c r="B118" s="83"/>
      <c r="C118" s="82"/>
      <c r="D118" s="82"/>
      <c r="E118" s="82"/>
      <c r="F118" s="82"/>
      <c r="G118" s="82"/>
      <c r="H118" s="82"/>
      <c r="I118" s="82"/>
      <c r="J118" s="130"/>
      <c r="K118" s="83"/>
      <c r="L118" s="83"/>
      <c r="M118" s="83"/>
      <c r="N118" s="83"/>
      <c r="O118" s="83"/>
      <c r="P118" s="83"/>
      <c r="Q118" s="83"/>
      <c r="R118" s="83"/>
      <c r="S118" s="83"/>
      <c r="T118" s="82"/>
      <c r="U118" s="82"/>
      <c r="V118" s="82"/>
      <c r="W118" s="82"/>
      <c r="X118" s="82"/>
      <c r="Y118" s="82"/>
      <c r="Z118" s="82"/>
      <c r="AA118" s="54"/>
      <c r="AB118" s="83"/>
      <c r="AC118" s="83"/>
      <c r="AD118" s="83"/>
      <c r="AE118" s="83"/>
      <c r="AF118" s="83"/>
      <c r="AG118" s="83"/>
      <c r="AH118" s="83"/>
    </row>
    <row r="119" spans="1:34">
      <c r="A119" s="124"/>
      <c r="B119" s="83"/>
      <c r="C119" s="82"/>
      <c r="D119" s="82"/>
      <c r="E119" s="82"/>
      <c r="F119" s="82"/>
      <c r="G119" s="82"/>
      <c r="H119" s="82"/>
      <c r="I119" s="82"/>
      <c r="J119" s="130"/>
      <c r="K119" s="83"/>
      <c r="L119" s="83"/>
      <c r="M119" s="83"/>
      <c r="N119" s="83"/>
      <c r="O119" s="83"/>
      <c r="P119" s="83"/>
      <c r="Q119" s="83"/>
      <c r="R119" s="83"/>
      <c r="S119" s="83"/>
      <c r="T119" s="82"/>
      <c r="U119" s="82"/>
      <c r="V119" s="82"/>
      <c r="W119" s="82"/>
      <c r="X119" s="82"/>
      <c r="Y119" s="82"/>
      <c r="Z119" s="82"/>
      <c r="AA119" s="54"/>
      <c r="AB119" s="83"/>
      <c r="AC119" s="83"/>
      <c r="AD119" s="83"/>
      <c r="AE119" s="83"/>
      <c r="AF119" s="83"/>
      <c r="AG119" s="83"/>
      <c r="AH119" s="83"/>
    </row>
    <row r="120" spans="1:34">
      <c r="A120" s="124"/>
      <c r="B120" s="51"/>
      <c r="C120" s="54"/>
      <c r="D120" s="54"/>
      <c r="E120" s="54"/>
      <c r="F120" s="54"/>
      <c r="G120" s="54"/>
      <c r="H120" s="54"/>
      <c r="I120" s="54"/>
      <c r="J120" s="130"/>
      <c r="K120" s="83"/>
      <c r="L120" s="83"/>
      <c r="M120" s="83"/>
      <c r="N120" s="83"/>
      <c r="O120" s="83"/>
      <c r="P120" s="83"/>
      <c r="Q120" s="83"/>
      <c r="R120" s="83"/>
      <c r="S120" s="83"/>
      <c r="T120" s="82"/>
      <c r="U120" s="82"/>
      <c r="V120" s="82"/>
      <c r="W120" s="82"/>
      <c r="X120" s="82"/>
      <c r="Y120" s="82"/>
      <c r="Z120" s="82"/>
      <c r="AA120" s="54"/>
      <c r="AB120" s="83"/>
      <c r="AC120" s="83"/>
      <c r="AD120" s="83"/>
      <c r="AE120" s="83"/>
      <c r="AF120" s="83"/>
      <c r="AG120" s="83"/>
      <c r="AH120" s="83"/>
    </row>
    <row r="121" spans="1:34">
      <c r="A121" s="124"/>
      <c r="B121" s="83"/>
      <c r="C121" s="82"/>
      <c r="D121" s="82"/>
      <c r="E121" s="82"/>
      <c r="F121" s="82"/>
      <c r="G121" s="82"/>
      <c r="H121" s="82"/>
      <c r="I121" s="82"/>
      <c r="J121" s="130"/>
      <c r="K121" s="83"/>
      <c r="L121" s="83"/>
      <c r="M121" s="83"/>
      <c r="N121" s="83"/>
      <c r="O121" s="83"/>
      <c r="P121" s="83"/>
      <c r="Q121" s="83"/>
      <c r="R121" s="83"/>
      <c r="S121" s="83"/>
      <c r="T121" s="82"/>
      <c r="U121" s="82"/>
      <c r="V121" s="82"/>
      <c r="W121" s="82"/>
      <c r="X121" s="82"/>
      <c r="Y121" s="82"/>
      <c r="Z121" s="82"/>
      <c r="AA121" s="54"/>
      <c r="AB121" s="83"/>
      <c r="AC121" s="83"/>
      <c r="AD121" s="83"/>
      <c r="AE121" s="83"/>
      <c r="AF121" s="83"/>
      <c r="AG121" s="83"/>
      <c r="AH121" s="83"/>
    </row>
    <row r="122" spans="1:34">
      <c r="A122" s="124"/>
      <c r="B122" s="83"/>
      <c r="C122" s="82"/>
      <c r="D122" s="82"/>
      <c r="E122" s="82"/>
      <c r="F122" s="82"/>
      <c r="G122" s="82"/>
      <c r="H122" s="82"/>
      <c r="I122" s="82"/>
      <c r="J122" s="130"/>
      <c r="K122" s="83"/>
      <c r="L122" s="83"/>
      <c r="M122" s="83"/>
      <c r="N122" s="83"/>
      <c r="O122" s="83"/>
      <c r="P122" s="83"/>
      <c r="Q122" s="83"/>
      <c r="R122" s="83"/>
      <c r="S122" s="83"/>
      <c r="T122" s="82"/>
      <c r="U122" s="82"/>
      <c r="V122" s="82"/>
      <c r="W122" s="82"/>
      <c r="X122" s="82"/>
      <c r="Y122" s="82"/>
      <c r="Z122" s="82"/>
      <c r="AA122" s="54"/>
      <c r="AB122" s="83"/>
      <c r="AC122" s="83"/>
      <c r="AD122" s="83"/>
      <c r="AE122" s="83"/>
      <c r="AF122" s="83"/>
      <c r="AG122" s="83"/>
      <c r="AH122" s="83"/>
    </row>
    <row r="123" spans="1:34">
      <c r="A123" s="124"/>
      <c r="B123" s="83"/>
      <c r="C123" s="82"/>
      <c r="D123" s="82"/>
      <c r="E123" s="82"/>
      <c r="F123" s="82"/>
      <c r="G123" s="82"/>
      <c r="H123" s="82"/>
      <c r="I123" s="82"/>
      <c r="J123" s="130"/>
      <c r="K123" s="83"/>
      <c r="L123" s="83"/>
      <c r="M123" s="83"/>
      <c r="N123" s="83"/>
      <c r="O123" s="83"/>
      <c r="P123" s="83"/>
      <c r="Q123" s="83"/>
      <c r="R123" s="83"/>
      <c r="S123" s="51"/>
      <c r="T123" s="54"/>
      <c r="U123" s="54"/>
      <c r="V123" s="54"/>
      <c r="W123" s="54"/>
      <c r="X123" s="54"/>
      <c r="Y123" s="54"/>
      <c r="Z123" s="54"/>
      <c r="AA123" s="54"/>
      <c r="AB123" s="83"/>
      <c r="AC123" s="83"/>
      <c r="AD123" s="83"/>
      <c r="AE123" s="83"/>
      <c r="AF123" s="83"/>
      <c r="AG123" s="83"/>
      <c r="AH123" s="83"/>
    </row>
    <row r="124" spans="1:34">
      <c r="A124" s="124"/>
      <c r="B124" s="83"/>
      <c r="C124" s="82"/>
      <c r="D124" s="82"/>
      <c r="E124" s="82"/>
      <c r="F124" s="82"/>
      <c r="G124" s="82"/>
      <c r="H124" s="82"/>
      <c r="I124" s="82"/>
      <c r="J124" s="132"/>
      <c r="K124" s="83"/>
      <c r="L124" s="83"/>
      <c r="M124" s="83"/>
      <c r="N124" s="83"/>
      <c r="O124" s="83"/>
      <c r="P124" s="83"/>
      <c r="Q124" s="83"/>
      <c r="R124" s="83"/>
      <c r="S124" s="83"/>
      <c r="T124" s="82"/>
      <c r="U124" s="82"/>
      <c r="V124" s="82"/>
      <c r="W124" s="82"/>
      <c r="X124" s="82"/>
      <c r="Y124" s="82"/>
      <c r="Z124" s="82"/>
      <c r="AA124" s="54"/>
      <c r="AB124" s="83"/>
      <c r="AC124" s="83"/>
      <c r="AD124" s="83"/>
      <c r="AE124" s="83"/>
      <c r="AF124" s="83"/>
      <c r="AG124" s="83"/>
      <c r="AH124" s="83"/>
    </row>
    <row r="125" spans="1:34">
      <c r="A125" s="83"/>
      <c r="B125" s="83"/>
      <c r="C125" s="82"/>
      <c r="D125" s="82"/>
      <c r="E125" s="82"/>
      <c r="F125" s="82"/>
      <c r="G125" s="82"/>
      <c r="H125" s="82"/>
      <c r="I125" s="82"/>
      <c r="J125" s="54"/>
      <c r="K125" s="83"/>
      <c r="L125" s="83"/>
      <c r="M125" s="83"/>
      <c r="N125" s="83"/>
      <c r="O125" s="83"/>
      <c r="P125" s="83"/>
      <c r="Q125" s="83"/>
      <c r="R125" s="83"/>
      <c r="S125" s="83"/>
      <c r="T125" s="82"/>
      <c r="U125" s="82"/>
      <c r="V125" s="82"/>
      <c r="W125" s="82"/>
      <c r="X125" s="82"/>
      <c r="Y125" s="82"/>
      <c r="Z125" s="82"/>
      <c r="AA125" s="54"/>
      <c r="AB125" s="83"/>
      <c r="AC125" s="83"/>
      <c r="AD125" s="83"/>
      <c r="AE125" s="83"/>
      <c r="AF125" s="83"/>
      <c r="AG125" s="83"/>
      <c r="AH125" s="83"/>
    </row>
    <row r="126" spans="1:34">
      <c r="A126" s="83"/>
      <c r="B126" s="51"/>
      <c r="C126" s="54"/>
      <c r="D126" s="54"/>
      <c r="E126" s="54"/>
      <c r="F126" s="54"/>
      <c r="G126" s="54"/>
      <c r="H126" s="54"/>
      <c r="I126" s="54"/>
      <c r="J126" s="54"/>
      <c r="K126" s="83"/>
      <c r="L126" s="83"/>
      <c r="M126" s="83"/>
      <c r="N126" s="83"/>
      <c r="O126" s="83"/>
      <c r="P126" s="83"/>
      <c r="Q126" s="83"/>
      <c r="R126" s="83"/>
      <c r="S126" s="83"/>
      <c r="T126" s="82"/>
      <c r="U126" s="82"/>
      <c r="V126" s="82"/>
      <c r="W126" s="82"/>
      <c r="X126" s="82"/>
      <c r="Y126" s="82"/>
      <c r="Z126" s="82"/>
      <c r="AA126" s="54"/>
      <c r="AB126" s="83"/>
      <c r="AC126" s="83"/>
      <c r="AD126" s="83"/>
      <c r="AE126" s="83"/>
      <c r="AF126" s="83"/>
      <c r="AG126" s="83"/>
      <c r="AH126" s="83"/>
    </row>
    <row r="127" spans="1:34">
      <c r="A127" s="83"/>
      <c r="B127" s="83"/>
      <c r="C127" s="82"/>
      <c r="D127" s="82"/>
      <c r="E127" s="82"/>
      <c r="F127" s="82"/>
      <c r="G127" s="82"/>
      <c r="H127" s="82"/>
      <c r="I127" s="82"/>
      <c r="J127" s="54"/>
      <c r="K127" s="83"/>
      <c r="L127" s="83"/>
      <c r="M127" s="83"/>
      <c r="N127" s="83"/>
      <c r="O127" s="83"/>
      <c r="P127" s="83"/>
      <c r="Q127" s="83"/>
      <c r="R127" s="83"/>
      <c r="S127" s="51"/>
      <c r="T127" s="54"/>
      <c r="U127" s="54"/>
      <c r="V127" s="54"/>
      <c r="W127" s="54"/>
      <c r="X127" s="54"/>
      <c r="Y127" s="54"/>
      <c r="Z127" s="54"/>
      <c r="AA127" s="54"/>
      <c r="AB127" s="83"/>
      <c r="AC127" s="83"/>
      <c r="AD127" s="83"/>
      <c r="AE127" s="83"/>
      <c r="AF127" s="83"/>
      <c r="AG127" s="83"/>
      <c r="AH127" s="83"/>
    </row>
    <row r="128" spans="1:34">
      <c r="A128" s="83"/>
      <c r="B128" s="83"/>
      <c r="C128" s="82"/>
      <c r="D128" s="82"/>
      <c r="E128" s="82"/>
      <c r="F128" s="82"/>
      <c r="G128" s="82"/>
      <c r="H128" s="82"/>
      <c r="I128" s="82"/>
      <c r="J128" s="54"/>
      <c r="K128" s="83"/>
      <c r="L128" s="83"/>
      <c r="M128" s="83"/>
      <c r="N128" s="83"/>
      <c r="O128" s="83"/>
      <c r="P128" s="83"/>
      <c r="Q128" s="83"/>
      <c r="R128" s="83"/>
      <c r="S128" s="83"/>
      <c r="T128" s="82"/>
      <c r="U128" s="82"/>
      <c r="V128" s="82"/>
      <c r="W128" s="82"/>
      <c r="X128" s="82"/>
      <c r="Y128" s="82"/>
      <c r="Z128" s="82"/>
      <c r="AA128" s="82"/>
      <c r="AB128" s="83"/>
      <c r="AC128" s="83"/>
      <c r="AD128" s="83"/>
      <c r="AE128" s="83"/>
      <c r="AF128" s="83"/>
      <c r="AG128" s="83"/>
      <c r="AH128" s="83"/>
    </row>
    <row r="129" spans="1:34">
      <c r="A129" s="83"/>
      <c r="B129" s="83"/>
      <c r="C129" s="82"/>
      <c r="D129" s="82"/>
      <c r="E129" s="82"/>
      <c r="F129" s="82"/>
      <c r="G129" s="82"/>
      <c r="H129" s="82"/>
      <c r="I129" s="82"/>
      <c r="J129" s="54"/>
      <c r="K129" s="83"/>
      <c r="L129" s="83"/>
      <c r="M129" s="83"/>
      <c r="N129" s="83"/>
      <c r="O129" s="83"/>
      <c r="P129" s="83"/>
      <c r="Q129" s="83"/>
      <c r="R129" s="83"/>
      <c r="S129" s="51"/>
      <c r="T129" s="54"/>
      <c r="U129" s="54"/>
      <c r="V129" s="54"/>
      <c r="W129" s="54"/>
      <c r="X129" s="54"/>
      <c r="Y129" s="54"/>
      <c r="Z129" s="54"/>
      <c r="AA129" s="54"/>
      <c r="AB129" s="83"/>
      <c r="AC129" s="83"/>
      <c r="AD129" s="83"/>
      <c r="AE129" s="83"/>
      <c r="AF129" s="83"/>
      <c r="AG129" s="83"/>
      <c r="AH129" s="83"/>
    </row>
    <row r="130" spans="1:34">
      <c r="A130" s="83"/>
      <c r="B130" s="51"/>
      <c r="C130" s="54"/>
      <c r="D130" s="54"/>
      <c r="E130" s="54"/>
      <c r="F130" s="54"/>
      <c r="G130" s="54"/>
      <c r="H130" s="54"/>
      <c r="I130" s="54"/>
      <c r="J130" s="54"/>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row>
    <row r="131" spans="1:34">
      <c r="A131" s="83"/>
      <c r="B131" s="83"/>
      <c r="C131" s="82"/>
      <c r="D131" s="82"/>
      <c r="E131" s="82"/>
      <c r="F131" s="82"/>
      <c r="G131" s="82"/>
      <c r="H131" s="82"/>
      <c r="I131" s="82"/>
      <c r="J131" s="54"/>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row>
    <row r="132" spans="1:34">
      <c r="A132" s="83"/>
      <c r="B132" s="51"/>
      <c r="C132" s="54"/>
      <c r="D132" s="54"/>
      <c r="E132" s="54"/>
      <c r="F132" s="54"/>
      <c r="G132" s="54"/>
      <c r="H132" s="54"/>
      <c r="I132" s="54"/>
      <c r="J132" s="54"/>
      <c r="K132" s="83"/>
      <c r="L132" s="83"/>
      <c r="M132" s="83"/>
      <c r="N132" s="83"/>
      <c r="O132" s="83"/>
      <c r="P132" s="83"/>
      <c r="Q132" s="83"/>
      <c r="R132" s="83"/>
      <c r="S132" s="83"/>
      <c r="T132" s="53"/>
      <c r="U132" s="55"/>
      <c r="V132" s="53"/>
      <c r="W132" s="53"/>
      <c r="X132" s="55"/>
      <c r="Y132" s="55"/>
      <c r="Z132" s="55"/>
      <c r="AA132" s="55"/>
      <c r="AB132" s="83"/>
      <c r="AC132" s="83"/>
      <c r="AD132" s="83"/>
      <c r="AE132" s="83"/>
      <c r="AF132" s="83"/>
      <c r="AG132" s="83"/>
      <c r="AH132" s="83"/>
    </row>
    <row r="133" spans="1:34">
      <c r="A133" s="83"/>
      <c r="B133" s="83"/>
      <c r="C133" s="83"/>
      <c r="D133" s="83"/>
      <c r="E133" s="83"/>
      <c r="F133" s="83"/>
      <c r="G133" s="83"/>
      <c r="H133" s="83"/>
      <c r="I133" s="83"/>
      <c r="J133" s="54"/>
      <c r="K133" s="83"/>
      <c r="L133" s="83"/>
      <c r="M133" s="83"/>
      <c r="N133" s="83"/>
      <c r="O133" s="83"/>
      <c r="P133" s="83"/>
      <c r="Q133" s="83"/>
      <c r="R133" s="83"/>
      <c r="S133" s="83"/>
      <c r="T133" s="82"/>
      <c r="U133" s="82"/>
      <c r="V133" s="82"/>
      <c r="W133" s="82"/>
      <c r="X133" s="82"/>
      <c r="Y133" s="82"/>
      <c r="Z133" s="82"/>
      <c r="AA133" s="82"/>
      <c r="AB133" s="83"/>
      <c r="AC133" s="83"/>
      <c r="AD133" s="83"/>
      <c r="AE133" s="83"/>
      <c r="AF133" s="83"/>
      <c r="AG133" s="83"/>
      <c r="AH133" s="83"/>
    </row>
    <row r="134" spans="1:34">
      <c r="A134" s="83"/>
      <c r="B134" s="83"/>
      <c r="C134" s="83"/>
      <c r="D134" s="83"/>
      <c r="E134" s="83"/>
      <c r="F134" s="83"/>
      <c r="G134" s="83"/>
      <c r="H134" s="83"/>
      <c r="I134" s="83"/>
      <c r="J134" s="54"/>
      <c r="K134" s="83"/>
      <c r="L134" s="83"/>
      <c r="M134" s="83"/>
      <c r="N134" s="83"/>
      <c r="O134" s="83"/>
      <c r="P134" s="83"/>
      <c r="Q134" s="83"/>
      <c r="R134" s="83"/>
      <c r="S134" s="108"/>
      <c r="T134" s="82"/>
      <c r="U134" s="82"/>
      <c r="V134" s="82"/>
      <c r="W134" s="82"/>
      <c r="X134" s="82"/>
      <c r="Y134" s="82"/>
      <c r="Z134" s="82"/>
      <c r="AA134" s="82"/>
      <c r="AB134" s="83"/>
      <c r="AC134" s="83"/>
      <c r="AD134" s="83"/>
      <c r="AE134" s="83"/>
      <c r="AF134" s="83"/>
      <c r="AG134" s="83"/>
      <c r="AH134" s="83"/>
    </row>
    <row r="135" spans="1:34">
      <c r="A135" s="83"/>
      <c r="B135" s="83"/>
      <c r="C135" s="53"/>
      <c r="D135" s="55"/>
      <c r="E135" s="53"/>
      <c r="F135" s="55"/>
      <c r="G135" s="55"/>
      <c r="H135" s="55"/>
      <c r="I135" s="55"/>
      <c r="J135" s="54"/>
      <c r="K135" s="83"/>
      <c r="L135" s="83"/>
      <c r="M135" s="83"/>
      <c r="N135" s="83"/>
      <c r="O135" s="83"/>
      <c r="P135" s="83"/>
      <c r="Q135" s="83"/>
      <c r="R135" s="83"/>
      <c r="S135" s="108"/>
      <c r="T135" s="82"/>
      <c r="U135" s="82"/>
      <c r="V135" s="82"/>
      <c r="W135" s="82"/>
      <c r="X135" s="82"/>
      <c r="Y135" s="82"/>
      <c r="Z135" s="82"/>
      <c r="AA135" s="82"/>
      <c r="AB135" s="83"/>
      <c r="AC135" s="83"/>
      <c r="AD135" s="83"/>
      <c r="AE135" s="83"/>
      <c r="AF135" s="83"/>
      <c r="AG135" s="83"/>
      <c r="AH135" s="83"/>
    </row>
    <row r="136" spans="1:34">
      <c r="A136" s="83"/>
      <c r="B136" s="83"/>
      <c r="C136" s="82"/>
      <c r="D136" s="82"/>
      <c r="E136" s="82"/>
      <c r="F136" s="82"/>
      <c r="G136" s="82"/>
      <c r="H136" s="82"/>
      <c r="I136" s="82"/>
      <c r="J136" s="54"/>
      <c r="K136" s="83"/>
      <c r="L136" s="83"/>
      <c r="M136" s="83"/>
      <c r="N136" s="83"/>
      <c r="O136" s="83"/>
      <c r="P136" s="83"/>
      <c r="Q136" s="83"/>
      <c r="R136" s="83"/>
      <c r="S136" s="108"/>
      <c r="T136" s="82"/>
      <c r="U136" s="82"/>
      <c r="V136" s="82"/>
      <c r="W136" s="82"/>
      <c r="X136" s="82"/>
      <c r="Y136" s="82"/>
      <c r="Z136" s="82"/>
      <c r="AA136" s="82"/>
      <c r="AB136" s="83"/>
      <c r="AC136" s="83"/>
      <c r="AD136" s="83"/>
      <c r="AE136" s="83"/>
      <c r="AF136" s="83"/>
      <c r="AG136" s="83"/>
      <c r="AH136" s="83"/>
    </row>
    <row r="137" spans="1:34">
      <c r="A137" s="83"/>
      <c r="B137" s="108"/>
      <c r="C137" s="82"/>
      <c r="D137" s="82"/>
      <c r="E137" s="82"/>
      <c r="F137" s="82"/>
      <c r="G137" s="82"/>
      <c r="H137" s="82"/>
      <c r="I137" s="82"/>
      <c r="J137" s="54"/>
      <c r="K137" s="83"/>
      <c r="L137" s="83"/>
      <c r="M137" s="83"/>
      <c r="N137" s="83"/>
      <c r="O137" s="83"/>
      <c r="P137" s="83"/>
      <c r="Q137" s="83"/>
      <c r="R137" s="83"/>
      <c r="S137" s="108"/>
      <c r="T137" s="82"/>
      <c r="U137" s="82"/>
      <c r="V137" s="82"/>
      <c r="W137" s="82"/>
      <c r="X137" s="82"/>
      <c r="Y137" s="82"/>
      <c r="Z137" s="82"/>
      <c r="AA137" s="82"/>
      <c r="AB137" s="83"/>
      <c r="AC137" s="83"/>
      <c r="AD137" s="83"/>
      <c r="AE137" s="83"/>
      <c r="AF137" s="83"/>
      <c r="AG137" s="83"/>
      <c r="AH137" s="83"/>
    </row>
    <row r="138" spans="1:34">
      <c r="A138" s="83"/>
      <c r="B138" s="108"/>
      <c r="C138" s="82"/>
      <c r="D138" s="82"/>
      <c r="E138" s="82"/>
      <c r="F138" s="82"/>
      <c r="G138" s="82"/>
      <c r="H138" s="82"/>
      <c r="I138" s="82"/>
      <c r="J138" s="54"/>
      <c r="K138" s="83"/>
      <c r="L138" s="83"/>
      <c r="M138" s="83"/>
      <c r="N138" s="83"/>
      <c r="O138" s="83"/>
      <c r="P138" s="83"/>
      <c r="Q138" s="83"/>
      <c r="R138" s="83"/>
      <c r="S138" s="108"/>
      <c r="T138" s="82"/>
      <c r="U138" s="82"/>
      <c r="V138" s="82"/>
      <c r="W138" s="82"/>
      <c r="X138" s="82"/>
      <c r="Y138" s="82"/>
      <c r="Z138" s="82"/>
      <c r="AA138" s="82"/>
      <c r="AB138" s="83"/>
      <c r="AC138" s="83"/>
      <c r="AD138" s="83"/>
      <c r="AE138" s="83"/>
      <c r="AF138" s="83"/>
      <c r="AG138" s="83"/>
      <c r="AH138" s="83"/>
    </row>
    <row r="139" spans="1:34">
      <c r="A139" s="83"/>
      <c r="B139" s="108"/>
      <c r="C139" s="82"/>
      <c r="D139" s="82"/>
      <c r="E139" s="82"/>
      <c r="F139" s="82"/>
      <c r="G139" s="82"/>
      <c r="H139" s="82"/>
      <c r="I139" s="82"/>
      <c r="J139" s="54"/>
      <c r="K139" s="83"/>
      <c r="L139" s="83"/>
      <c r="M139" s="83"/>
      <c r="N139" s="83"/>
      <c r="O139" s="83"/>
      <c r="P139" s="83"/>
      <c r="Q139" s="83"/>
      <c r="R139" s="83"/>
      <c r="S139" s="83"/>
      <c r="T139" s="54"/>
      <c r="U139" s="54"/>
      <c r="V139" s="54"/>
      <c r="W139" s="54"/>
      <c r="X139" s="54"/>
      <c r="Y139" s="54"/>
      <c r="Z139" s="54"/>
      <c r="AA139" s="54"/>
      <c r="AB139" s="83"/>
      <c r="AC139" s="83"/>
      <c r="AD139" s="83"/>
      <c r="AE139" s="83"/>
      <c r="AF139" s="83"/>
      <c r="AG139" s="83"/>
      <c r="AH139" s="83"/>
    </row>
    <row r="140" spans="1:34">
      <c r="A140" s="83"/>
      <c r="B140" s="108"/>
      <c r="C140" s="82"/>
      <c r="D140" s="82"/>
      <c r="E140" s="82"/>
      <c r="F140" s="82"/>
      <c r="G140" s="82"/>
      <c r="H140" s="82"/>
      <c r="I140" s="82"/>
      <c r="J140" s="54"/>
      <c r="K140" s="83"/>
      <c r="L140" s="83"/>
      <c r="M140" s="83"/>
      <c r="N140" s="83"/>
      <c r="O140" s="83"/>
      <c r="P140" s="83"/>
      <c r="Q140" s="83"/>
      <c r="R140" s="83"/>
      <c r="S140" s="83"/>
      <c r="T140" s="82"/>
      <c r="U140" s="82"/>
      <c r="V140" s="82"/>
      <c r="W140" s="82"/>
      <c r="X140" s="82"/>
      <c r="Y140" s="82"/>
      <c r="Z140" s="82"/>
      <c r="AA140" s="82"/>
      <c r="AB140" s="83"/>
      <c r="AC140" s="83"/>
      <c r="AD140" s="83"/>
      <c r="AE140" s="83"/>
      <c r="AF140" s="83"/>
      <c r="AG140" s="83"/>
      <c r="AH140" s="83"/>
    </row>
    <row r="141" spans="1:34">
      <c r="A141" s="83"/>
      <c r="B141" s="108"/>
      <c r="C141" s="82"/>
      <c r="D141" s="82"/>
      <c r="E141" s="82"/>
      <c r="F141" s="82"/>
      <c r="G141" s="82"/>
      <c r="H141" s="82"/>
      <c r="I141" s="82"/>
      <c r="J141" s="54"/>
      <c r="K141" s="83"/>
      <c r="L141" s="83"/>
      <c r="M141" s="83"/>
      <c r="N141" s="83"/>
      <c r="O141" s="83"/>
      <c r="P141" s="83"/>
      <c r="Q141" s="83"/>
      <c r="R141" s="83"/>
      <c r="S141" s="109"/>
      <c r="T141" s="54"/>
      <c r="U141" s="54"/>
      <c r="V141" s="54"/>
      <c r="W141" s="54"/>
      <c r="X141" s="54"/>
      <c r="Y141" s="54"/>
      <c r="Z141" s="54"/>
      <c r="AA141" s="54"/>
      <c r="AB141" s="83"/>
      <c r="AC141" s="83"/>
      <c r="AD141" s="83"/>
      <c r="AE141" s="83"/>
      <c r="AF141" s="83"/>
      <c r="AG141" s="83"/>
      <c r="AH141" s="83"/>
    </row>
    <row r="142" spans="1:34">
      <c r="A142" s="83"/>
      <c r="B142" s="83"/>
      <c r="C142" s="54"/>
      <c r="D142" s="54"/>
      <c r="E142" s="54"/>
      <c r="F142" s="54"/>
      <c r="G142" s="54"/>
      <c r="H142" s="54"/>
      <c r="I142" s="54"/>
      <c r="J142" s="82"/>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row>
    <row r="143" spans="1:34">
      <c r="A143" s="83"/>
      <c r="B143" s="83"/>
      <c r="C143" s="82"/>
      <c r="D143" s="82"/>
      <c r="E143" s="82"/>
      <c r="F143" s="82"/>
      <c r="G143" s="82"/>
      <c r="H143" s="82"/>
      <c r="I143" s="82"/>
      <c r="J143" s="54"/>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row>
    <row r="144" spans="1:34">
      <c r="A144" s="83"/>
      <c r="B144" s="109"/>
      <c r="C144" s="54"/>
      <c r="D144" s="54"/>
      <c r="E144" s="54"/>
      <c r="F144" s="54"/>
      <c r="G144" s="54"/>
      <c r="H144" s="54"/>
      <c r="I144" s="54"/>
      <c r="J144" s="83"/>
      <c r="AF144" s="83"/>
      <c r="AG144" s="83"/>
      <c r="AH144" s="83"/>
    </row>
    <row r="145" spans="1:34">
      <c r="A145" s="83"/>
      <c r="B145" s="109"/>
      <c r="C145" s="83"/>
      <c r="D145" s="83"/>
      <c r="E145" s="83"/>
      <c r="F145" s="83"/>
      <c r="G145" s="83"/>
      <c r="H145" s="83"/>
      <c r="I145" s="83"/>
      <c r="J145" s="83"/>
      <c r="AF145" s="83"/>
      <c r="AG145" s="83"/>
      <c r="AH145" s="83"/>
    </row>
    <row r="146" spans="1:34">
      <c r="A146" s="83"/>
      <c r="B146" s="109"/>
      <c r="C146" s="83"/>
      <c r="D146" s="83"/>
      <c r="E146" s="83"/>
      <c r="F146" s="83"/>
      <c r="G146" s="83"/>
      <c r="H146" s="83"/>
      <c r="I146" s="83"/>
      <c r="J146" s="55"/>
      <c r="AF146" s="83"/>
      <c r="AG146" s="83"/>
      <c r="AH146" s="83"/>
    </row>
    <row r="147" spans="1:34">
      <c r="A147" s="107"/>
      <c r="J147" s="82"/>
      <c r="AF147" s="83"/>
      <c r="AG147" s="83"/>
      <c r="AH147" s="83"/>
    </row>
    <row r="148" spans="1:34">
      <c r="A148" s="107"/>
      <c r="J148" s="82"/>
      <c r="AF148" s="83"/>
      <c r="AG148" s="83"/>
      <c r="AH148" s="83"/>
    </row>
    <row r="149" spans="1:34">
      <c r="A149" s="107"/>
      <c r="J149" s="82"/>
      <c r="AF149" s="83"/>
      <c r="AG149" s="83"/>
      <c r="AH149" s="83"/>
    </row>
    <row r="150" spans="1:34">
      <c r="A150" s="107"/>
      <c r="J150" s="82"/>
      <c r="AF150" s="83"/>
      <c r="AG150" s="83"/>
      <c r="AH150" s="83"/>
    </row>
    <row r="151" spans="1:34">
      <c r="A151" s="107"/>
      <c r="J151" s="82"/>
      <c r="AF151" s="83"/>
      <c r="AG151" s="83"/>
      <c r="AH151" s="83"/>
    </row>
    <row r="152" spans="1:34">
      <c r="A152" s="107"/>
      <c r="J152" s="82"/>
      <c r="AF152" s="83"/>
      <c r="AG152" s="83"/>
      <c r="AH152" s="83"/>
    </row>
    <row r="153" spans="1:34">
      <c r="A153" s="107"/>
      <c r="J153" s="54"/>
      <c r="AF153" s="83"/>
      <c r="AG153" s="83"/>
      <c r="AH153" s="83"/>
    </row>
    <row r="154" spans="1:34">
      <c r="A154" s="107"/>
      <c r="J154" s="82"/>
      <c r="AF154" s="83"/>
      <c r="AG154" s="83"/>
      <c r="AH154" s="83"/>
    </row>
    <row r="155" spans="1:34">
      <c r="A155" s="107"/>
      <c r="J155" s="54"/>
      <c r="AF155" s="83"/>
      <c r="AG155" s="83"/>
      <c r="AH155" s="83"/>
    </row>
    <row r="156" spans="1:34">
      <c r="A156" s="107"/>
      <c r="J156" s="83"/>
      <c r="AF156" s="83"/>
      <c r="AG156" s="83"/>
      <c r="AH156" s="83"/>
    </row>
    <row r="157" spans="1:34">
      <c r="A157" s="107"/>
      <c r="J157" s="83"/>
      <c r="AF157" s="83"/>
      <c r="AG157" s="83"/>
      <c r="AH157" s="83"/>
    </row>
  </sheetData>
  <mergeCells count="4">
    <mergeCell ref="K61:N62"/>
    <mergeCell ref="K1:U1"/>
    <mergeCell ref="K17:T17"/>
    <mergeCell ref="K11:K12"/>
  </mergeCells>
  <conditionalFormatting sqref="X19:Y22">
    <cfRule type="cellIs" dxfId="4" priority="4" operator="greaterThan">
      <formula>0</formula>
    </cfRule>
  </conditionalFormatting>
  <conditionalFormatting sqref="X24:Z25">
    <cfRule type="cellIs" dxfId="3" priority="3" operator="greaterThan">
      <formula>0</formula>
    </cfRule>
  </conditionalFormatting>
  <conditionalFormatting sqref="R19:U30">
    <cfRule type="cellIs" dxfId="2" priority="2" operator="greaterThan">
      <formula>0</formula>
    </cfRule>
  </conditionalFormatting>
  <pageMargins left="0" right="0" top="0" bottom="0" header="0" footer="0"/>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62"/>
  <sheetViews>
    <sheetView topLeftCell="A31" workbookViewId="0">
      <selection activeCell="D58" sqref="D58"/>
    </sheetView>
  </sheetViews>
  <sheetFormatPr baseColWidth="10" defaultRowHeight="15.75"/>
  <cols>
    <col min="2" max="2" width="40.625" customWidth="1"/>
    <col min="3" max="3" width="16.5" bestFit="1" customWidth="1"/>
    <col min="4" max="4" width="12.625" customWidth="1"/>
    <col min="6" max="6" width="11.125" bestFit="1" customWidth="1"/>
    <col min="7" max="7" width="13.625" customWidth="1"/>
    <col min="11" max="11" width="17.125" customWidth="1"/>
  </cols>
  <sheetData>
    <row r="1" spans="1:16">
      <c r="A1" s="112"/>
      <c r="B1" s="112"/>
      <c r="C1" s="112"/>
      <c r="D1" s="112"/>
      <c r="E1" s="112"/>
      <c r="F1" s="112"/>
      <c r="G1" s="112"/>
      <c r="H1" s="112"/>
      <c r="I1" s="112"/>
      <c r="J1" s="112"/>
      <c r="K1" s="112"/>
      <c r="L1" s="112"/>
      <c r="M1" s="112"/>
      <c r="N1" s="112"/>
      <c r="O1" s="112"/>
      <c r="P1" s="112"/>
    </row>
    <row r="2" spans="1:16">
      <c r="A2" s="112"/>
      <c r="B2" s="120" t="s">
        <v>172</v>
      </c>
      <c r="C2" s="112"/>
      <c r="D2" s="112"/>
      <c r="E2" s="112"/>
      <c r="F2" s="112"/>
      <c r="G2" s="112"/>
      <c r="H2" s="112"/>
      <c r="I2" s="112"/>
      <c r="J2" s="112"/>
      <c r="K2" s="120" t="s">
        <v>397</v>
      </c>
      <c r="L2" s="120"/>
      <c r="M2" s="120"/>
      <c r="N2" s="112"/>
      <c r="O2" s="112"/>
      <c r="P2" s="112"/>
    </row>
    <row r="3" spans="1:16" ht="16.5" thickBot="1">
      <c r="A3" s="112"/>
      <c r="B3" s="112"/>
      <c r="C3" s="385" t="s">
        <v>396</v>
      </c>
      <c r="D3" s="385"/>
      <c r="E3" s="385"/>
      <c r="F3" s="112"/>
      <c r="G3" s="112"/>
      <c r="H3" s="112"/>
      <c r="I3" s="112"/>
      <c r="J3" s="112"/>
      <c r="K3" s="112"/>
      <c r="L3" s="112"/>
      <c r="M3" s="112"/>
      <c r="N3" s="112"/>
      <c r="O3" s="112"/>
      <c r="P3" s="112"/>
    </row>
    <row r="4" spans="1:16" ht="47.25">
      <c r="A4" s="112"/>
      <c r="B4" s="121"/>
      <c r="C4" s="122" t="s">
        <v>743</v>
      </c>
      <c r="D4" s="123" t="s">
        <v>393</v>
      </c>
      <c r="E4" s="133" t="s">
        <v>740</v>
      </c>
      <c r="F4" s="112"/>
      <c r="G4" s="112"/>
      <c r="H4" s="112"/>
      <c r="I4" s="112"/>
      <c r="J4" s="112"/>
      <c r="K4" s="112"/>
      <c r="L4" s="112"/>
      <c r="M4" s="370" t="s">
        <v>741</v>
      </c>
      <c r="N4" s="112"/>
      <c r="O4" s="112"/>
      <c r="P4" s="112"/>
    </row>
    <row r="5" spans="1:16">
      <c r="A5" s="112"/>
      <c r="B5" s="364" t="s">
        <v>226</v>
      </c>
      <c r="C5" s="113">
        <f>'Step1-V1'!AC36</f>
        <v>3008.931</v>
      </c>
      <c r="D5" s="136">
        <f>'Step1-V1'!F34/'Resumen electricidad '!$C$30</f>
        <v>10285.555555555557</v>
      </c>
      <c r="E5" s="134">
        <f>(C5/D5)*100</f>
        <v>29.253947283137084</v>
      </c>
      <c r="F5" s="112"/>
      <c r="G5" s="112"/>
      <c r="H5" s="112"/>
      <c r="I5" s="112"/>
      <c r="J5" s="112"/>
      <c r="K5" s="116" t="s">
        <v>7</v>
      </c>
      <c r="L5" s="117"/>
      <c r="M5" s="118">
        <v>152.71</v>
      </c>
      <c r="N5" s="112"/>
      <c r="O5" s="112"/>
      <c r="P5" s="112"/>
    </row>
    <row r="6" spans="1:16">
      <c r="A6" s="112"/>
      <c r="B6" s="365" t="s">
        <v>387</v>
      </c>
      <c r="C6" s="113">
        <f>'Step1-V1'!AC37</f>
        <v>167104.78286286767</v>
      </c>
      <c r="D6" s="136">
        <f>'Step1-V1'!F35/'Resumen electricidad '!$C$30</f>
        <v>147389.72222222222</v>
      </c>
      <c r="E6" s="134">
        <f t="shared" ref="E6:E11" si="0">(C6/D6)*100</f>
        <v>113.37614342669069</v>
      </c>
      <c r="F6" s="112"/>
      <c r="G6" s="112"/>
      <c r="H6" s="112"/>
      <c r="I6" s="112"/>
      <c r="J6" s="112"/>
      <c r="K6" s="119" t="s">
        <v>281</v>
      </c>
      <c r="L6" s="117"/>
      <c r="M6" s="118">
        <v>116.015</v>
      </c>
      <c r="N6" s="112"/>
      <c r="O6" s="112"/>
      <c r="P6" s="112"/>
    </row>
    <row r="7" spans="1:16">
      <c r="A7" s="112"/>
      <c r="B7" s="366" t="s">
        <v>570</v>
      </c>
      <c r="C7" s="113">
        <f>'Step1-V1'!AC38</f>
        <v>41964.334000000003</v>
      </c>
      <c r="D7" s="136">
        <f>'Step1-V1'!F36/'Resumen electricidad '!$C$30</f>
        <v>1174.1666555934376</v>
      </c>
      <c r="E7" s="134">
        <f t="shared" si="0"/>
        <v>3573.9674432153533</v>
      </c>
      <c r="F7" s="112"/>
      <c r="G7" s="112"/>
      <c r="H7" s="112"/>
      <c r="I7" s="112"/>
      <c r="J7" s="112"/>
      <c r="K7" s="119" t="s">
        <v>398</v>
      </c>
      <c r="L7" s="117"/>
      <c r="M7" s="118">
        <v>225.904</v>
      </c>
      <c r="N7" s="112"/>
      <c r="O7" s="112"/>
      <c r="P7" s="112"/>
    </row>
    <row r="8" spans="1:16">
      <c r="A8" s="112"/>
      <c r="B8" s="367" t="s">
        <v>214</v>
      </c>
      <c r="C8" s="113">
        <f>'Step1-V1'!AC39</f>
        <v>85201.579000000056</v>
      </c>
      <c r="D8" s="136">
        <f>'Step1-V1'!F37/'Resumen electricidad '!$C$30</f>
        <v>13911.388788418797</v>
      </c>
      <c r="E8" s="134">
        <f t="shared" si="0"/>
        <v>612.45918934369945</v>
      </c>
      <c r="F8" s="112"/>
      <c r="G8" s="112"/>
      <c r="H8" s="112"/>
      <c r="I8" s="112"/>
      <c r="J8" s="112"/>
      <c r="K8" s="119" t="s">
        <v>298</v>
      </c>
      <c r="L8" s="117"/>
      <c r="M8" s="118">
        <v>294.60199999999998</v>
      </c>
      <c r="N8" s="112"/>
      <c r="O8" s="112"/>
      <c r="P8" s="112"/>
    </row>
    <row r="9" spans="1:16">
      <c r="A9" s="112"/>
      <c r="B9" s="367" t="s">
        <v>215</v>
      </c>
      <c r="C9" s="113">
        <f>'Step1-V1'!AC40</f>
        <v>14538.358</v>
      </c>
      <c r="D9" s="136">
        <f>'Step1-V1'!F38/'Resumen electricidad '!$C$30</f>
        <v>9285.2777777777774</v>
      </c>
      <c r="E9" s="134">
        <f t="shared" si="0"/>
        <v>156.5742926376881</v>
      </c>
      <c r="F9" s="112"/>
      <c r="G9" s="112"/>
      <c r="H9" s="112"/>
      <c r="I9" s="112"/>
      <c r="J9" s="112"/>
      <c r="K9" s="119" t="s">
        <v>399</v>
      </c>
      <c r="L9" s="117"/>
      <c r="M9" s="118">
        <v>53.658000000000001</v>
      </c>
      <c r="N9" s="112"/>
      <c r="O9" s="112"/>
      <c r="P9" s="112"/>
    </row>
    <row r="10" spans="1:16" s="112" customFormat="1">
      <c r="B10" s="367" t="s">
        <v>241</v>
      </c>
      <c r="C10" s="113">
        <f>'Step1-V1'!AC46</f>
        <v>37809.973060058801</v>
      </c>
      <c r="D10" s="136">
        <f>'Step1-V1'!F39/'Resumen electricidad '!$C$30</f>
        <v>53094.166666666672</v>
      </c>
      <c r="E10" s="134">
        <f t="shared" si="0"/>
        <v>71.213045488472616</v>
      </c>
      <c r="K10" s="116" t="s">
        <v>47</v>
      </c>
      <c r="L10" s="117"/>
      <c r="M10" s="118">
        <v>155.19</v>
      </c>
    </row>
    <row r="11" spans="1:16" s="112" customFormat="1">
      <c r="B11" s="367" t="s">
        <v>388</v>
      </c>
      <c r="C11" s="113">
        <f>'Step1-V1'!AC41</f>
        <v>3883.6251371323192</v>
      </c>
      <c r="D11" s="136">
        <f>'Step1-V1'!F42/'Resumen electricidad '!$C$30</f>
        <v>3425.4341519770264</v>
      </c>
      <c r="E11" s="134">
        <f t="shared" si="0"/>
        <v>113.37614342669069</v>
      </c>
      <c r="K11" s="119" t="s">
        <v>400</v>
      </c>
      <c r="L11" s="117"/>
      <c r="M11" s="118">
        <v>168.56</v>
      </c>
    </row>
    <row r="12" spans="1:16" s="112" customFormat="1">
      <c r="B12" s="112" t="s">
        <v>421</v>
      </c>
      <c r="C12" s="113">
        <f>'Step1-V1'!AC42</f>
        <v>1387.2729999999999</v>
      </c>
      <c r="D12" s="136">
        <f>'Step1-V1'!F43/'Resumen electricidad '!$C$30</f>
        <v>10147.37101559441</v>
      </c>
      <c r="E12" s="134">
        <f>(C12/D12)*100</f>
        <v>13.671255321876458</v>
      </c>
      <c r="K12" s="119" t="s">
        <v>401</v>
      </c>
      <c r="L12" s="117"/>
      <c r="M12" s="118">
        <v>132.13999999999999</v>
      </c>
    </row>
    <row r="13" spans="1:16" s="112" customFormat="1">
      <c r="B13" s="120" t="s">
        <v>920</v>
      </c>
      <c r="C13" s="114">
        <f>SUM(C5:C12)</f>
        <v>354898.85606005881</v>
      </c>
      <c r="D13" s="114">
        <f t="shared" ref="D13" si="1">SUM(D5:D12)</f>
        <v>248713.08283380591</v>
      </c>
      <c r="E13" s="134">
        <f>(C13/D13)*100</f>
        <v>142.69408429037404</v>
      </c>
      <c r="K13" s="112" t="s">
        <v>416</v>
      </c>
    </row>
    <row r="14" spans="1:16" s="112" customFormat="1">
      <c r="E14" s="376"/>
    </row>
    <row r="15" spans="1:16" s="112" customFormat="1">
      <c r="B15" s="112" t="s">
        <v>218</v>
      </c>
      <c r="C15" s="374">
        <f>$C$12*'Step3-electricity '!E34</f>
        <v>131.21508971180305</v>
      </c>
      <c r="D15" s="372">
        <f>'Step3-electricity '!E4/$C$30</f>
        <v>959.78816981249406</v>
      </c>
      <c r="E15" s="377">
        <f>IF(D15=0,"-",C15/D15*100)</f>
        <v>13.671255162213289</v>
      </c>
    </row>
    <row r="16" spans="1:16" s="112" customFormat="1">
      <c r="B16" s="112" t="s">
        <v>219</v>
      </c>
      <c r="C16" s="374">
        <f>$C$12*'Step3-electricity '!E35</f>
        <v>19.58944771188391</v>
      </c>
      <c r="D16" s="372">
        <f>'Step3-electricity '!E5/$C$30</f>
        <v>143.289313815371</v>
      </c>
      <c r="E16" s="377">
        <f t="shared" ref="E16:E26" si="2">IF(D16=0,"-",C16/D16*100)</f>
        <v>13.671255162213292</v>
      </c>
    </row>
    <row r="17" spans="1:7" s="112" customFormat="1">
      <c r="B17" s="112" t="s">
        <v>171</v>
      </c>
      <c r="C17" s="374">
        <f>$C$12*'Step3-electricity '!E36</f>
        <v>28.414663789278951</v>
      </c>
      <c r="D17" s="372">
        <f>'Step3-electricity '!E6/$C$30</f>
        <v>207.84239231973191</v>
      </c>
      <c r="E17" s="377">
        <f t="shared" si="2"/>
        <v>13.671255162213292</v>
      </c>
    </row>
    <row r="18" spans="1:7" s="112" customFormat="1">
      <c r="B18" s="112" t="s">
        <v>11</v>
      </c>
      <c r="C18" s="374">
        <f>$C$12*'Step3-electricity '!E37</f>
        <v>9.1250715751548028E-2</v>
      </c>
      <c r="D18" s="372">
        <f>'Step3-electricity '!E7/$C$30</f>
        <v>0.66746406726253449</v>
      </c>
      <c r="E18" s="377">
        <f t="shared" si="2"/>
        <v>13.671255162213289</v>
      </c>
    </row>
    <row r="19" spans="1:7" s="112" customFormat="1">
      <c r="B19" s="112" t="s">
        <v>220</v>
      </c>
      <c r="C19" s="374">
        <f>$C$12*'Step3-electricity '!E38</f>
        <v>10.419426767031585</v>
      </c>
      <c r="D19" s="372">
        <f>'Step3-electricity '!E8/$C$30</f>
        <v>76.214119650333146</v>
      </c>
      <c r="E19" s="377">
        <f t="shared" si="2"/>
        <v>13.671255162213292</v>
      </c>
    </row>
    <row r="20" spans="1:7" s="112" customFormat="1">
      <c r="B20" s="112" t="s">
        <v>365</v>
      </c>
      <c r="C20" s="374">
        <f>$C$12*'Step3-electricity '!E39</f>
        <v>6.1321256422688535</v>
      </c>
      <c r="D20" s="372">
        <f>'Step3-electricity '!E9/$C$30</f>
        <v>44.854152523008729</v>
      </c>
      <c r="E20" s="387">
        <f t="shared" si="2"/>
        <v>13.671255162213289</v>
      </c>
    </row>
    <row r="21" spans="1:7" s="112" customFormat="1">
      <c r="A21" s="371"/>
      <c r="B21" s="112" t="s">
        <v>366</v>
      </c>
      <c r="C21" s="374">
        <f>$C$12*'Step3-electricity '!E40</f>
        <v>2.6856326346854074E-3</v>
      </c>
      <c r="D21" s="372">
        <f>'Step3-electricity '!E10/$C$30</f>
        <v>1.9644375024967495E-2</v>
      </c>
      <c r="E21" s="387">
        <f t="shared" si="2"/>
        <v>13.671255162213292</v>
      </c>
      <c r="G21" s="6"/>
    </row>
    <row r="22" spans="1:7" s="112" customFormat="1">
      <c r="A22" s="371"/>
      <c r="B22" s="112" t="s">
        <v>187</v>
      </c>
      <c r="C22" s="374">
        <f>$C$12*'Step3-electricity '!E41</f>
        <v>55.239694202682649</v>
      </c>
      <c r="D22" s="372">
        <f>'Step3-electricity '!E11/$C$30</f>
        <v>404.05722479207753</v>
      </c>
      <c r="E22" s="377">
        <f t="shared" si="2"/>
        <v>13.671255162213289</v>
      </c>
      <c r="F22" s="136"/>
      <c r="G22" s="378"/>
    </row>
    <row r="23" spans="1:7" s="112" customFormat="1">
      <c r="A23" s="371"/>
      <c r="B23" s="111" t="s">
        <v>222</v>
      </c>
      <c r="C23" s="374">
        <f>$C$12*'Step3-electricity '!E42</f>
        <v>168.0181034179237</v>
      </c>
      <c r="D23" s="372">
        <f>'Step3-electricity '!E12/$C$30</f>
        <v>1228.9881318455518</v>
      </c>
      <c r="E23" s="377">
        <f t="shared" si="2"/>
        <v>13.671255162213292</v>
      </c>
      <c r="F23" s="136"/>
      <c r="G23" s="378"/>
    </row>
    <row r="24" spans="1:7" s="112" customFormat="1">
      <c r="A24" s="371"/>
      <c r="B24" s="111" t="s">
        <v>224</v>
      </c>
      <c r="C24" s="374">
        <f>$C$12*'Step3-electricity '!E43</f>
        <v>717.21360528061825</v>
      </c>
      <c r="D24" s="372">
        <f>'Step3-electricity '!E13/$C$30</f>
        <v>5246.1430700449737</v>
      </c>
      <c r="E24" s="377">
        <f t="shared" si="2"/>
        <v>13.671255162213292</v>
      </c>
      <c r="F24" s="136"/>
      <c r="G24" s="378"/>
    </row>
    <row r="25" spans="1:7" s="112" customFormat="1">
      <c r="A25" s="371"/>
      <c r="B25" s="111" t="s">
        <v>223</v>
      </c>
      <c r="C25" s="374">
        <f>$C$12*'Step3-electricity '!E44</f>
        <v>10.423013291089154</v>
      </c>
      <c r="D25" s="372">
        <f>'Step3-electricity '!E14/$C$30</f>
        <v>76.240353701376847</v>
      </c>
      <c r="E25" s="377">
        <f t="shared" si="2"/>
        <v>13.671255162213292</v>
      </c>
      <c r="F25" s="136"/>
      <c r="G25" s="378"/>
    </row>
    <row r="26" spans="1:7" s="112" customFormat="1">
      <c r="A26" s="371"/>
      <c r="B26" s="111" t="s">
        <v>221</v>
      </c>
      <c r="C26" s="374">
        <f>$C$12*'Step3-electricity '!E45</f>
        <v>240.51389383703375</v>
      </c>
      <c r="D26" s="372">
        <f>'Step3-electricity '!E15/$C$30</f>
        <v>1759.2670971558114</v>
      </c>
      <c r="E26" s="377">
        <f t="shared" si="2"/>
        <v>13.671255162213289</v>
      </c>
      <c r="F26" s="136"/>
      <c r="G26" s="378"/>
    </row>
    <row r="27" spans="1:7" s="112" customFormat="1" ht="16.5" thickBot="1">
      <c r="A27" s="371"/>
      <c r="B27" s="375" t="s">
        <v>742</v>
      </c>
      <c r="C27" s="114">
        <f>SUM(C15:C26)</f>
        <v>1387.2729999999999</v>
      </c>
      <c r="D27" s="137">
        <f>SUM(D15:D26)</f>
        <v>10147.371134103016</v>
      </c>
      <c r="E27" s="386">
        <f>IF(D27=0,"-",C27/D27*100)</f>
        <v>13.671255162213292</v>
      </c>
      <c r="F27" s="136"/>
      <c r="G27" s="378"/>
    </row>
    <row r="28" spans="1:7" s="112" customFormat="1">
      <c r="A28" s="371"/>
      <c r="B28" s="111"/>
      <c r="C28" s="372"/>
      <c r="D28" s="373"/>
      <c r="E28" s="113"/>
      <c r="F28" s="136"/>
      <c r="G28" s="378"/>
    </row>
    <row r="29" spans="1:7" s="112" customFormat="1">
      <c r="A29" s="371"/>
      <c r="B29" s="379" t="s">
        <v>394</v>
      </c>
      <c r="C29" s="380"/>
      <c r="D29" s="380"/>
      <c r="E29" s="381"/>
      <c r="F29" s="136"/>
      <c r="G29" s="378"/>
    </row>
    <row r="30" spans="1:7" s="112" customFormat="1">
      <c r="B30" s="382" t="s">
        <v>395</v>
      </c>
      <c r="C30" s="383">
        <v>3.5999999999999999E-3</v>
      </c>
      <c r="D30" s="383" t="s">
        <v>390</v>
      </c>
      <c r="E30" s="384"/>
      <c r="F30" s="136"/>
      <c r="G30" s="378"/>
    </row>
    <row r="31" spans="1:7" s="112" customFormat="1" ht="16.5" thickBot="1"/>
    <row r="32" spans="1:7" s="112" customFormat="1" ht="47.25">
      <c r="A32" s="112">
        <v>1</v>
      </c>
      <c r="C32" s="122" t="s">
        <v>743</v>
      </c>
      <c r="D32" s="123" t="s">
        <v>393</v>
      </c>
      <c r="E32" s="133" t="s">
        <v>744</v>
      </c>
    </row>
    <row r="33" spans="1:5" s="112" customFormat="1">
      <c r="A33" s="112">
        <v>2</v>
      </c>
      <c r="B33" s="111" t="s">
        <v>197</v>
      </c>
      <c r="C33" s="113">
        <f>'Step1-V1'!AC5</f>
        <v>2867.1179999999999</v>
      </c>
      <c r="D33" s="113">
        <f>'Step1-V1'!F3/$C$30</f>
        <v>9800.7902053364924</v>
      </c>
      <c r="E33" s="134">
        <f>(C33/D33)*100</f>
        <v>29.253947283137084</v>
      </c>
    </row>
    <row r="34" spans="1:5" s="112" customFormat="1">
      <c r="A34" s="112">
        <v>3</v>
      </c>
      <c r="B34" s="111" t="s">
        <v>198</v>
      </c>
      <c r="C34" s="113">
        <f>'Step1-V1'!AC6</f>
        <v>141.81300000000002</v>
      </c>
      <c r="D34" s="113">
        <f>'Step1-V1'!F4/$C$30</f>
        <v>484.7653502190646</v>
      </c>
      <c r="E34" s="134">
        <f t="shared" ref="E34:E54" si="3">(C34/D34)*100</f>
        <v>29.253947283137084</v>
      </c>
    </row>
    <row r="35" spans="1:5" s="112" customFormat="1">
      <c r="A35" s="112">
        <v>4</v>
      </c>
      <c r="B35" s="111" t="s">
        <v>199</v>
      </c>
      <c r="C35" s="113">
        <f>'Step1-V1'!AC7</f>
        <v>26863.08</v>
      </c>
      <c r="D35" s="113">
        <f>'Step1-V1'!F5/$C$30</f>
        <v>23693.76765524728</v>
      </c>
      <c r="E35" s="134">
        <f t="shared" si="3"/>
        <v>113.37614342669069</v>
      </c>
    </row>
    <row r="36" spans="1:5" s="112" customFormat="1">
      <c r="A36" s="112">
        <v>5</v>
      </c>
      <c r="B36" s="111" t="s">
        <v>200</v>
      </c>
      <c r="C36" s="113">
        <f>'Step1-V1'!AC8</f>
        <v>5779.8659999999991</v>
      </c>
      <c r="D36" s="113">
        <f>'Step1-V1'!F6/$C$30</f>
        <v>5097.9560825662384</v>
      </c>
      <c r="E36" s="134">
        <f>(C36/D36)*100</f>
        <v>113.37614342669067</v>
      </c>
    </row>
    <row r="37" spans="1:5" s="112" customFormat="1">
      <c r="A37" s="112">
        <v>6</v>
      </c>
      <c r="B37" s="111" t="s">
        <v>201</v>
      </c>
      <c r="C37" s="113">
        <f>'Step1-V1'!AC9</f>
        <v>7063.810862867681</v>
      </c>
      <c r="D37" s="113">
        <f>'Step1-V1'!F7/$C$30</f>
        <v>6230.4208357864627</v>
      </c>
      <c r="E37" s="134">
        <f t="shared" si="3"/>
        <v>113.37614342669069</v>
      </c>
    </row>
    <row r="38" spans="1:5" s="112" customFormat="1">
      <c r="A38" s="112">
        <v>7</v>
      </c>
      <c r="B38" s="111" t="s">
        <v>202</v>
      </c>
      <c r="C38" s="113">
        <f>'Step1-V1'!AC10</f>
        <v>11485.351000000001</v>
      </c>
      <c r="D38" s="113">
        <f>'Step1-V1'!F8/$C$30</f>
        <v>10130.306652586451</v>
      </c>
      <c r="E38" s="134">
        <f t="shared" si="3"/>
        <v>113.37614342669067</v>
      </c>
    </row>
    <row r="39" spans="1:5" s="112" customFormat="1">
      <c r="A39" s="112">
        <v>8</v>
      </c>
      <c r="B39" s="111" t="s">
        <v>203</v>
      </c>
      <c r="C39" s="113">
        <f>'Step1-V1'!AC11</f>
        <v>6423.6389999999992</v>
      </c>
      <c r="D39" s="113">
        <f>'Step1-V1'!F9/$C$30</f>
        <v>5665.7765962497588</v>
      </c>
      <c r="E39" s="134">
        <f t="shared" si="3"/>
        <v>113.37614342669067</v>
      </c>
    </row>
    <row r="40" spans="1:5" s="112" customFormat="1">
      <c r="A40" s="112">
        <v>9</v>
      </c>
      <c r="B40" s="111" t="s">
        <v>204</v>
      </c>
      <c r="C40" s="113">
        <f>'Step1-V1'!AC12</f>
        <v>29739.377999999993</v>
      </c>
      <c r="D40" s="113">
        <f>'Step1-V1'!F10/$C$30</f>
        <v>26230.719356960271</v>
      </c>
      <c r="E40" s="134">
        <f t="shared" si="3"/>
        <v>113.37614342669069</v>
      </c>
    </row>
    <row r="41" spans="1:5" s="112" customFormat="1">
      <c r="A41" s="112">
        <v>10</v>
      </c>
      <c r="B41" s="111" t="s">
        <v>205</v>
      </c>
      <c r="C41" s="113">
        <f>'Step1-V1'!AC13</f>
        <v>1706.7860000000001</v>
      </c>
      <c r="D41" s="113">
        <f>'Step1-V1'!F11/$C$30</f>
        <v>1505.4189959315493</v>
      </c>
      <c r="E41" s="134">
        <f t="shared" si="3"/>
        <v>113.37614342669069</v>
      </c>
    </row>
    <row r="42" spans="1:5" s="112" customFormat="1">
      <c r="A42" s="112">
        <v>11</v>
      </c>
      <c r="B42" s="111" t="s">
        <v>206</v>
      </c>
      <c r="C42" s="113">
        <f>'Step1-V1'!AC14</f>
        <v>1638.164</v>
      </c>
      <c r="D42" s="113">
        <f>'Step1-V1'!F12/$C$30</f>
        <v>1444.8930352435575</v>
      </c>
      <c r="E42" s="134">
        <f>(C42/D42)*100</f>
        <v>113.37614342669067</v>
      </c>
    </row>
    <row r="43" spans="1:5" s="112" customFormat="1">
      <c r="A43" s="112">
        <v>12</v>
      </c>
      <c r="B43" s="111" t="s">
        <v>207</v>
      </c>
      <c r="C43" s="113">
        <f>'Step1-V1'!AC15</f>
        <v>78111.493999999977</v>
      </c>
      <c r="D43" s="113">
        <f>'Step1-V1'!F13/$C$30</f>
        <v>68895.8820075822</v>
      </c>
      <c r="E43" s="134">
        <f t="shared" si="3"/>
        <v>113.37614342669069</v>
      </c>
    </row>
    <row r="44" spans="1:5" s="112" customFormat="1">
      <c r="A44" s="112">
        <v>13</v>
      </c>
      <c r="B44" s="111" t="s">
        <v>208</v>
      </c>
      <c r="C44" s="113">
        <f>'Step1-V1'!AC16</f>
        <v>729.98800000000006</v>
      </c>
      <c r="D44" s="113">
        <f>'Step1-V1'!F14/$C$30</f>
        <v>206.31995654077065</v>
      </c>
      <c r="E44" s="134">
        <f t="shared" si="3"/>
        <v>353.81356812943488</v>
      </c>
    </row>
    <row r="45" spans="1:5" s="112" customFormat="1">
      <c r="A45" s="112">
        <v>14</v>
      </c>
      <c r="B45" s="111" t="s">
        <v>209</v>
      </c>
      <c r="C45" s="113">
        <f>'Step1-V1'!AC17</f>
        <v>39.463000000000001</v>
      </c>
      <c r="D45" s="113">
        <f>'Step1-V1'!F15/$C$30</f>
        <v>11.153614093613086</v>
      </c>
      <c r="E45" s="134">
        <f>(C45/D45)*100</f>
        <v>353.813568129435</v>
      </c>
    </row>
    <row r="46" spans="1:5" s="112" customFormat="1">
      <c r="A46" s="112">
        <v>15</v>
      </c>
      <c r="B46" s="111" t="s">
        <v>210</v>
      </c>
      <c r="C46" s="113">
        <f>'Step1-V1'!AC18</f>
        <v>104.48899999999999</v>
      </c>
      <c r="D46" s="113">
        <f>'Step1-V1'!F16/$C$30</f>
        <v>29.532219624142556</v>
      </c>
      <c r="E46" s="134">
        <f t="shared" si="3"/>
        <v>353.813568129435</v>
      </c>
    </row>
    <row r="47" spans="1:5" s="112" customFormat="1">
      <c r="A47" s="112">
        <v>16</v>
      </c>
      <c r="B47" s="111" t="s">
        <v>211</v>
      </c>
      <c r="C47" s="113">
        <f>'Step1-V1'!AC19</f>
        <v>1343.6690000000001</v>
      </c>
      <c r="D47" s="113">
        <f>'Step1-V1'!F17/$C$30</f>
        <v>379.76751629503599</v>
      </c>
      <c r="E47" s="134">
        <f t="shared" si="3"/>
        <v>353.81356812943494</v>
      </c>
    </row>
    <row r="48" spans="1:5" s="112" customFormat="1">
      <c r="A48" s="112">
        <v>17</v>
      </c>
      <c r="B48" s="111" t="s">
        <v>212</v>
      </c>
      <c r="C48" s="113">
        <f>'Step1-V1'!AC20</f>
        <v>1722.75</v>
      </c>
      <c r="D48" s="113">
        <f>'Step1-V1'!F18/$C$30</f>
        <v>486.90896991541308</v>
      </c>
      <c r="E48" s="134">
        <f>(C48/D48)*100</f>
        <v>353.81356812943494</v>
      </c>
    </row>
    <row r="49" spans="1:7" s="112" customFormat="1">
      <c r="A49" s="112">
        <v>18</v>
      </c>
      <c r="B49" s="111" t="s">
        <v>213</v>
      </c>
      <c r="C49" s="113">
        <f>'Step1-V1'!AC21</f>
        <v>169.24199999999999</v>
      </c>
      <c r="D49" s="113">
        <f>'Step1-V1'!F19/$C$30</f>
        <v>47.83366587515561</v>
      </c>
      <c r="E49" s="134">
        <f t="shared" si="3"/>
        <v>353.813568129435</v>
      </c>
    </row>
    <row r="50" spans="1:7" s="112" customFormat="1">
      <c r="A50" s="112">
        <v>19</v>
      </c>
      <c r="B50" s="111" t="s">
        <v>214</v>
      </c>
      <c r="C50" s="113">
        <f>'Step1-V1'!AC22</f>
        <v>85201.579000000056</v>
      </c>
      <c r="D50" s="113">
        <f>'Step1-V1'!F20/$C$30</f>
        <v>13911.388788418797</v>
      </c>
      <c r="E50" s="134">
        <f t="shared" si="3"/>
        <v>612.45918934369945</v>
      </c>
    </row>
    <row r="51" spans="1:7" s="112" customFormat="1">
      <c r="A51" s="112">
        <v>20</v>
      </c>
      <c r="B51" s="111" t="s">
        <v>215</v>
      </c>
      <c r="C51" s="113">
        <f>'Step1-V1'!AC23</f>
        <v>14538.358</v>
      </c>
      <c r="D51" s="113">
        <f>'Step1-V1'!F21/$C$30</f>
        <v>9285.2777777777774</v>
      </c>
      <c r="E51" s="134">
        <f t="shared" si="3"/>
        <v>156.5742926376881</v>
      </c>
    </row>
    <row r="52" spans="1:7" s="112" customFormat="1">
      <c r="A52" s="112">
        <v>21</v>
      </c>
      <c r="B52" s="111" t="s">
        <v>216</v>
      </c>
      <c r="C52" s="113">
        <f>'Step1-V1'!AC24</f>
        <v>757.60900000000004</v>
      </c>
      <c r="D52" s="113">
        <f>'Step1-V1'!F22/$C$30</f>
        <v>668.22611627275194</v>
      </c>
      <c r="E52" s="134">
        <f t="shared" si="3"/>
        <v>113.37614342669067</v>
      </c>
    </row>
    <row r="53" spans="1:7" s="112" customFormat="1">
      <c r="A53" s="112">
        <v>22</v>
      </c>
      <c r="B53" s="111" t="s">
        <v>217</v>
      </c>
      <c r="C53" s="113">
        <f>'Step1-V1'!AC25</f>
        <v>1419.2301371323192</v>
      </c>
      <c r="D53" s="113">
        <f>'Step1-V1'!F23/$C$30</f>
        <v>1251.7890397727253</v>
      </c>
      <c r="E53" s="134">
        <f t="shared" si="3"/>
        <v>113.37614342669069</v>
      </c>
    </row>
    <row r="54" spans="1:7" s="112" customFormat="1">
      <c r="B54" s="367" t="s">
        <v>418</v>
      </c>
      <c r="C54" s="113">
        <f>'Step1-V1'!AC26</f>
        <v>1387.2729999999999</v>
      </c>
      <c r="D54" s="113">
        <f>'Step1-V1'!F24/$C$30</f>
        <v>10147.37101559441</v>
      </c>
      <c r="E54" s="134">
        <f t="shared" si="3"/>
        <v>13.671255321876458</v>
      </c>
    </row>
    <row r="55" spans="1:7" s="112" customFormat="1" ht="16.5" thickBot="1">
      <c r="B55" s="120" t="s">
        <v>537</v>
      </c>
      <c r="C55" s="114">
        <f>SUM(C33:C54)</f>
        <v>279234.15000000002</v>
      </c>
      <c r="D55" s="114">
        <f>SUM(D33:D54)</f>
        <v>195606.26545388994</v>
      </c>
      <c r="E55" s="135">
        <f>(C55/D55)*100</f>
        <v>142.75317273301943</v>
      </c>
    </row>
    <row r="56" spans="1:7" s="112" customFormat="1" ht="16.5" thickBot="1"/>
    <row r="57" spans="1:7" s="112" customFormat="1">
      <c r="B57" s="367" t="s">
        <v>378</v>
      </c>
      <c r="C57" s="113">
        <f>'Step1-V1'!AC29</f>
        <v>44.759939941194922</v>
      </c>
      <c r="D57" s="113">
        <f>'Step1-V1'!F28/$C$30</f>
        <v>12.650713249306616</v>
      </c>
      <c r="E57" s="388">
        <f t="shared" ref="E57" si="4">(C57/D57)*100</f>
        <v>353.813568129435</v>
      </c>
    </row>
    <row r="58" spans="1:7" s="112" customFormat="1">
      <c r="B58" s="367" t="s">
        <v>281</v>
      </c>
      <c r="C58" s="113">
        <f>'Step1-V1'!AC30</f>
        <v>37809.973060058801</v>
      </c>
      <c r="D58" s="113">
        <f>'Step1-V1'!F29/$C$30</f>
        <v>53094.166666666672</v>
      </c>
      <c r="E58" s="134">
        <f>(C58/D58)*100</f>
        <v>71.213045488472616</v>
      </c>
    </row>
    <row r="59" spans="1:7" s="112" customFormat="1" ht="16.5" thickBot="1">
      <c r="B59" s="120" t="s">
        <v>745</v>
      </c>
      <c r="C59" s="114">
        <f>SUM(C57:C58)</f>
        <v>37854.732999999993</v>
      </c>
      <c r="D59" s="114">
        <f>SUM(D57:D58)</f>
        <v>53106.817379915978</v>
      </c>
      <c r="E59" s="135">
        <f>(C59/D59)*100</f>
        <v>71.280364494815231</v>
      </c>
    </row>
    <row r="60" spans="1:7" s="112" customFormat="1" ht="16.5" thickBot="1"/>
    <row r="61" spans="1:7" s="112" customFormat="1">
      <c r="B61" s="120" t="s">
        <v>920</v>
      </c>
      <c r="C61" s="114">
        <f>C55+C59</f>
        <v>317088.88300000003</v>
      </c>
      <c r="D61" s="114">
        <f>D55+D59</f>
        <v>248713.08283380591</v>
      </c>
      <c r="E61" s="388">
        <f>(C61/D61)*100</f>
        <v>127.49183894434854</v>
      </c>
    </row>
    <row r="62" spans="1:7">
      <c r="B62" s="112"/>
      <c r="C62" s="112"/>
      <c r="D62" s="112"/>
      <c r="E62" s="112"/>
      <c r="F62" s="112"/>
      <c r="G62" s="112"/>
    </row>
  </sheetData>
  <conditionalFormatting sqref="D33:D54">
    <cfRule type="cellIs" dxfId="1" priority="2" operator="lessThanOrEqual">
      <formula>0</formula>
    </cfRule>
  </conditionalFormatting>
  <conditionalFormatting sqref="D57:D58">
    <cfRule type="cellIs" dxfId="0" priority="1" operator="lessThanOrEqual">
      <formula>0</formula>
    </cfRule>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62"/>
  <sheetViews>
    <sheetView topLeftCell="A34" workbookViewId="0">
      <selection activeCell="C44" sqref="C44"/>
    </sheetView>
  </sheetViews>
  <sheetFormatPr baseColWidth="10" defaultRowHeight="15.75"/>
  <cols>
    <col min="2" max="2" width="40.625" customWidth="1"/>
    <col min="3" max="3" width="16.5" bestFit="1" customWidth="1"/>
    <col min="4" max="4" width="12.625" customWidth="1"/>
    <col min="6" max="6" width="11.125" bestFit="1" customWidth="1"/>
    <col min="7" max="7" width="11.125" customWidth="1"/>
    <col min="8" max="8" width="13.625" customWidth="1"/>
    <col min="12" max="12" width="17.125" customWidth="1"/>
  </cols>
  <sheetData>
    <row r="1" spans="1:17">
      <c r="A1" s="112"/>
      <c r="B1" s="112"/>
      <c r="C1" s="112"/>
      <c r="D1" s="112"/>
      <c r="E1" s="112"/>
      <c r="F1" s="112"/>
      <c r="G1" s="112"/>
      <c r="H1" s="112"/>
      <c r="I1" s="112"/>
      <c r="J1" s="112"/>
      <c r="K1" s="112"/>
      <c r="L1" s="112"/>
      <c r="M1" s="112"/>
      <c r="N1" s="112"/>
      <c r="O1" s="112"/>
      <c r="P1" s="112"/>
      <c r="Q1" s="112"/>
    </row>
    <row r="2" spans="1:17">
      <c r="A2" s="112"/>
      <c r="B2" s="120" t="s">
        <v>746</v>
      </c>
      <c r="C2" s="112"/>
      <c r="D2" s="112"/>
      <c r="E2" s="112"/>
      <c r="F2" s="112"/>
      <c r="G2" s="112"/>
      <c r="H2" s="112"/>
      <c r="I2" s="112"/>
      <c r="J2" s="112"/>
      <c r="K2" s="112"/>
      <c r="L2" s="120"/>
      <c r="M2" s="120"/>
      <c r="N2" s="120"/>
      <c r="O2" s="112"/>
      <c r="P2" s="112"/>
      <c r="Q2" s="112"/>
    </row>
    <row r="3" spans="1:17" ht="30">
      <c r="A3" s="112"/>
      <c r="B3" s="112"/>
      <c r="C3" s="399" t="s">
        <v>419</v>
      </c>
      <c r="D3" s="399" t="s">
        <v>384</v>
      </c>
      <c r="E3" s="399" t="s">
        <v>172</v>
      </c>
      <c r="F3" s="407" t="s">
        <v>386</v>
      </c>
      <c r="G3" s="399" t="s">
        <v>7</v>
      </c>
      <c r="H3" s="112"/>
      <c r="I3" s="149" t="s">
        <v>747</v>
      </c>
      <c r="J3" s="149" t="s">
        <v>385</v>
      </c>
      <c r="K3" s="149" t="s">
        <v>219</v>
      </c>
      <c r="L3" s="149" t="s">
        <v>11</v>
      </c>
      <c r="M3" s="149" t="s">
        <v>218</v>
      </c>
      <c r="N3" s="149" t="s">
        <v>171</v>
      </c>
      <c r="O3" s="149" t="s">
        <v>187</v>
      </c>
      <c r="P3" s="112"/>
      <c r="Q3" s="112"/>
    </row>
    <row r="4" spans="1:17">
      <c r="A4" s="112"/>
      <c r="B4" s="121"/>
      <c r="C4" s="400"/>
      <c r="D4" s="401"/>
      <c r="E4" s="402"/>
      <c r="F4" s="403"/>
      <c r="G4" s="403"/>
      <c r="H4" s="6"/>
      <c r="I4" s="112"/>
      <c r="J4" s="112"/>
      <c r="K4" s="112"/>
      <c r="L4" s="112"/>
      <c r="M4" s="112"/>
      <c r="N4" s="370"/>
      <c r="O4" s="112"/>
      <c r="P4" s="112"/>
      <c r="Q4" s="112"/>
    </row>
    <row r="5" spans="1:17">
      <c r="A5" s="112"/>
      <c r="B5" s="364" t="s">
        <v>226</v>
      </c>
      <c r="C5" s="404">
        <f>'Step1-V1'!D34</f>
        <v>121.58713299999999</v>
      </c>
      <c r="D5" s="404">
        <f>'Step1-V1'!E34</f>
        <v>6.5447287070636406E-2</v>
      </c>
      <c r="E5" s="591">
        <f>'Step1-V1'!F34+SUM(J5:O5)</f>
        <v>37.028000000000006</v>
      </c>
      <c r="F5" s="404">
        <f>I5</f>
        <v>0</v>
      </c>
      <c r="G5" s="398">
        <f>SUM(C5:F5)</f>
        <v>158.68058028707065</v>
      </c>
      <c r="H5" s="6"/>
      <c r="I5" s="393">
        <f>'Step1-V1'!I34</f>
        <v>0</v>
      </c>
      <c r="J5" s="393">
        <f>'Step1-V1'!J34</f>
        <v>0</v>
      </c>
      <c r="K5" s="393">
        <f>'Step1-V1'!K34</f>
        <v>0</v>
      </c>
      <c r="L5" s="393">
        <f>'Step1-V1'!L34</f>
        <v>0</v>
      </c>
      <c r="M5" s="393">
        <f>'Step1-V1'!M34</f>
        <v>0</v>
      </c>
      <c r="N5" s="393">
        <f>'Step1-V1'!N34</f>
        <v>0</v>
      </c>
      <c r="O5" s="393">
        <f>'Step1-V1'!O34</f>
        <v>0</v>
      </c>
      <c r="P5" s="112"/>
      <c r="Q5" s="112"/>
    </row>
    <row r="6" spans="1:17">
      <c r="A6" s="112"/>
      <c r="B6" s="365" t="s">
        <v>387</v>
      </c>
      <c r="C6" s="404">
        <f>'Step1-V1'!D35</f>
        <v>411.05060300000002</v>
      </c>
      <c r="D6" s="404">
        <f>'Step1-V1'!E35</f>
        <v>593.18299999999999</v>
      </c>
      <c r="E6" s="591">
        <f>'Step1-V1'!F35+SUM(J6:O6)</f>
        <v>530.98399999999992</v>
      </c>
      <c r="F6" s="404">
        <f t="shared" ref="F6:F12" si="0">I6</f>
        <v>63.782443000000001</v>
      </c>
      <c r="G6" s="398">
        <f t="shared" ref="G6:G11" si="1">SUM(C6:F6)</f>
        <v>1599.0000460000001</v>
      </c>
      <c r="H6" s="6"/>
      <c r="I6" s="393">
        <f>'Step1-V1'!I35</f>
        <v>63.782443000000001</v>
      </c>
      <c r="J6" s="393">
        <f>'Step1-V1'!J35</f>
        <v>0</v>
      </c>
      <c r="K6" s="393">
        <f>'Step1-V1'!K35</f>
        <v>0</v>
      </c>
      <c r="L6" s="393">
        <f>'Step1-V1'!L35</f>
        <v>0.38100000000000001</v>
      </c>
      <c r="M6" s="393">
        <f>'Step1-V1'!M35</f>
        <v>0</v>
      </c>
      <c r="N6" s="393">
        <f>'Step1-V1'!N35</f>
        <v>0</v>
      </c>
      <c r="O6" s="393">
        <f>'Step1-V1'!O35</f>
        <v>0</v>
      </c>
      <c r="P6" s="112"/>
      <c r="Q6" s="112"/>
    </row>
    <row r="7" spans="1:17">
      <c r="A7" s="112"/>
      <c r="B7" s="366" t="s">
        <v>570</v>
      </c>
      <c r="C7" s="404">
        <f>'Step1-V1'!D36</f>
        <v>2254.9638948739002</v>
      </c>
      <c r="D7" s="404">
        <f>'Step1-V1'!E36</f>
        <v>1.3886131564022892</v>
      </c>
      <c r="E7" s="591">
        <f>'Step1-V1'!F36+SUM(J7:O7)</f>
        <v>4.226999960136375</v>
      </c>
      <c r="F7" s="404">
        <f t="shared" si="0"/>
        <v>0</v>
      </c>
      <c r="G7" s="398">
        <f t="shared" si="1"/>
        <v>2260.5795079904387</v>
      </c>
      <c r="H7" s="6"/>
      <c r="I7" s="393">
        <f>'Step1-V1'!I36</f>
        <v>0</v>
      </c>
      <c r="J7" s="393">
        <f>'Step1-V1'!J36</f>
        <v>0</v>
      </c>
      <c r="K7" s="393">
        <f>'Step1-V1'!K36</f>
        <v>0</v>
      </c>
      <c r="L7" s="393">
        <f>'Step1-V1'!L36</f>
        <v>0</v>
      </c>
      <c r="M7" s="393">
        <f>'Step1-V1'!M36</f>
        <v>0</v>
      </c>
      <c r="N7" s="393">
        <f>'Step1-V1'!N36</f>
        <v>0</v>
      </c>
      <c r="O7" s="393">
        <f>'Step1-V1'!O36</f>
        <v>0</v>
      </c>
      <c r="P7" s="112"/>
      <c r="Q7" s="112"/>
    </row>
    <row r="8" spans="1:17">
      <c r="A8" s="112"/>
      <c r="B8" s="367" t="s">
        <v>214</v>
      </c>
      <c r="C8" s="404">
        <f>'Step1-V1'!D37</f>
        <v>69.427136802081847</v>
      </c>
      <c r="D8" s="404">
        <f>'Step1-V1'!E37</f>
        <v>11.097</v>
      </c>
      <c r="E8" s="591">
        <f>'Step1-V1'!F37+SUM(J8:O8)</f>
        <v>52.899999638307669</v>
      </c>
      <c r="F8" s="404">
        <f t="shared" si="0"/>
        <v>0</v>
      </c>
      <c r="G8" s="398">
        <f t="shared" si="1"/>
        <v>133.4241364403895</v>
      </c>
      <c r="H8" s="6"/>
      <c r="I8" s="393">
        <f>'Step1-V1'!I37</f>
        <v>0</v>
      </c>
      <c r="J8" s="393">
        <f>'Step1-V1'!J37</f>
        <v>0</v>
      </c>
      <c r="K8" s="393">
        <f>'Step1-V1'!K37</f>
        <v>0</v>
      </c>
      <c r="L8" s="393">
        <f>'Step1-V1'!L37</f>
        <v>2.819</v>
      </c>
      <c r="M8" s="393">
        <f>'Step1-V1'!M37</f>
        <v>0</v>
      </c>
      <c r="N8" s="393">
        <f>'Step1-V1'!N37</f>
        <v>0</v>
      </c>
      <c r="O8" s="393">
        <f>'Step1-V1'!O37</f>
        <v>0</v>
      </c>
      <c r="P8" s="112"/>
      <c r="Q8" s="112"/>
    </row>
    <row r="9" spans="1:17">
      <c r="A9" s="112"/>
      <c r="B9" s="367" t="s">
        <v>215</v>
      </c>
      <c r="C9" s="404">
        <f>'Step1-V1'!D38</f>
        <v>25.010031468531466</v>
      </c>
      <c r="D9" s="404">
        <f>'Step1-V1'!E38</f>
        <v>0</v>
      </c>
      <c r="E9" s="591">
        <f>'Step1-V1'!F38+SUM(J9:O9)</f>
        <v>33.427</v>
      </c>
      <c r="F9" s="404">
        <f t="shared" si="0"/>
        <v>0</v>
      </c>
      <c r="G9" s="398">
        <f t="shared" si="1"/>
        <v>58.437031468531465</v>
      </c>
      <c r="H9" s="6"/>
      <c r="I9" s="393">
        <f>'Step1-V1'!I38</f>
        <v>0</v>
      </c>
      <c r="J9" s="393">
        <f>'Step1-V1'!J38</f>
        <v>0</v>
      </c>
      <c r="K9" s="393">
        <f>'Step1-V1'!K38</f>
        <v>0</v>
      </c>
      <c r="L9" s="393">
        <f>'Step1-V1'!L38</f>
        <v>0</v>
      </c>
      <c r="M9" s="393">
        <f>'Step1-V1'!M38</f>
        <v>0</v>
      </c>
      <c r="N9" s="393">
        <f>'Step1-V1'!N38</f>
        <v>0</v>
      </c>
      <c r="O9" s="393">
        <f>'Step1-V1'!O38</f>
        <v>0</v>
      </c>
      <c r="P9" s="112"/>
      <c r="Q9" s="112"/>
    </row>
    <row r="10" spans="1:17" s="112" customFormat="1">
      <c r="B10" s="367" t="s">
        <v>241</v>
      </c>
      <c r="C10" s="404">
        <f>'Step1-V1'!D39</f>
        <v>258.308876</v>
      </c>
      <c r="D10" s="404">
        <f>'Step1-V1'!E39</f>
        <v>33.802999999999997</v>
      </c>
      <c r="E10" s="591">
        <f>'Step1-V1'!F39+SUM(J10:O10)</f>
        <v>195.17500000000001</v>
      </c>
      <c r="F10" s="404">
        <f t="shared" si="0"/>
        <v>255.42239699999999</v>
      </c>
      <c r="G10" s="398">
        <f t="shared" si="1"/>
        <v>742.70927299999994</v>
      </c>
      <c r="H10" s="6"/>
      <c r="I10" s="393">
        <f>'Step1-V1'!I39</f>
        <v>255.42239699999999</v>
      </c>
      <c r="J10" s="393">
        <f>'Step1-V1'!J39</f>
        <v>0</v>
      </c>
      <c r="K10" s="393">
        <f>'Step1-V1'!K39</f>
        <v>0</v>
      </c>
      <c r="L10" s="393">
        <f>'Step1-V1'!L39</f>
        <v>4.0359999999999996</v>
      </c>
      <c r="M10" s="393">
        <f>'Step1-V1'!M39</f>
        <v>0</v>
      </c>
      <c r="N10" s="393">
        <f>'Step1-V1'!N39</f>
        <v>0</v>
      </c>
      <c r="O10" s="393">
        <f>'Step1-V1'!O39</f>
        <v>0</v>
      </c>
    </row>
    <row r="11" spans="1:17" s="112" customFormat="1">
      <c r="B11" s="367" t="s">
        <v>388</v>
      </c>
      <c r="C11" s="404">
        <f>'Step1-V1'!D42</f>
        <v>233.45145066666669</v>
      </c>
      <c r="D11" s="404">
        <f>'Step1-V1'!E42</f>
        <v>743.62424134996115</v>
      </c>
      <c r="E11" s="591">
        <f>'Step1-V1'!F42+SUM(J11:O11)</f>
        <v>12.331562947117295</v>
      </c>
      <c r="F11" s="404">
        <f t="shared" si="0"/>
        <v>0</v>
      </c>
      <c r="G11" s="398">
        <f t="shared" si="1"/>
        <v>989.40725496374512</v>
      </c>
      <c r="H11" s="6"/>
      <c r="I11" s="393">
        <f>'Step1-V1'!I42</f>
        <v>0</v>
      </c>
      <c r="J11" s="393">
        <f>'Step1-V1'!J42</f>
        <v>0</v>
      </c>
      <c r="K11" s="393">
        <f>'Step1-V1'!K42</f>
        <v>0</v>
      </c>
      <c r="L11" s="393">
        <f>'Step1-V1'!L42</f>
        <v>0</v>
      </c>
      <c r="M11" s="393">
        <f>'Step1-V1'!M42</f>
        <v>0</v>
      </c>
      <c r="N11" s="393">
        <f>'Step1-V1'!N42</f>
        <v>0</v>
      </c>
      <c r="O11" s="393">
        <f>'Step1-V1'!O42</f>
        <v>0</v>
      </c>
    </row>
    <row r="12" spans="1:17" s="112" customFormat="1">
      <c r="B12" s="112" t="s">
        <v>421</v>
      </c>
      <c r="C12" s="404">
        <f>'Step1-V1'!D43</f>
        <v>828.16699999999992</v>
      </c>
      <c r="D12" s="404">
        <f>'Step1-V1'!E43</f>
        <v>1303.69</v>
      </c>
      <c r="E12" s="591">
        <f>'Step1-V1'!F43</f>
        <v>36.530535656139875</v>
      </c>
      <c r="F12" s="404">
        <f t="shared" si="0"/>
        <v>60.542000000000002</v>
      </c>
      <c r="G12" s="398">
        <f>SUM(C12:F12)</f>
        <v>2228.9295356561397</v>
      </c>
      <c r="H12" s="6"/>
      <c r="I12" s="393">
        <f>'Step1-V1'!I43</f>
        <v>60.542000000000002</v>
      </c>
      <c r="J12" s="393">
        <f>'Step1-V1'!J43</f>
        <v>0</v>
      </c>
      <c r="K12" s="393">
        <f>'Step1-V1'!K43</f>
        <v>15.064</v>
      </c>
      <c r="L12" s="393">
        <f>'Step1-V1'!L43</f>
        <v>0.36</v>
      </c>
      <c r="M12" s="393">
        <f>'Step1-V1'!M43</f>
        <v>100.87700000000001</v>
      </c>
      <c r="N12" s="393">
        <f>'Step1-V1'!N43</f>
        <v>131.316</v>
      </c>
      <c r="O12" s="393">
        <f>'Step1-V1'!O43</f>
        <v>122.598</v>
      </c>
    </row>
    <row r="13" spans="1:17" s="112" customFormat="1">
      <c r="B13" s="112" t="s">
        <v>7</v>
      </c>
      <c r="C13" s="398">
        <f>SUM(C5:C12)</f>
        <v>4201.966125811181</v>
      </c>
      <c r="D13" s="398">
        <f t="shared" ref="D13:F13" si="2">SUM(D5:D12)</f>
        <v>2686.8513017934338</v>
      </c>
      <c r="E13" s="398">
        <f t="shared" si="2"/>
        <v>902.60309820170119</v>
      </c>
      <c r="F13" s="398">
        <f t="shared" si="2"/>
        <v>379.74684000000002</v>
      </c>
      <c r="G13" s="398">
        <f>SUM(C13:F13)</f>
        <v>8171.1673658063155</v>
      </c>
      <c r="H13" s="6"/>
      <c r="I13" s="394">
        <f t="shared" ref="I13" si="3">SUM(I5:I12)</f>
        <v>379.74684000000002</v>
      </c>
      <c r="J13" s="394">
        <f t="shared" ref="J13" si="4">SUM(J5:J12)</f>
        <v>0</v>
      </c>
      <c r="K13" s="394">
        <f t="shared" ref="K13" si="5">SUM(K5:K12)</f>
        <v>15.064</v>
      </c>
      <c r="L13" s="394">
        <f t="shared" ref="L13" si="6">SUM(L5:L12)</f>
        <v>7.5960000000000001</v>
      </c>
      <c r="M13" s="394">
        <f t="shared" ref="M13" si="7">SUM(M5:M12)</f>
        <v>100.87700000000001</v>
      </c>
      <c r="N13" s="394">
        <f t="shared" ref="N13" si="8">SUM(N5:N12)</f>
        <v>131.316</v>
      </c>
      <c r="O13" s="394">
        <f t="shared" ref="O13" si="9">SUM(O5:O12)</f>
        <v>122.598</v>
      </c>
    </row>
    <row r="14" spans="1:17" s="112" customFormat="1">
      <c r="C14" s="403"/>
      <c r="D14" s="403"/>
      <c r="E14" s="403"/>
      <c r="F14" s="403"/>
      <c r="G14" s="403"/>
      <c r="H14" s="6"/>
    </row>
    <row r="15" spans="1:17" s="112" customFormat="1">
      <c r="B15" s="112" t="s">
        <v>218</v>
      </c>
      <c r="C15" s="627">
        <f>'Step3-electricity '!C4</f>
        <v>0</v>
      </c>
      <c r="D15" s="627">
        <f>'Step3-electricity '!D4</f>
        <v>0</v>
      </c>
      <c r="E15" s="627">
        <f>'Step3-electricity '!E4</f>
        <v>3.4552374113249784</v>
      </c>
      <c r="F15" s="404">
        <f>I15</f>
        <v>0</v>
      </c>
      <c r="G15" s="398">
        <f>SUM(C15:F15)</f>
        <v>3.4552374113249784</v>
      </c>
      <c r="H15" s="6"/>
      <c r="I15" s="393">
        <f>'Step3-electricity '!H4</f>
        <v>0</v>
      </c>
      <c r="J15" s="393">
        <f>J$12*'Step3-electricity '!$E4/'Step3-electricity '!$E$16</f>
        <v>0</v>
      </c>
      <c r="K15" s="393">
        <f>K$12*'Step3-electricity '!$E4/'Step3-electricity '!$E$16</f>
        <v>1.4248270610172626</v>
      </c>
      <c r="L15" s="393">
        <f>L$12*'Step3-electricity '!$E4/'Step3-electricity '!$E$16</f>
        <v>3.4050567045022205E-2</v>
      </c>
      <c r="M15" s="393">
        <f>M$12*'Step3-electricity '!$E4/'Step3-electricity '!$E$16</f>
        <v>9.5414418105575152</v>
      </c>
      <c r="N15" s="393">
        <f>N$12*'Step3-electricity '!$E4/'Step3-electricity '!$E$16</f>
        <v>12.4205118391226</v>
      </c>
      <c r="O15" s="393">
        <f>O$12*'Step3-electricity '!$E4/'Step3-electricity '!$E$16</f>
        <v>11.595920607182313</v>
      </c>
    </row>
    <row r="16" spans="1:17" s="112" customFormat="1">
      <c r="B16" s="112" t="s">
        <v>219</v>
      </c>
      <c r="C16" s="627">
        <f>'Step3-electricity '!C5</f>
        <v>0</v>
      </c>
      <c r="D16" s="627">
        <f>'Step3-electricity '!D5</f>
        <v>0</v>
      </c>
      <c r="E16" s="627">
        <f>'Step3-electricity '!E5</f>
        <v>0.51584152973533559</v>
      </c>
      <c r="F16" s="404">
        <f t="shared" ref="F16:F26" si="10">I16</f>
        <v>0</v>
      </c>
      <c r="G16" s="398">
        <f t="shared" ref="G16:G26" si="11">SUM(C16:F16)</f>
        <v>0.51584152973533559</v>
      </c>
      <c r="H16" s="6"/>
      <c r="I16" s="393">
        <f>'Step3-electricity '!H5</f>
        <v>0</v>
      </c>
      <c r="J16" s="393">
        <f>J$12*'Step3-electricity '!$E5/'Step3-electricity '!$E$16</f>
        <v>0</v>
      </c>
      <c r="K16" s="393">
        <f>K$12*'Step3-electricity '!$E5/'Step3-electricity '!$E$16</f>
        <v>0.21271619957414234</v>
      </c>
      <c r="L16" s="393">
        <f>L$12*'Step3-electricity '!$E5/'Step3-electricity '!$E$16</f>
        <v>5.0834991932216704E-3</v>
      </c>
      <c r="M16" s="393">
        <f>M$12*'Step3-electricity '!$E5/'Step3-electricity '!$E$16</f>
        <v>1.4244670780961737</v>
      </c>
      <c r="N16" s="393">
        <f>N$12*'Step3-electricity '!$E5/'Step3-electricity '!$E$16</f>
        <v>1.8542910557141581</v>
      </c>
      <c r="O16" s="393">
        <f>O$12*'Step3-electricity '!$E5/'Step3-electricity '!$E$16</f>
        <v>1.7311856502516398</v>
      </c>
    </row>
    <row r="17" spans="1:15" s="112" customFormat="1">
      <c r="B17" s="112" t="s">
        <v>171</v>
      </c>
      <c r="C17" s="627">
        <f>'Step3-electricity '!C6</f>
        <v>0</v>
      </c>
      <c r="D17" s="627">
        <f>'Step3-electricity '!D6</f>
        <v>0</v>
      </c>
      <c r="E17" s="627">
        <f>'Step3-electricity '!E6</f>
        <v>0.74823261235103489</v>
      </c>
      <c r="F17" s="404">
        <f t="shared" si="10"/>
        <v>0</v>
      </c>
      <c r="G17" s="398">
        <f t="shared" si="11"/>
        <v>0.74823261235103489</v>
      </c>
      <c r="H17" s="6"/>
      <c r="I17" s="393">
        <f>'Step3-electricity '!H6</f>
        <v>0</v>
      </c>
      <c r="J17" s="393">
        <f>J$12*'Step3-electricity '!$E6/'Step3-electricity '!$E$16</f>
        <v>0</v>
      </c>
      <c r="K17" s="393">
        <f>K$12*'Step3-electricity '!$E6/'Step3-electricity '!$E$16</f>
        <v>0.30854669219519015</v>
      </c>
      <c r="L17" s="393">
        <f>L$12*'Step3-electricity '!$E6/'Step3-electricity '!$E$16</f>
        <v>7.3736596647814958E-3</v>
      </c>
      <c r="M17" s="393">
        <f>M$12*'Step3-electricity '!$E6/'Step3-electricity '!$E$16</f>
        <v>2.0662018500115638</v>
      </c>
      <c r="N17" s="393">
        <f>N$12*'Step3-electricity '!$E6/'Step3-electricity '!$E$16</f>
        <v>2.6896652570567969</v>
      </c>
      <c r="O17" s="393">
        <f>O$12*'Step3-electricity '!$E6/'Step3-electricity '!$E$16</f>
        <v>2.5110997988413386</v>
      </c>
    </row>
    <row r="18" spans="1:15" s="112" customFormat="1">
      <c r="B18" s="112" t="s">
        <v>11</v>
      </c>
      <c r="C18" s="627">
        <f>'Step3-electricity '!C7</f>
        <v>0</v>
      </c>
      <c r="D18" s="627">
        <f>'Step3-electricity '!D7</f>
        <v>0</v>
      </c>
      <c r="E18" s="627">
        <f>'Step3-electricity '!E7</f>
        <v>2.4028706421451241E-3</v>
      </c>
      <c r="F18" s="404">
        <f t="shared" si="10"/>
        <v>0</v>
      </c>
      <c r="G18" s="398">
        <f t="shared" si="11"/>
        <v>2.4028706421451241E-3</v>
      </c>
      <c r="H18" s="6"/>
      <c r="I18" s="393">
        <f>'Step3-electricity '!H7</f>
        <v>0</v>
      </c>
      <c r="J18" s="393">
        <f>J$12*'Step3-electricity '!$E7/'Step3-electricity '!$E$16</f>
        <v>0</v>
      </c>
      <c r="K18" s="393">
        <f>K$12*'Step3-electricity '!$E7/'Step3-electricity '!$E$16</f>
        <v>9.9086537551103466E-4</v>
      </c>
      <c r="L18" s="393">
        <f>L$12*'Step3-electricity '!$E7/'Step3-electricity '!$E$16</f>
        <v>2.3679735474241396E-5</v>
      </c>
      <c r="M18" s="393">
        <f>M$12*'Step3-electricity '!$E7/'Step3-electricity '!$E$16</f>
        <v>6.6353907650973602E-3</v>
      </c>
      <c r="N18" s="393">
        <f>N$12*'Step3-electricity '!$E7/'Step3-electricity '!$E$16</f>
        <v>8.6375781764874548E-3</v>
      </c>
      <c r="O18" s="393">
        <f>O$12*'Step3-electricity '!$E7/'Step3-electricity '!$E$16</f>
        <v>8.0641339157529086E-3</v>
      </c>
    </row>
    <row r="19" spans="1:15" s="112" customFormat="1">
      <c r="B19" s="112" t="s">
        <v>220</v>
      </c>
      <c r="C19" s="627">
        <f>'Step3-electricity '!C8</f>
        <v>0</v>
      </c>
      <c r="D19" s="627">
        <f>'Step3-electricity '!D8</f>
        <v>18.512329646008801</v>
      </c>
      <c r="E19" s="627">
        <f>'Step3-electricity '!E8</f>
        <v>0.27437083074119933</v>
      </c>
      <c r="F19" s="404">
        <f t="shared" si="10"/>
        <v>0</v>
      </c>
      <c r="G19" s="398">
        <f t="shared" si="11"/>
        <v>18.786700476749999</v>
      </c>
      <c r="H19" s="6"/>
      <c r="I19" s="393">
        <f>'Step3-electricity '!H8</f>
        <v>0</v>
      </c>
      <c r="J19" s="393">
        <f>J$12*'Step3-electricity '!$E8/'Step3-electricity '!$E$16</f>
        <v>0</v>
      </c>
      <c r="K19" s="393">
        <f>K$12*'Step3-electricity '!$E8/'Step3-electricity '!$E$16</f>
        <v>0.11314156969721445</v>
      </c>
      <c r="L19" s="393">
        <f>L$12*'Step3-electricity '!$E8/'Step3-electricity '!$E$16</f>
        <v>2.7038611982871216E-3</v>
      </c>
      <c r="M19" s="393">
        <f>M$12*'Step3-electricity '!$E8/'Step3-electricity '!$E$16</f>
        <v>0.75765946138780549</v>
      </c>
      <c r="N19" s="393">
        <f>N$12*'Step3-electricity '!$E8/'Step3-electricity '!$E$16</f>
        <v>0.98627843642853241</v>
      </c>
      <c r="O19" s="393">
        <f>O$12*'Step3-electricity '!$E8/'Step3-electricity '!$E$16</f>
        <v>0.92079993107667912</v>
      </c>
    </row>
    <row r="20" spans="1:15" s="112" customFormat="1">
      <c r="B20" s="112" t="s">
        <v>365</v>
      </c>
      <c r="C20" s="627">
        <f>'Step3-electricity '!C9</f>
        <v>0</v>
      </c>
      <c r="D20" s="627">
        <f>'Step3-electricity '!D9</f>
        <v>10.895026555550661</v>
      </c>
      <c r="E20" s="627">
        <f>'Step3-electricity '!E9</f>
        <v>0.16147494908283141</v>
      </c>
      <c r="F20" s="404">
        <f t="shared" si="10"/>
        <v>60.542000000000002</v>
      </c>
      <c r="G20" s="398">
        <f t="shared" si="11"/>
        <v>71.598501504633489</v>
      </c>
      <c r="H20" s="6"/>
      <c r="I20" s="393">
        <f>'Step3-electricity '!H9</f>
        <v>60.542000000000002</v>
      </c>
      <c r="J20" s="393">
        <f>J$12*'Step3-electricity '!$E9/'Step3-electricity '!$E$16</f>
        <v>0</v>
      </c>
      <c r="K20" s="393">
        <f>K$12*'Step3-electricity '!$E9/'Step3-electricity '!$E$16</f>
        <v>6.6586995259864501E-2</v>
      </c>
      <c r="L20" s="393">
        <f>L$12*'Step3-electricity '!$E9/'Step3-electricity '!$E$16</f>
        <v>1.5912983466244833E-3</v>
      </c>
      <c r="M20" s="393">
        <f>M$12*'Step3-electricity '!$E9/'Step3-electricity '!$E$16</f>
        <v>0.44590389809010567</v>
      </c>
      <c r="N20" s="393">
        <f>N$12*'Step3-electricity '!$E9/'Step3-electricity '!$E$16</f>
        <v>0.58045259357039081</v>
      </c>
      <c r="O20" s="393">
        <f>O$12*'Step3-electricity '!$E9/'Step3-electricity '!$E$16</f>
        <v>0.54191665194296779</v>
      </c>
    </row>
    <row r="21" spans="1:15" s="112" customFormat="1">
      <c r="B21" s="112" t="s">
        <v>366</v>
      </c>
      <c r="C21" s="627">
        <f>'Step3-electricity '!C10</f>
        <v>0</v>
      </c>
      <c r="D21" s="627">
        <f>'Step3-electricity '!D10</f>
        <v>0</v>
      </c>
      <c r="E21" s="627">
        <f>'Step3-electricity '!E10</f>
        <v>7.0719750089882986E-5</v>
      </c>
      <c r="F21" s="404">
        <f t="shared" si="10"/>
        <v>0</v>
      </c>
      <c r="G21" s="398">
        <f t="shared" si="11"/>
        <v>7.0719750089882986E-5</v>
      </c>
      <c r="H21" s="6"/>
      <c r="I21" s="393">
        <f>'Step3-electricity '!H10</f>
        <v>0</v>
      </c>
      <c r="J21" s="393">
        <f>J$12*'Step3-electricity '!$E10/'Step3-electricity '!$E$16</f>
        <v>0</v>
      </c>
      <c r="K21" s="393">
        <f>K$12*'Step3-electricity '!$E10/'Step3-electricity '!$E$16</f>
        <v>2.9162515243143181E-5</v>
      </c>
      <c r="L21" s="393">
        <f>L$12*'Step3-electricity '!$E10/'Step3-electricity '!$E$16</f>
        <v>6.9692681143995908E-7</v>
      </c>
      <c r="M21" s="393">
        <f>M$12*'Step3-electricity '!$E10/'Step3-electricity '!$E$16</f>
        <v>1.9528857210452435E-4</v>
      </c>
      <c r="N21" s="393">
        <f>N$12*'Step3-electricity '!$E10/'Step3-electricity '!$E$16</f>
        <v>2.5421566991958245E-4</v>
      </c>
      <c r="O21" s="393">
        <f>O$12*'Step3-electricity '!$E10/'Step3-electricity '!$E$16</f>
        <v>2.3733842563587808E-4</v>
      </c>
    </row>
    <row r="22" spans="1:15" s="112" customFormat="1">
      <c r="A22" s="371"/>
      <c r="B22" s="112" t="s">
        <v>187</v>
      </c>
      <c r="C22" s="627">
        <f>'Step3-electricity '!C11</f>
        <v>0</v>
      </c>
      <c r="D22" s="627">
        <f>'Step3-electricity '!D11</f>
        <v>0</v>
      </c>
      <c r="E22" s="627">
        <f>'Step3-electricity '!E11</f>
        <v>1.454606009251479</v>
      </c>
      <c r="F22" s="404">
        <f t="shared" si="10"/>
        <v>0</v>
      </c>
      <c r="G22" s="398">
        <f t="shared" si="11"/>
        <v>1.454606009251479</v>
      </c>
      <c r="H22" s="378"/>
      <c r="I22" s="393">
        <f>'Step3-electricity '!H11</f>
        <v>0</v>
      </c>
      <c r="J22" s="393">
        <f>J$12*'Step3-electricity '!$E11/'Step3-electricity '!$E$16</f>
        <v>0</v>
      </c>
      <c r="K22" s="393">
        <f>K$12*'Step3-electricity '!$E11/'Step3-electricity '!$E$16</f>
        <v>0.5998320110527714</v>
      </c>
      <c r="L22" s="393">
        <f>L$12*'Step3-electricity '!$E11/'Step3-electricity '!$E$16</f>
        <v>1.4334806424521887E-2</v>
      </c>
      <c r="M22" s="393">
        <f>M$12*'Step3-electricity '!$E11/'Step3-electricity '!$E$16</f>
        <v>4.0168118546847067</v>
      </c>
      <c r="N22" s="393">
        <f>N$12*'Step3-electricity '!$E11/'Step3-electricity '!$E$16</f>
        <v>5.2288595567847675</v>
      </c>
      <c r="O22" s="393">
        <f>O$12*'Step3-electricity '!$E11/'Step3-electricity '!$E$16</f>
        <v>4.8817183278709289</v>
      </c>
    </row>
    <row r="23" spans="1:15" s="112" customFormat="1">
      <c r="A23" s="371"/>
      <c r="B23" s="111" t="s">
        <v>222</v>
      </c>
      <c r="C23" s="627">
        <f>'Step3-electricity '!C12</f>
        <v>339.90100000000001</v>
      </c>
      <c r="D23" s="627">
        <f>'Step3-electricity '!D12</f>
        <v>0</v>
      </c>
      <c r="E23" s="627">
        <f>'Step3-electricity '!E12</f>
        <v>4.4243572746439863</v>
      </c>
      <c r="F23" s="404">
        <f t="shared" si="10"/>
        <v>0</v>
      </c>
      <c r="G23" s="398">
        <f t="shared" si="11"/>
        <v>344.32535727464398</v>
      </c>
      <c r="H23" s="378"/>
      <c r="I23" s="393">
        <f>'Step3-electricity '!H12</f>
        <v>0</v>
      </c>
      <c r="J23" s="393">
        <f>J$12*'Step3-electricity '!$E12/'Step3-electricity '!$E$16</f>
        <v>0</v>
      </c>
      <c r="K23" s="393">
        <f>K$12*'Step3-electricity '!$E12/'Step3-electricity '!$E$16</f>
        <v>1.8244604413749865</v>
      </c>
      <c r="L23" s="393">
        <f>L$12*'Step3-electricity '!$E12/'Step3-electricity '!$E$16</f>
        <v>4.360101957614148E-2</v>
      </c>
      <c r="M23" s="393">
        <f>M$12*'Step3-electricity '!$E12/'Step3-electricity '!$E$16</f>
        <v>12.217611254951178</v>
      </c>
      <c r="N23" s="393">
        <f>N$12*'Step3-electricity '!$E12/'Step3-electricity '!$E$16</f>
        <v>15.904198574057206</v>
      </c>
      <c r="O23" s="393">
        <f>O$12*'Step3-electricity '!$E12/'Step3-electricity '!$E$16</f>
        <v>14.84832721665498</v>
      </c>
    </row>
    <row r="24" spans="1:15" s="112" customFormat="1">
      <c r="A24" s="371"/>
      <c r="B24" s="111" t="s">
        <v>224</v>
      </c>
      <c r="C24" s="627">
        <f>'Step3-electricity '!C13</f>
        <v>361.71133899901304</v>
      </c>
      <c r="D24" s="627">
        <f>'Step3-electricity '!D13</f>
        <v>1274.2826437984406</v>
      </c>
      <c r="E24" s="627">
        <f>'Step3-electricity '!E13</f>
        <v>18.886115052161905</v>
      </c>
      <c r="F24" s="404">
        <f t="shared" si="10"/>
        <v>0</v>
      </c>
      <c r="G24" s="398">
        <f t="shared" si="11"/>
        <v>1654.8800978496154</v>
      </c>
      <c r="H24" s="378"/>
      <c r="I24" s="393">
        <f>'Step3-electricity '!H13</f>
        <v>0</v>
      </c>
      <c r="J24" s="393">
        <f>J$12*'Step3-electricity '!$E13/'Step3-electricity '!$E$16</f>
        <v>0</v>
      </c>
      <c r="K24" s="393">
        <f>K$12*'Step3-electricity '!$E13/'Step3-electricity '!$E$16</f>
        <v>7.7880170304959684</v>
      </c>
      <c r="L24" s="393">
        <f>L$12*'Step3-electricity '!$E13/'Step3-electricity '!$E$16</f>
        <v>0.18611830396830509</v>
      </c>
      <c r="M24" s="393">
        <f>M$12*'Step3-electricity '!$E13/'Step3-electricity '!$E$16</f>
        <v>52.152933748363104</v>
      </c>
      <c r="N24" s="393">
        <f>N$12*'Step3-electricity '!$E13/'Step3-electricity '!$E$16</f>
        <v>67.889753344172092</v>
      </c>
      <c r="O24" s="393">
        <f>O$12*'Step3-electricity '!$E13/'Step3-electricity '!$E$16</f>
        <v>63.382588416406307</v>
      </c>
    </row>
    <row r="25" spans="1:15" s="112" customFormat="1">
      <c r="A25" s="371"/>
      <c r="B25" s="111" t="s">
        <v>223</v>
      </c>
      <c r="C25" s="627">
        <f>'Step3-electricity '!C14</f>
        <v>5.2566237814873338</v>
      </c>
      <c r="D25" s="627">
        <f>'Step3-electricity '!D14</f>
        <v>0</v>
      </c>
      <c r="E25" s="627">
        <f>'Step3-electricity '!E14</f>
        <v>0.27446527332495663</v>
      </c>
      <c r="F25" s="404">
        <f t="shared" si="10"/>
        <v>0</v>
      </c>
      <c r="G25" s="398">
        <f t="shared" si="11"/>
        <v>5.5310890548122904</v>
      </c>
      <c r="H25" s="378"/>
      <c r="I25" s="393">
        <f>'Step3-electricity '!H14</f>
        <v>0</v>
      </c>
      <c r="J25" s="393">
        <f>J$12*'Step3-electricity '!$E14/'Step3-electricity '!$E$16</f>
        <v>0</v>
      </c>
      <c r="K25" s="393">
        <f>K$12*'Step3-electricity '!$E14/'Step3-electricity '!$E$16</f>
        <v>0.11318051473427868</v>
      </c>
      <c r="L25" s="393">
        <f>L$12*'Step3-electricity '!$E14/'Step3-electricity '!$E$16</f>
        <v>2.7047919081479234E-3</v>
      </c>
      <c r="M25" s="393">
        <f>M$12*'Step3-electricity '!$E14/'Step3-electricity '!$E$16</f>
        <v>0.7579202592173282</v>
      </c>
      <c r="N25" s="393">
        <f>N$12*'Step3-electricity '!$E14/'Step3-electricity '!$E$16</f>
        <v>0.98661792836209095</v>
      </c>
      <c r="O25" s="393">
        <f>O$12*'Step3-electricity '!$E14/'Step3-electricity '!$E$16</f>
        <v>0.92111688431977545</v>
      </c>
    </row>
    <row r="26" spans="1:15" s="112" customFormat="1">
      <c r="A26" s="371"/>
      <c r="B26" s="111" t="s">
        <v>221</v>
      </c>
      <c r="C26" s="627">
        <f>'Step3-electricity '!C15</f>
        <v>121.29803721949962</v>
      </c>
      <c r="D26" s="627">
        <f>'Step3-electricity '!D15</f>
        <v>0</v>
      </c>
      <c r="E26" s="627">
        <f>'Step3-electricity '!E15</f>
        <v>6.3333615497609204</v>
      </c>
      <c r="F26" s="404">
        <f t="shared" si="10"/>
        <v>0</v>
      </c>
      <c r="G26" s="398">
        <f t="shared" si="11"/>
        <v>127.63139876926054</v>
      </c>
      <c r="H26" s="378"/>
      <c r="I26" s="393">
        <f>'Step3-electricity '!H15</f>
        <v>0</v>
      </c>
      <c r="J26" s="393">
        <f>J$12*'Step3-electricity '!$E15/'Step3-electricity '!$E$16</f>
        <v>0</v>
      </c>
      <c r="K26" s="393">
        <f>K$12*'Step3-electricity '!$E15/'Step3-electricity '!$E$16</f>
        <v>2.6116714567075663</v>
      </c>
      <c r="L26" s="393">
        <f>L$12*'Step3-electricity '!$E15/'Step3-electricity '!$E$16</f>
        <v>6.2413816012660904E-2</v>
      </c>
      <c r="M26" s="393">
        <f>M$12*'Step3-electricity '!$E15/'Step3-electricity '!$E$16</f>
        <v>17.489218105303319</v>
      </c>
      <c r="N26" s="393">
        <f>N$12*'Step3-electricity '!$E15/'Step3-electricity '!$E$16</f>
        <v>22.766479620884944</v>
      </c>
      <c r="O26" s="393">
        <f>O$12*'Step3-electricity '!$E15/'Step3-electricity '!$E$16</f>
        <v>21.255025043111672</v>
      </c>
    </row>
    <row r="27" spans="1:15" s="112" customFormat="1">
      <c r="A27" s="371"/>
      <c r="B27" s="375" t="s">
        <v>742</v>
      </c>
      <c r="C27" s="398">
        <f>SUM(C15:C26)</f>
        <v>828.16699999999992</v>
      </c>
      <c r="D27" s="398">
        <f>SUM(D15:D26)</f>
        <v>1303.69</v>
      </c>
      <c r="E27" s="398">
        <f>SUM(E15:E26)</f>
        <v>36.530536082770865</v>
      </c>
      <c r="F27" s="398">
        <f>SUM(F15:F26)</f>
        <v>60.542000000000002</v>
      </c>
      <c r="G27" s="398">
        <f>SUM(G15:G26)</f>
        <v>2228.9295360827705</v>
      </c>
      <c r="H27" s="378"/>
      <c r="I27" s="394">
        <f>SUM(I15:I26)</f>
        <v>60.542000000000002</v>
      </c>
      <c r="J27" s="394">
        <f t="shared" ref="J27:O27" si="12">SUM(J15:J26)</f>
        <v>0</v>
      </c>
      <c r="K27" s="394">
        <f t="shared" si="12"/>
        <v>15.064</v>
      </c>
      <c r="L27" s="394">
        <f t="shared" si="12"/>
        <v>0.35999999999999993</v>
      </c>
      <c r="M27" s="394">
        <f t="shared" si="12"/>
        <v>100.87700000000001</v>
      </c>
      <c r="N27" s="394">
        <f t="shared" si="12"/>
        <v>131.31599999999997</v>
      </c>
      <c r="O27" s="394">
        <f t="shared" si="12"/>
        <v>122.59799999999998</v>
      </c>
    </row>
    <row r="28" spans="1:15" s="112" customFormat="1">
      <c r="A28" s="371"/>
      <c r="B28" s="111"/>
      <c r="C28" s="372"/>
      <c r="D28" s="373"/>
      <c r="E28" s="113"/>
      <c r="F28" s="136"/>
      <c r="G28" s="136"/>
      <c r="H28" s="378"/>
    </row>
    <row r="29" spans="1:15" s="112" customFormat="1">
      <c r="A29" s="371"/>
      <c r="B29" s="6"/>
      <c r="C29" s="6"/>
      <c r="D29" s="6"/>
      <c r="E29" s="389"/>
      <c r="F29" s="390"/>
      <c r="G29" s="136"/>
      <c r="H29" s="378"/>
    </row>
    <row r="30" spans="1:15" s="112" customFormat="1">
      <c r="A30" s="371"/>
      <c r="B30" s="6"/>
      <c r="C30" s="6"/>
      <c r="D30" s="6"/>
      <c r="E30" s="389"/>
      <c r="F30" s="390"/>
      <c r="G30" s="136"/>
      <c r="H30" s="378"/>
    </row>
    <row r="31" spans="1:15" s="112" customFormat="1"/>
    <row r="32" spans="1:15" s="112" customFormat="1" ht="30">
      <c r="C32" s="399" t="s">
        <v>419</v>
      </c>
      <c r="D32" s="399" t="s">
        <v>384</v>
      </c>
      <c r="E32" s="399" t="s">
        <v>172</v>
      </c>
      <c r="F32" s="408" t="s">
        <v>386</v>
      </c>
      <c r="G32" s="399" t="s">
        <v>7</v>
      </c>
      <c r="H32" s="405"/>
      <c r="I32" s="149" t="s">
        <v>747</v>
      </c>
      <c r="J32" s="149" t="s">
        <v>385</v>
      </c>
      <c r="K32" s="149" t="s">
        <v>219</v>
      </c>
      <c r="L32" s="149" t="s">
        <v>11</v>
      </c>
      <c r="M32" s="149" t="s">
        <v>218</v>
      </c>
      <c r="N32" s="149" t="s">
        <v>171</v>
      </c>
      <c r="O32" s="149" t="s">
        <v>187</v>
      </c>
    </row>
    <row r="33" spans="1:15" s="112" customFormat="1">
      <c r="A33" s="112">
        <v>1</v>
      </c>
      <c r="B33" s="111" t="s">
        <v>197</v>
      </c>
      <c r="C33" s="389">
        <f>'Step1-V1'!D3</f>
        <v>117.85555327330248</v>
      </c>
      <c r="D33" s="389">
        <f>'Step1-V1'!E3</f>
        <v>6.5447287070636406E-2</v>
      </c>
      <c r="E33" s="406">
        <f>'Step1-V1'!F3+SUM('Resumen all energy'!J33:O33)</f>
        <v>35.28284473921137</v>
      </c>
      <c r="F33" s="374">
        <f>I33</f>
        <v>0</v>
      </c>
      <c r="G33" s="113">
        <f>SUM(C33:F33)</f>
        <v>153.20384529958449</v>
      </c>
      <c r="I33" s="374">
        <f>'Step1-V1'!I3</f>
        <v>0</v>
      </c>
      <c r="J33" s="374">
        <f>'Step1-V1'!J3</f>
        <v>0</v>
      </c>
      <c r="K33" s="374">
        <f>'Step1-V1'!K3</f>
        <v>0</v>
      </c>
      <c r="L33" s="374">
        <f>'Step1-V1'!L3</f>
        <v>0</v>
      </c>
      <c r="M33" s="374">
        <f>'Step1-V1'!M3</f>
        <v>0</v>
      </c>
      <c r="N33" s="374">
        <f>'Step1-V1'!N3</f>
        <v>0</v>
      </c>
      <c r="O33" s="374">
        <f>'Step1-V1'!O3</f>
        <v>0</v>
      </c>
    </row>
    <row r="34" spans="1:15" s="112" customFormat="1">
      <c r="A34" s="112">
        <v>2</v>
      </c>
      <c r="B34" s="111" t="s">
        <v>198</v>
      </c>
      <c r="C34" s="389">
        <f>'Step1-V1'!D4</f>
        <v>3.7315797266975155</v>
      </c>
      <c r="D34" s="389">
        <f>'Step1-V1'!E4</f>
        <v>0</v>
      </c>
      <c r="E34" s="406">
        <f>'Step1-V1'!F4+SUM('Resumen all energy'!J34:O34)</f>
        <v>1.7451552607886325</v>
      </c>
      <c r="F34" s="374">
        <f t="shared" ref="F34:F54" si="13">I34</f>
        <v>0</v>
      </c>
      <c r="G34" s="113">
        <f t="shared" ref="G34:G54" si="14">SUM(C34:F34)</f>
        <v>5.4767349874861484</v>
      </c>
      <c r="I34" s="374">
        <f>'Step1-V1'!I4</f>
        <v>0</v>
      </c>
      <c r="J34" s="374">
        <f>'Step1-V1'!J4</f>
        <v>0</v>
      </c>
      <c r="K34" s="374">
        <f>'Step1-V1'!K4</f>
        <v>0</v>
      </c>
      <c r="L34" s="374">
        <f>'Step1-V1'!L4</f>
        <v>0</v>
      </c>
      <c r="M34" s="374">
        <f>'Step1-V1'!M4</f>
        <v>0</v>
      </c>
      <c r="N34" s="374">
        <f>'Step1-V1'!N4</f>
        <v>0</v>
      </c>
      <c r="O34" s="374">
        <f>'Step1-V1'!O4</f>
        <v>0</v>
      </c>
    </row>
    <row r="35" spans="1:15" s="112" customFormat="1">
      <c r="A35" s="112">
        <v>3</v>
      </c>
      <c r="B35" s="111" t="s">
        <v>199</v>
      </c>
      <c r="C35" s="389">
        <f>'Step1-V1'!D5</f>
        <v>35.061462074223648</v>
      </c>
      <c r="D35" s="389">
        <f>'Step1-V1'!E5</f>
        <v>114.56665185367522</v>
      </c>
      <c r="E35" s="406">
        <f>'Step1-V1'!F5+SUM('Resumen all energy'!J35:O35)</f>
        <v>85.297563558890204</v>
      </c>
      <c r="F35" s="374">
        <f t="shared" si="13"/>
        <v>59.526828000000002</v>
      </c>
      <c r="G35" s="113">
        <f t="shared" si="14"/>
        <v>294.45250548678911</v>
      </c>
      <c r="I35" s="374">
        <f>'Step1-V1'!I5</f>
        <v>59.526828000000002</v>
      </c>
      <c r="J35" s="374">
        <f>'Step1-V1'!J5</f>
        <v>0</v>
      </c>
      <c r="K35" s="374">
        <f>'Step1-V1'!K5</f>
        <v>0</v>
      </c>
      <c r="L35" s="374">
        <f>'Step1-V1'!L5</f>
        <v>0</v>
      </c>
      <c r="M35" s="374">
        <f>'Step1-V1'!M5</f>
        <v>0</v>
      </c>
      <c r="N35" s="374">
        <f>'Step1-V1'!N5</f>
        <v>0</v>
      </c>
      <c r="O35" s="374">
        <f>'Step1-V1'!O5</f>
        <v>0</v>
      </c>
    </row>
    <row r="36" spans="1:15" s="112" customFormat="1">
      <c r="A36" s="112">
        <v>4</v>
      </c>
      <c r="B36" s="111" t="s">
        <v>200</v>
      </c>
      <c r="C36" s="389">
        <f>'Step1-V1'!D6</f>
        <v>6.5815885591690089</v>
      </c>
      <c r="D36" s="389">
        <f>'Step1-V1'!E6</f>
        <v>28.365551133950763</v>
      </c>
      <c r="E36" s="406">
        <f>'Step1-V1'!F6+SUM('Resumen all energy'!J36:O36)</f>
        <v>18.352641897238456</v>
      </c>
      <c r="F36" s="374">
        <f t="shared" si="13"/>
        <v>0</v>
      </c>
      <c r="G36" s="113">
        <f t="shared" si="14"/>
        <v>53.299781590358229</v>
      </c>
      <c r="I36" s="374">
        <f>'Step1-V1'!I6</f>
        <v>0</v>
      </c>
      <c r="J36" s="374">
        <f>'Step1-V1'!J6</f>
        <v>0</v>
      </c>
      <c r="K36" s="374">
        <f>'Step1-V1'!K6</f>
        <v>0</v>
      </c>
      <c r="L36" s="374">
        <f>'Step1-V1'!L6</f>
        <v>0</v>
      </c>
      <c r="M36" s="374">
        <f>'Step1-V1'!M6</f>
        <v>0</v>
      </c>
      <c r="N36" s="374">
        <f>'Step1-V1'!N6</f>
        <v>0</v>
      </c>
      <c r="O36" s="374">
        <f>'Step1-V1'!O6</f>
        <v>0</v>
      </c>
    </row>
    <row r="37" spans="1:15" s="112" customFormat="1">
      <c r="A37" s="112">
        <v>5</v>
      </c>
      <c r="B37" s="111" t="s">
        <v>201</v>
      </c>
      <c r="C37" s="389">
        <f>'Step1-V1'!D7</f>
        <v>106.4849762345815</v>
      </c>
      <c r="D37" s="389">
        <f>'Step1-V1'!E7</f>
        <v>291.70216964079231</v>
      </c>
      <c r="E37" s="406">
        <f>'Step1-V1'!F7+SUM('Resumen all energy'!J37:O37)</f>
        <v>22.429515008831267</v>
      </c>
      <c r="F37" s="374">
        <f t="shared" si="13"/>
        <v>0</v>
      </c>
      <c r="G37" s="113">
        <f t="shared" si="14"/>
        <v>420.61666088420509</v>
      </c>
      <c r="I37" s="374">
        <f>'Step1-V1'!I7</f>
        <v>0</v>
      </c>
      <c r="J37" s="374">
        <f>'Step1-V1'!J7</f>
        <v>0</v>
      </c>
      <c r="K37" s="374">
        <f>'Step1-V1'!K7</f>
        <v>0</v>
      </c>
      <c r="L37" s="374">
        <f>'Step1-V1'!L7</f>
        <v>0</v>
      </c>
      <c r="M37" s="374">
        <f>'Step1-V1'!M7</f>
        <v>0</v>
      </c>
      <c r="N37" s="374">
        <f>'Step1-V1'!N7</f>
        <v>0</v>
      </c>
      <c r="O37" s="374">
        <f>'Step1-V1'!O7</f>
        <v>0</v>
      </c>
    </row>
    <row r="38" spans="1:15" s="112" customFormat="1">
      <c r="A38" s="112">
        <v>6</v>
      </c>
      <c r="B38" s="111" t="s">
        <v>202</v>
      </c>
      <c r="C38" s="389">
        <f>'Step1-V1'!D8</f>
        <v>9.5619655868946705</v>
      </c>
      <c r="D38" s="389">
        <f>'Step1-V1'!E8</f>
        <v>0.59378885509566059</v>
      </c>
      <c r="E38" s="406">
        <f>'Step1-V1'!F8+SUM('Resumen all energy'!J38:O38)</f>
        <v>36.469103949311219</v>
      </c>
      <c r="F38" s="374">
        <f t="shared" si="13"/>
        <v>0</v>
      </c>
      <c r="G38" s="113">
        <f t="shared" si="14"/>
        <v>46.624858391301551</v>
      </c>
      <c r="I38" s="374">
        <f>'Step1-V1'!I8</f>
        <v>0</v>
      </c>
      <c r="J38" s="374">
        <f>'Step1-V1'!J8</f>
        <v>0</v>
      </c>
      <c r="K38" s="374">
        <f>'Step1-V1'!K8</f>
        <v>0</v>
      </c>
      <c r="L38" s="374">
        <f>'Step1-V1'!L8</f>
        <v>0</v>
      </c>
      <c r="M38" s="374">
        <f>'Step1-V1'!M8</f>
        <v>0</v>
      </c>
      <c r="N38" s="374">
        <f>'Step1-V1'!N8</f>
        <v>0</v>
      </c>
      <c r="O38" s="374">
        <f>'Step1-V1'!O8</f>
        <v>0</v>
      </c>
    </row>
    <row r="39" spans="1:15" s="112" customFormat="1">
      <c r="A39" s="112">
        <v>7</v>
      </c>
      <c r="B39" s="111" t="s">
        <v>203</v>
      </c>
      <c r="C39" s="389">
        <f>'Step1-V1'!D9</f>
        <v>18.396719470326147</v>
      </c>
      <c r="D39" s="389">
        <f>'Step1-V1'!E9</f>
        <v>20.16167846846837</v>
      </c>
      <c r="E39" s="406">
        <f>'Step1-V1'!F9+SUM('Resumen all energy'!J39:O39)</f>
        <v>20.39679574649913</v>
      </c>
      <c r="F39" s="374">
        <f t="shared" si="13"/>
        <v>0</v>
      </c>
      <c r="G39" s="113">
        <f t="shared" si="14"/>
        <v>58.955193685293644</v>
      </c>
      <c r="I39" s="374">
        <f>'Step1-V1'!I9</f>
        <v>0</v>
      </c>
      <c r="J39" s="374">
        <f>'Step1-V1'!J9</f>
        <v>0</v>
      </c>
      <c r="K39" s="374">
        <f>'Step1-V1'!K9</f>
        <v>0</v>
      </c>
      <c r="L39" s="374">
        <f>'Step1-V1'!L9</f>
        <v>0</v>
      </c>
      <c r="M39" s="374">
        <f>'Step1-V1'!M9</f>
        <v>0</v>
      </c>
      <c r="N39" s="374">
        <f>'Step1-V1'!N9</f>
        <v>0</v>
      </c>
      <c r="O39" s="374">
        <f>'Step1-V1'!O9</f>
        <v>0</v>
      </c>
    </row>
    <row r="40" spans="1:15" s="112" customFormat="1">
      <c r="A40" s="112">
        <v>8</v>
      </c>
      <c r="B40" s="111" t="s">
        <v>204</v>
      </c>
      <c r="C40" s="389">
        <f>'Step1-V1'!D10</f>
        <v>19.773732006934061</v>
      </c>
      <c r="D40" s="389">
        <f>'Step1-V1'!E10</f>
        <v>14.683862966835878</v>
      </c>
      <c r="E40" s="406">
        <f>'Step1-V1'!F10+SUM('Resumen all energy'!J40:O40)</f>
        <v>94.430589685056972</v>
      </c>
      <c r="F40" s="374">
        <f t="shared" si="13"/>
        <v>0</v>
      </c>
      <c r="G40" s="113">
        <f t="shared" si="14"/>
        <v>128.8881846588269</v>
      </c>
      <c r="I40" s="374">
        <f>'Step1-V1'!I10</f>
        <v>0</v>
      </c>
      <c r="J40" s="374">
        <f>'Step1-V1'!J10</f>
        <v>0</v>
      </c>
      <c r="K40" s="374">
        <f>'Step1-V1'!K10</f>
        <v>0</v>
      </c>
      <c r="L40" s="374">
        <f>'Step1-V1'!L10</f>
        <v>0</v>
      </c>
      <c r="M40" s="374">
        <f>'Step1-V1'!M10</f>
        <v>0</v>
      </c>
      <c r="N40" s="374">
        <f>'Step1-V1'!N10</f>
        <v>0</v>
      </c>
      <c r="O40" s="374">
        <f>'Step1-V1'!O10</f>
        <v>0</v>
      </c>
    </row>
    <row r="41" spans="1:15" s="112" customFormat="1">
      <c r="A41" s="112">
        <v>9</v>
      </c>
      <c r="B41" s="111" t="s">
        <v>205</v>
      </c>
      <c r="C41" s="389">
        <f>'Step1-V1'!D11</f>
        <v>9.5290833333333325</v>
      </c>
      <c r="D41" s="389">
        <f>'Step1-V1'!E11</f>
        <v>181.33648030946816</v>
      </c>
      <c r="E41" s="406">
        <f>'Step1-V1'!F11+SUM('Resumen all energy'!J41:O41)</f>
        <v>5.419508385353577</v>
      </c>
      <c r="F41" s="374">
        <f t="shared" si="13"/>
        <v>0</v>
      </c>
      <c r="G41" s="113">
        <f t="shared" si="14"/>
        <v>196.28507202815504</v>
      </c>
      <c r="I41" s="374">
        <f>'Step1-V1'!I11</f>
        <v>0</v>
      </c>
      <c r="J41" s="374">
        <f>'Step1-V1'!J11</f>
        <v>0</v>
      </c>
      <c r="K41" s="374">
        <f>'Step1-V1'!K11</f>
        <v>0</v>
      </c>
      <c r="L41" s="374">
        <f>'Step1-V1'!L11</f>
        <v>0</v>
      </c>
      <c r="M41" s="374">
        <f>'Step1-V1'!M11</f>
        <v>0</v>
      </c>
      <c r="N41" s="374">
        <f>'Step1-V1'!N11</f>
        <v>0</v>
      </c>
      <c r="O41" s="374">
        <f>'Step1-V1'!O11</f>
        <v>0</v>
      </c>
    </row>
    <row r="42" spans="1:15" s="112" customFormat="1">
      <c r="A42" s="112">
        <v>10</v>
      </c>
      <c r="B42" s="111" t="s">
        <v>206</v>
      </c>
      <c r="C42" s="389">
        <f>'Step1-V1'!D12</f>
        <v>82.629075106968372</v>
      </c>
      <c r="D42" s="389">
        <f>'Step1-V1'!E12</f>
        <v>11.320160035015009</v>
      </c>
      <c r="E42" s="406">
        <f>'Step1-V1'!F12+SUM('Resumen all energy'!J42:O42)</f>
        <v>5.2016149268768066</v>
      </c>
      <c r="F42" s="374">
        <f t="shared" si="13"/>
        <v>0</v>
      </c>
      <c r="G42" s="113">
        <f t="shared" si="14"/>
        <v>99.15085006886018</v>
      </c>
      <c r="I42" s="374">
        <f>'Step1-V1'!I12</f>
        <v>0</v>
      </c>
      <c r="J42" s="374">
        <f>'Step1-V1'!J12</f>
        <v>0</v>
      </c>
      <c r="K42" s="374">
        <f>'Step1-V1'!K12</f>
        <v>0</v>
      </c>
      <c r="L42" s="374">
        <f>'Step1-V1'!L12</f>
        <v>0</v>
      </c>
      <c r="M42" s="374">
        <f>'Step1-V1'!M12</f>
        <v>0</v>
      </c>
      <c r="N42" s="374">
        <f>'Step1-V1'!N12</f>
        <v>0</v>
      </c>
      <c r="O42" s="374">
        <f>'Step1-V1'!O12</f>
        <v>0</v>
      </c>
    </row>
    <row r="43" spans="1:15" s="112" customFormat="1">
      <c r="A43" s="112">
        <v>11</v>
      </c>
      <c r="B43" s="111" t="s">
        <v>207</v>
      </c>
      <c r="C43" s="389">
        <f>'Step1-V1'!D13</f>
        <v>132.56108396090261</v>
      </c>
      <c r="D43" s="389">
        <f>'Step1-V1'!E13</f>
        <v>111.78913704616669</v>
      </c>
      <c r="E43" s="406">
        <f>'Step1-V1'!F13+SUM('Resumen all energy'!J43:O43)</f>
        <v>248.40617522729593</v>
      </c>
      <c r="F43" s="374">
        <f t="shared" si="13"/>
        <v>4.2556149999999988</v>
      </c>
      <c r="G43" s="113">
        <f t="shared" si="14"/>
        <v>497.01201123436522</v>
      </c>
      <c r="I43" s="374">
        <f>'Step1-V1'!I13</f>
        <v>4.2556149999999988</v>
      </c>
      <c r="J43" s="374">
        <f>'Step1-V1'!J13</f>
        <v>0</v>
      </c>
      <c r="K43" s="374">
        <f>'Step1-V1'!K13</f>
        <v>0</v>
      </c>
      <c r="L43" s="374">
        <f>'Step1-V1'!L13</f>
        <v>0.38100000000000001</v>
      </c>
      <c r="M43" s="374">
        <f>'Step1-V1'!M13</f>
        <v>0</v>
      </c>
      <c r="N43" s="374">
        <f>'Step1-V1'!N13</f>
        <v>0</v>
      </c>
      <c r="O43" s="374">
        <f>'Step1-V1'!O13</f>
        <v>0</v>
      </c>
    </row>
    <row r="44" spans="1:15" s="112" customFormat="1">
      <c r="A44" s="112">
        <v>12</v>
      </c>
      <c r="B44" s="111" t="s">
        <v>208</v>
      </c>
      <c r="C44" s="389">
        <f>'Step1-V1'!D14</f>
        <v>101.60878005865104</v>
      </c>
      <c r="D44" s="389">
        <f>'Step1-V1'!E14</f>
        <v>8.6836403718342711E-2</v>
      </c>
      <c r="E44" s="406">
        <f>'Step1-V1'!F14+SUM('Resumen all energy'!J44:O44)</f>
        <v>0.74275184354677426</v>
      </c>
      <c r="F44" s="374">
        <f t="shared" si="13"/>
        <v>0</v>
      </c>
      <c r="G44" s="113">
        <f t="shared" si="14"/>
        <v>102.43836830591614</v>
      </c>
      <c r="I44" s="374">
        <f>'Step1-V1'!I14</f>
        <v>0</v>
      </c>
      <c r="J44" s="374">
        <f>'Step1-V1'!J14</f>
        <v>0</v>
      </c>
      <c r="K44" s="374">
        <f>'Step1-V1'!K14</f>
        <v>0</v>
      </c>
      <c r="L44" s="374">
        <f>'Step1-V1'!L14</f>
        <v>0</v>
      </c>
      <c r="M44" s="374">
        <f>'Step1-V1'!M14</f>
        <v>0</v>
      </c>
      <c r="N44" s="374">
        <f>'Step1-V1'!N14</f>
        <v>0</v>
      </c>
      <c r="O44" s="374">
        <f>'Step1-V1'!O14</f>
        <v>0</v>
      </c>
    </row>
    <row r="45" spans="1:15" s="112" customFormat="1">
      <c r="A45" s="112">
        <v>13</v>
      </c>
      <c r="B45" s="111" t="s">
        <v>209</v>
      </c>
      <c r="C45" s="389">
        <f>'Step1-V1'!D15</f>
        <v>22.594715542521993</v>
      </c>
      <c r="D45" s="389">
        <f>'Step1-V1'!E15</f>
        <v>0</v>
      </c>
      <c r="E45" s="406">
        <f>'Step1-V1'!F15+SUM('Resumen all energy'!J45:O45)</f>
        <v>4.0153010737007111E-2</v>
      </c>
      <c r="F45" s="374">
        <f t="shared" si="13"/>
        <v>0</v>
      </c>
      <c r="G45" s="113">
        <f t="shared" si="14"/>
        <v>22.634868553259</v>
      </c>
      <c r="I45" s="374">
        <f>'Step1-V1'!I15</f>
        <v>0</v>
      </c>
      <c r="J45" s="374">
        <f>'Step1-V1'!J15</f>
        <v>0</v>
      </c>
      <c r="K45" s="374">
        <f>'Step1-V1'!K15</f>
        <v>0</v>
      </c>
      <c r="L45" s="374">
        <f>'Step1-V1'!L15</f>
        <v>0</v>
      </c>
      <c r="M45" s="374">
        <f>'Step1-V1'!M15</f>
        <v>0</v>
      </c>
      <c r="N45" s="374">
        <f>'Step1-V1'!N15</f>
        <v>0</v>
      </c>
      <c r="O45" s="374">
        <f>'Step1-V1'!O15</f>
        <v>0</v>
      </c>
    </row>
    <row r="46" spans="1:15" s="112" customFormat="1">
      <c r="A46" s="112">
        <v>14</v>
      </c>
      <c r="B46" s="111" t="s">
        <v>210</v>
      </c>
      <c r="C46" s="389">
        <f>'Step1-V1'!D16</f>
        <v>3.3668211143695017</v>
      </c>
      <c r="D46" s="389">
        <f>'Step1-V1'!E16</f>
        <v>3.2960522997821672E-2</v>
      </c>
      <c r="E46" s="406">
        <f>'Step1-V1'!F16+SUM('Resumen all energy'!J46:O46)</f>
        <v>0.1063159906469132</v>
      </c>
      <c r="F46" s="374">
        <f t="shared" si="13"/>
        <v>0</v>
      </c>
      <c r="G46" s="113">
        <f t="shared" si="14"/>
        <v>3.5060976280142366</v>
      </c>
      <c r="I46" s="374">
        <f>'Step1-V1'!I16</f>
        <v>0</v>
      </c>
      <c r="J46" s="374">
        <f>'Step1-V1'!J16</f>
        <v>0</v>
      </c>
      <c r="K46" s="374">
        <f>'Step1-V1'!K16</f>
        <v>0</v>
      </c>
      <c r="L46" s="374">
        <f>'Step1-V1'!L16</f>
        <v>0</v>
      </c>
      <c r="M46" s="374">
        <f>'Step1-V1'!M16</f>
        <v>0</v>
      </c>
      <c r="N46" s="374">
        <f>'Step1-V1'!N16</f>
        <v>0</v>
      </c>
      <c r="O46" s="374">
        <f>'Step1-V1'!O16</f>
        <v>0</v>
      </c>
    </row>
    <row r="47" spans="1:15" s="112" customFormat="1">
      <c r="A47" s="112">
        <v>15</v>
      </c>
      <c r="B47" s="111" t="s">
        <v>211</v>
      </c>
      <c r="C47" s="389">
        <f>'Step1-V1'!D17</f>
        <v>308.18438709677423</v>
      </c>
      <c r="D47" s="389">
        <f>'Step1-V1'!E17</f>
        <v>0.52258738804900151</v>
      </c>
      <c r="E47" s="406">
        <f>'Step1-V1'!F17+SUM('Resumen all energy'!J47:O47)</f>
        <v>1.3671630586621295</v>
      </c>
      <c r="F47" s="374">
        <f t="shared" si="13"/>
        <v>0</v>
      </c>
      <c r="G47" s="113">
        <f t="shared" si="14"/>
        <v>310.07413754348534</v>
      </c>
      <c r="I47" s="374">
        <f>'Step1-V1'!I17</f>
        <v>0</v>
      </c>
      <c r="J47" s="374">
        <f>'Step1-V1'!J17</f>
        <v>0</v>
      </c>
      <c r="K47" s="374">
        <f>'Step1-V1'!K17</f>
        <v>0</v>
      </c>
      <c r="L47" s="374">
        <f>'Step1-V1'!L17</f>
        <v>0</v>
      </c>
      <c r="M47" s="374">
        <f>'Step1-V1'!M17</f>
        <v>0</v>
      </c>
      <c r="N47" s="374">
        <f>'Step1-V1'!N17</f>
        <v>0</v>
      </c>
      <c r="O47" s="374">
        <f>'Step1-V1'!O17</f>
        <v>0</v>
      </c>
    </row>
    <row r="48" spans="1:15" s="112" customFormat="1">
      <c r="A48" s="112">
        <v>16</v>
      </c>
      <c r="B48" s="111" t="s">
        <v>212</v>
      </c>
      <c r="C48" s="389">
        <f>'Step1-V1'!D18</f>
        <v>363.61279472140757</v>
      </c>
      <c r="D48" s="389">
        <f>'Step1-V1'!E18</f>
        <v>0.72694061264429211</v>
      </c>
      <c r="E48" s="406">
        <f>'Step1-V1'!F18+SUM('Resumen all energy'!J48:O48)</f>
        <v>1.7528722916954871</v>
      </c>
      <c r="F48" s="374">
        <f t="shared" si="13"/>
        <v>0</v>
      </c>
      <c r="G48" s="113">
        <f t="shared" si="14"/>
        <v>366.09260762574735</v>
      </c>
      <c r="I48" s="374">
        <f>'Step1-V1'!I18</f>
        <v>0</v>
      </c>
      <c r="J48" s="374">
        <f>'Step1-V1'!J18</f>
        <v>0</v>
      </c>
      <c r="K48" s="374">
        <f>'Step1-V1'!K18</f>
        <v>0</v>
      </c>
      <c r="L48" s="374">
        <f>'Step1-V1'!L18</f>
        <v>0</v>
      </c>
      <c r="M48" s="374">
        <f>'Step1-V1'!M18</f>
        <v>0</v>
      </c>
      <c r="N48" s="374">
        <f>'Step1-V1'!N18</f>
        <v>0</v>
      </c>
      <c r="O48" s="374">
        <f>'Step1-V1'!O18</f>
        <v>0</v>
      </c>
    </row>
    <row r="49" spans="1:16" s="112" customFormat="1">
      <c r="A49" s="112">
        <v>17</v>
      </c>
      <c r="B49" s="111" t="s">
        <v>213</v>
      </c>
      <c r="C49" s="389">
        <f>'Step1-V1'!D19</f>
        <v>1.8287243401759528</v>
      </c>
      <c r="D49" s="389">
        <f>'Step1-V1'!E19</f>
        <v>1.9288228992831384E-2</v>
      </c>
      <c r="E49" s="406">
        <f>'Step1-V1'!F19+SUM('Resumen all energy'!J49:O49)</f>
        <v>0.1722011971505602</v>
      </c>
      <c r="F49" s="374">
        <f t="shared" si="13"/>
        <v>0</v>
      </c>
      <c r="G49" s="113">
        <f t="shared" si="14"/>
        <v>2.0202137663193445</v>
      </c>
      <c r="I49" s="374">
        <f>'Step1-V1'!I19</f>
        <v>0</v>
      </c>
      <c r="J49" s="374">
        <f>'Step1-V1'!J19</f>
        <v>0</v>
      </c>
      <c r="K49" s="374">
        <f>'Step1-V1'!K19</f>
        <v>0</v>
      </c>
      <c r="L49" s="374">
        <f>'Step1-V1'!L19</f>
        <v>0</v>
      </c>
      <c r="M49" s="374">
        <f>'Step1-V1'!M19</f>
        <v>0</v>
      </c>
      <c r="N49" s="374">
        <f>'Step1-V1'!N19</f>
        <v>0</v>
      </c>
      <c r="O49" s="374">
        <f>'Step1-V1'!O19</f>
        <v>0</v>
      </c>
    </row>
    <row r="50" spans="1:16" s="112" customFormat="1">
      <c r="A50" s="112">
        <v>18</v>
      </c>
      <c r="B50" s="111" t="s">
        <v>214</v>
      </c>
      <c r="C50" s="389">
        <f>'Step1-V1'!D20</f>
        <v>69.427136802081847</v>
      </c>
      <c r="D50" s="389">
        <f>'Step1-V1'!E20</f>
        <v>11.097</v>
      </c>
      <c r="E50" s="406">
        <f>'Step1-V1'!F20+SUM('Resumen all energy'!J50:O50)</f>
        <v>52.899999638307669</v>
      </c>
      <c r="F50" s="374">
        <f t="shared" si="13"/>
        <v>0</v>
      </c>
      <c r="G50" s="113">
        <f t="shared" si="14"/>
        <v>133.4241364403895</v>
      </c>
      <c r="I50" s="374">
        <f>'Step1-V1'!I20</f>
        <v>0</v>
      </c>
      <c r="J50" s="374">
        <f>'Step1-V1'!J20</f>
        <v>0</v>
      </c>
      <c r="K50" s="374">
        <f>'Step1-V1'!K20</f>
        <v>0</v>
      </c>
      <c r="L50" s="374">
        <f>'Step1-V1'!L20</f>
        <v>2.819</v>
      </c>
      <c r="M50" s="374">
        <f>'Step1-V1'!M20</f>
        <v>0</v>
      </c>
      <c r="N50" s="374">
        <f>'Step1-V1'!N20</f>
        <v>0</v>
      </c>
      <c r="O50" s="374">
        <f>'Step1-V1'!O20</f>
        <v>0</v>
      </c>
    </row>
    <row r="51" spans="1:16" s="112" customFormat="1">
      <c r="A51" s="112">
        <v>19</v>
      </c>
      <c r="B51" s="111" t="s">
        <v>215</v>
      </c>
      <c r="C51" s="389">
        <f>'Step1-V1'!D21</f>
        <v>25.010031468531466</v>
      </c>
      <c r="D51" s="389">
        <f>'Step1-V1'!E21</f>
        <v>0</v>
      </c>
      <c r="E51" s="406">
        <f>'Step1-V1'!F21+SUM('Resumen all energy'!J51:O51)</f>
        <v>33.427</v>
      </c>
      <c r="F51" s="374">
        <f t="shared" si="13"/>
        <v>0</v>
      </c>
      <c r="G51" s="113">
        <f t="shared" si="14"/>
        <v>58.437031468531465</v>
      </c>
      <c r="I51" s="374">
        <f>'Step1-V1'!I21</f>
        <v>0</v>
      </c>
      <c r="J51" s="374">
        <f>'Step1-V1'!J21</f>
        <v>0</v>
      </c>
      <c r="K51" s="374">
        <f>'Step1-V1'!K21</f>
        <v>0</v>
      </c>
      <c r="L51" s="374">
        <f>'Step1-V1'!L21</f>
        <v>0</v>
      </c>
      <c r="M51" s="374">
        <f>'Step1-V1'!M21</f>
        <v>0</v>
      </c>
      <c r="N51" s="374">
        <f>'Step1-V1'!N21</f>
        <v>0</v>
      </c>
      <c r="O51" s="374">
        <f>'Step1-V1'!O21</f>
        <v>0</v>
      </c>
    </row>
    <row r="52" spans="1:16" s="112" customFormat="1">
      <c r="A52" s="112">
        <v>20</v>
      </c>
      <c r="B52" s="111" t="s">
        <v>216</v>
      </c>
      <c r="C52" s="389">
        <f>'Step1-V1'!D22</f>
        <v>223.90642800000001</v>
      </c>
      <c r="D52" s="389">
        <f>'Step1-V1'!E22</f>
        <v>336.61095895720445</v>
      </c>
      <c r="E52" s="406">
        <f>'Step1-V1'!F22+SUM('Resumen all energy'!J52:O52)</f>
        <v>2.405614018581907</v>
      </c>
      <c r="F52" s="374">
        <f t="shared" si="13"/>
        <v>0</v>
      </c>
      <c r="G52" s="113">
        <f t="shared" si="14"/>
        <v>562.92300097578641</v>
      </c>
      <c r="I52" s="374">
        <f>'Step1-V1'!I22</f>
        <v>0</v>
      </c>
      <c r="J52" s="374">
        <f>'Step1-V1'!J22</f>
        <v>0</v>
      </c>
      <c r="K52" s="374">
        <f>'Step1-V1'!K22</f>
        <v>0</v>
      </c>
      <c r="L52" s="374">
        <f>'Step1-V1'!L22</f>
        <v>0</v>
      </c>
      <c r="M52" s="374">
        <f>'Step1-V1'!M22</f>
        <v>0</v>
      </c>
      <c r="N52" s="374">
        <f>'Step1-V1'!N22</f>
        <v>0</v>
      </c>
      <c r="O52" s="374">
        <f>'Step1-V1'!O22</f>
        <v>0</v>
      </c>
    </row>
    <row r="53" spans="1:16" s="112" customFormat="1">
      <c r="A53" s="112">
        <v>21</v>
      </c>
      <c r="B53" s="111" t="s">
        <v>217</v>
      </c>
      <c r="C53" s="389">
        <f>'Step1-V1'!D23</f>
        <v>1.5939333333333333E-2</v>
      </c>
      <c r="D53" s="389">
        <f>'Step1-V1'!E23</f>
        <v>225.67680208328852</v>
      </c>
      <c r="E53" s="406">
        <f>'Step1-V1'!F23+SUM('Resumen all energy'!J53:O53)</f>
        <v>4.5064405431818111</v>
      </c>
      <c r="F53" s="374">
        <f t="shared" si="13"/>
        <v>0</v>
      </c>
      <c r="G53" s="113">
        <f t="shared" si="14"/>
        <v>230.19918195980367</v>
      </c>
      <c r="I53" s="374">
        <f>'Step1-V1'!I23</f>
        <v>0</v>
      </c>
      <c r="J53" s="374">
        <f>'Step1-V1'!J23</f>
        <v>0</v>
      </c>
      <c r="K53" s="374">
        <f>'Step1-V1'!K23</f>
        <v>0</v>
      </c>
      <c r="L53" s="374">
        <f>'Step1-V1'!L23</f>
        <v>0</v>
      </c>
      <c r="M53" s="374">
        <f>'Step1-V1'!M23</f>
        <v>0</v>
      </c>
      <c r="N53" s="374">
        <f>'Step1-V1'!N23</f>
        <v>0</v>
      </c>
      <c r="O53" s="374">
        <f>'Step1-V1'!O23</f>
        <v>0</v>
      </c>
    </row>
    <row r="54" spans="1:16" s="112" customFormat="1">
      <c r="A54" s="112">
        <v>22</v>
      </c>
      <c r="B54" s="367" t="s">
        <v>418</v>
      </c>
      <c r="C54" s="389">
        <f>'Step1-V1'!D24</f>
        <v>828.16699999999992</v>
      </c>
      <c r="D54" s="389">
        <f>'Step1-V1'!E24</f>
        <v>1303.69</v>
      </c>
      <c r="E54" s="406">
        <f>'Step1-V1'!F24</f>
        <v>36.530535656139875</v>
      </c>
      <c r="F54" s="374">
        <f t="shared" si="13"/>
        <v>60.542000000000002</v>
      </c>
      <c r="G54" s="113">
        <f t="shared" si="14"/>
        <v>2228.9295356561397</v>
      </c>
      <c r="I54" s="374">
        <f>'Step1-V1'!I24</f>
        <v>60.542000000000002</v>
      </c>
      <c r="J54" s="374">
        <f>'Step1-V1'!J24</f>
        <v>0</v>
      </c>
      <c r="K54" s="374">
        <f>'Step1-V1'!K24</f>
        <v>15.064</v>
      </c>
      <c r="L54" s="374">
        <f>'Step1-V1'!L24</f>
        <v>0.36</v>
      </c>
      <c r="M54" s="374">
        <f>'Step1-V1'!M24</f>
        <v>100.87700000000001</v>
      </c>
      <c r="N54" s="374">
        <f>'Step1-V1'!N24</f>
        <v>131.316</v>
      </c>
      <c r="O54" s="374">
        <f>'Step1-V1'!O24</f>
        <v>122.598</v>
      </c>
    </row>
    <row r="55" spans="1:16" s="112" customFormat="1">
      <c r="B55" s="120" t="s">
        <v>537</v>
      </c>
      <c r="C55" s="392">
        <f>SUM(C33:C54)</f>
        <v>2489.8895778111801</v>
      </c>
      <c r="D55" s="392">
        <f t="shared" ref="D55:G55" si="15">SUM(D33:D54)</f>
        <v>2653.0483017934339</v>
      </c>
      <c r="E55" s="392">
        <f t="shared" si="15"/>
        <v>707.38255563400367</v>
      </c>
      <c r="F55" s="392">
        <f t="shared" si="15"/>
        <v>124.324443</v>
      </c>
      <c r="G55" s="392">
        <f t="shared" si="15"/>
        <v>5974.6448782386178</v>
      </c>
      <c r="I55" s="392">
        <f t="shared" ref="I55" si="16">SUM(I33:I54)</f>
        <v>124.324443</v>
      </c>
      <c r="J55" s="392">
        <f t="shared" ref="J55" si="17">SUM(J33:J54)</f>
        <v>0</v>
      </c>
      <c r="K55" s="392">
        <f t="shared" ref="K55" si="18">SUM(K33:K54)</f>
        <v>15.064</v>
      </c>
      <c r="L55" s="392">
        <f t="shared" ref="L55" si="19">SUM(L33:L54)</f>
        <v>3.56</v>
      </c>
      <c r="M55" s="392">
        <f t="shared" ref="M55" si="20">SUM(M33:M54)</f>
        <v>100.87700000000001</v>
      </c>
      <c r="N55" s="392">
        <f t="shared" ref="N55" si="21">SUM(N33:N54)</f>
        <v>131.316</v>
      </c>
      <c r="O55" s="392">
        <f t="shared" ref="O55" si="22">SUM(O33:O54)</f>
        <v>122.598</v>
      </c>
    </row>
    <row r="56" spans="1:16" s="112" customFormat="1">
      <c r="C56" s="6"/>
      <c r="D56" s="6"/>
      <c r="E56" s="6"/>
      <c r="F56" s="6"/>
      <c r="G56" s="6"/>
    </row>
    <row r="57" spans="1:16" s="112" customFormat="1">
      <c r="B57" s="367" t="s">
        <v>378</v>
      </c>
      <c r="C57" s="389">
        <f>'Step1-V1'!D28</f>
        <v>1453.7676719999999</v>
      </c>
      <c r="D57" s="389">
        <f>'Step1-V1'!E28</f>
        <v>0</v>
      </c>
      <c r="E57" s="389">
        <f>'Step1-V1'!F28+SUM(J57:O57)</f>
        <v>4.5542567697503818E-2</v>
      </c>
      <c r="F57" s="391">
        <f>I57</f>
        <v>0</v>
      </c>
      <c r="G57" s="113">
        <f t="shared" ref="G57:G58" si="23">SUM(C57:F57)</f>
        <v>1453.8132145676975</v>
      </c>
      <c r="I57" s="374">
        <f>'Step1-V1'!I28</f>
        <v>0</v>
      </c>
      <c r="J57" s="374">
        <f>'Step1-V1'!J28</f>
        <v>0</v>
      </c>
      <c r="K57" s="374">
        <f>'Step1-V1'!K28</f>
        <v>0</v>
      </c>
      <c r="L57" s="374">
        <f>'Step1-V1'!L28</f>
        <v>0</v>
      </c>
      <c r="M57" s="374">
        <f>'Step1-V1'!M28</f>
        <v>0</v>
      </c>
      <c r="N57" s="374">
        <f>'Step1-V1'!N28</f>
        <v>0</v>
      </c>
      <c r="O57" s="374">
        <f>'Step1-V1'!O28</f>
        <v>0</v>
      </c>
      <c r="P57" s="374"/>
    </row>
    <row r="58" spans="1:16" s="112" customFormat="1">
      <c r="B58" s="367" t="s">
        <v>281</v>
      </c>
      <c r="C58" s="389">
        <f>'Step1-V1'!D29</f>
        <v>258.308876</v>
      </c>
      <c r="D58" s="389">
        <f>'Step1-V1'!E29</f>
        <v>33.802999999999997</v>
      </c>
      <c r="E58" s="389">
        <f>'Step1-V1'!F29+SUM(J58:O58)</f>
        <v>195.17500000000001</v>
      </c>
      <c r="F58" s="391">
        <f>I58</f>
        <v>255.42239699999999</v>
      </c>
      <c r="G58" s="113">
        <f t="shared" si="23"/>
        <v>742.70927299999994</v>
      </c>
      <c r="I58" s="374">
        <f>'Step1-V1'!I29</f>
        <v>255.42239699999999</v>
      </c>
      <c r="J58" s="374">
        <f>'Step1-V1'!J29</f>
        <v>0</v>
      </c>
      <c r="K58" s="374">
        <f>'Step1-V1'!K29</f>
        <v>0</v>
      </c>
      <c r="L58" s="374">
        <f>'Step1-V1'!L29</f>
        <v>4.0359999999999996</v>
      </c>
      <c r="M58" s="374">
        <f>'Step1-V1'!M29</f>
        <v>0</v>
      </c>
      <c r="N58" s="374">
        <f>'Step1-V1'!N29</f>
        <v>0</v>
      </c>
      <c r="O58" s="374">
        <f>'Step1-V1'!O29</f>
        <v>0</v>
      </c>
      <c r="P58" s="374"/>
    </row>
    <row r="59" spans="1:16" s="112" customFormat="1">
      <c r="B59" s="120" t="s">
        <v>745</v>
      </c>
      <c r="C59" s="392">
        <f>SUM(C57:C58)</f>
        <v>1712.076548</v>
      </c>
      <c r="D59" s="392">
        <f t="shared" ref="D59:E59" si="24">SUM(D57:D58)</f>
        <v>33.802999999999997</v>
      </c>
      <c r="E59" s="392">
        <f t="shared" si="24"/>
        <v>195.22054256769752</v>
      </c>
      <c r="F59" s="392">
        <f>SUM(F57:F58)</f>
        <v>255.42239699999999</v>
      </c>
      <c r="G59" s="392">
        <f>SUM(G57:G58)</f>
        <v>2196.5224875676977</v>
      </c>
      <c r="I59" s="392">
        <f>SUM(I57:I58)</f>
        <v>255.42239699999999</v>
      </c>
      <c r="J59" s="392">
        <f t="shared" ref="J59:O59" si="25">SUM(J57:J58)</f>
        <v>0</v>
      </c>
      <c r="K59" s="392">
        <f t="shared" si="25"/>
        <v>0</v>
      </c>
      <c r="L59" s="392">
        <f t="shared" si="25"/>
        <v>4.0359999999999996</v>
      </c>
      <c r="M59" s="392">
        <f t="shared" si="25"/>
        <v>0</v>
      </c>
      <c r="N59" s="392">
        <f t="shared" si="25"/>
        <v>0</v>
      </c>
      <c r="O59" s="392">
        <f t="shared" si="25"/>
        <v>0</v>
      </c>
    </row>
    <row r="60" spans="1:16" s="112" customFormat="1">
      <c r="C60" s="6"/>
      <c r="D60" s="6"/>
      <c r="E60" s="6"/>
      <c r="F60" s="6"/>
      <c r="G60" s="6"/>
    </row>
    <row r="61" spans="1:16" s="112" customFormat="1">
      <c r="B61" s="120" t="s">
        <v>546</v>
      </c>
      <c r="C61" s="392">
        <f>C55+C59</f>
        <v>4201.9661258111801</v>
      </c>
      <c r="D61" s="392">
        <f>D55+D59</f>
        <v>2686.8513017934338</v>
      </c>
      <c r="E61" s="392">
        <f>E55+E59</f>
        <v>902.60309820170119</v>
      </c>
      <c r="F61" s="392">
        <f>F55+F59</f>
        <v>379.74684000000002</v>
      </c>
      <c r="G61" s="392">
        <f>G55+G59</f>
        <v>8171.1673658063155</v>
      </c>
      <c r="I61" s="392">
        <f>I55+I59</f>
        <v>379.74684000000002</v>
      </c>
      <c r="J61" s="392">
        <f t="shared" ref="J61:O61" si="26">J55+J59</f>
        <v>0</v>
      </c>
      <c r="K61" s="392">
        <f t="shared" si="26"/>
        <v>15.064</v>
      </c>
      <c r="L61" s="392">
        <f t="shared" si="26"/>
        <v>7.5960000000000001</v>
      </c>
      <c r="M61" s="392">
        <f t="shared" si="26"/>
        <v>100.87700000000001</v>
      </c>
      <c r="N61" s="392">
        <f t="shared" si="26"/>
        <v>131.316</v>
      </c>
      <c r="O61" s="392">
        <f t="shared" si="26"/>
        <v>122.598</v>
      </c>
    </row>
    <row r="62" spans="1:16" s="112" customFormat="1"/>
  </sheetData>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71"/>
  <sheetViews>
    <sheetView topLeftCell="A20" workbookViewId="0">
      <selection activeCell="C38" sqref="C38"/>
    </sheetView>
  </sheetViews>
  <sheetFormatPr baseColWidth="10" defaultRowHeight="15.75"/>
  <cols>
    <col min="2" max="2" width="47.625" customWidth="1"/>
  </cols>
  <sheetData>
    <row r="2" spans="1:7">
      <c r="B2" s="120" t="s">
        <v>390</v>
      </c>
      <c r="C2" s="399" t="s">
        <v>419</v>
      </c>
      <c r="D2" s="399" t="s">
        <v>384</v>
      </c>
      <c r="E2" s="399" t="s">
        <v>172</v>
      </c>
      <c r="F2" s="408" t="s">
        <v>386</v>
      </c>
      <c r="G2" s="399" t="s">
        <v>7</v>
      </c>
    </row>
    <row r="3" spans="1:7">
      <c r="A3">
        <v>1</v>
      </c>
      <c r="B3" s="111" t="s">
        <v>197</v>
      </c>
      <c r="C3" s="389">
        <f>'Resumen all energy'!C33</f>
        <v>117.85555327330248</v>
      </c>
      <c r="D3" s="389">
        <f>'Resumen all energy'!D33</f>
        <v>6.5447287070636406E-2</v>
      </c>
      <c r="E3" s="389">
        <f>'Resumen all energy'!E33</f>
        <v>35.28284473921137</v>
      </c>
      <c r="F3" s="389">
        <f>'Resumen all energy'!F33</f>
        <v>0</v>
      </c>
      <c r="G3" s="113">
        <f>SUM(C3:F3)</f>
        <v>153.20384529958449</v>
      </c>
    </row>
    <row r="4" spans="1:7">
      <c r="A4">
        <v>2</v>
      </c>
      <c r="B4" s="111" t="s">
        <v>198</v>
      </c>
      <c r="C4" s="389">
        <f>'Resumen all energy'!C34</f>
        <v>3.7315797266975155</v>
      </c>
      <c r="D4" s="389">
        <f>'Resumen all energy'!D34</f>
        <v>0</v>
      </c>
      <c r="E4" s="389">
        <f>'Resumen all energy'!E34</f>
        <v>1.7451552607886325</v>
      </c>
      <c r="F4" s="389">
        <f>'Resumen all energy'!F34</f>
        <v>0</v>
      </c>
      <c r="G4" s="113">
        <f t="shared" ref="G4:G35" si="0">SUM(C4:F4)</f>
        <v>5.4767349874861484</v>
      </c>
    </row>
    <row r="5" spans="1:7">
      <c r="A5">
        <v>3</v>
      </c>
      <c r="B5" s="111" t="s">
        <v>199</v>
      </c>
      <c r="C5" s="389">
        <f>'Resumen all energy'!C35</f>
        <v>35.061462074223648</v>
      </c>
      <c r="D5" s="389">
        <f>'Resumen all energy'!D35</f>
        <v>114.56665185367522</v>
      </c>
      <c r="E5" s="389">
        <f>'Resumen all energy'!E35</f>
        <v>85.297563558890204</v>
      </c>
      <c r="F5" s="389">
        <f>'Resumen all energy'!F35</f>
        <v>59.526828000000002</v>
      </c>
      <c r="G5" s="113">
        <f t="shared" si="0"/>
        <v>294.45250548678911</v>
      </c>
    </row>
    <row r="6" spans="1:7">
      <c r="A6">
        <v>4</v>
      </c>
      <c r="B6" s="111" t="s">
        <v>200</v>
      </c>
      <c r="C6" s="389">
        <f>'Resumen all energy'!C36</f>
        <v>6.5815885591690089</v>
      </c>
      <c r="D6" s="389">
        <f>'Resumen all energy'!D36</f>
        <v>28.365551133950763</v>
      </c>
      <c r="E6" s="389">
        <f>'Resumen all energy'!E36</f>
        <v>18.352641897238456</v>
      </c>
      <c r="F6" s="389">
        <f>'Resumen all energy'!F36</f>
        <v>0</v>
      </c>
      <c r="G6" s="113">
        <f t="shared" si="0"/>
        <v>53.299781590358229</v>
      </c>
    </row>
    <row r="7" spans="1:7">
      <c r="A7">
        <v>5</v>
      </c>
      <c r="B7" s="111" t="s">
        <v>201</v>
      </c>
      <c r="C7" s="389">
        <f>'Resumen all energy'!C37</f>
        <v>106.4849762345815</v>
      </c>
      <c r="D7" s="389">
        <f>'Resumen all energy'!D37</f>
        <v>291.70216964079231</v>
      </c>
      <c r="E7" s="389">
        <f>'Resumen all energy'!E37</f>
        <v>22.429515008831267</v>
      </c>
      <c r="F7" s="389">
        <f>'Resumen all energy'!F37</f>
        <v>0</v>
      </c>
      <c r="G7" s="113">
        <f t="shared" si="0"/>
        <v>420.61666088420509</v>
      </c>
    </row>
    <row r="8" spans="1:7">
      <c r="A8">
        <v>6</v>
      </c>
      <c r="B8" s="111" t="s">
        <v>202</v>
      </c>
      <c r="C8" s="389">
        <f>'Resumen all energy'!C38</f>
        <v>9.5619655868946705</v>
      </c>
      <c r="D8" s="389">
        <f>'Resumen all energy'!D38</f>
        <v>0.59378885509566059</v>
      </c>
      <c r="E8" s="389">
        <f>'Resumen all energy'!E38</f>
        <v>36.469103949311219</v>
      </c>
      <c r="F8" s="389">
        <f>'Resumen all energy'!F38</f>
        <v>0</v>
      </c>
      <c r="G8" s="113">
        <f t="shared" si="0"/>
        <v>46.624858391301551</v>
      </c>
    </row>
    <row r="9" spans="1:7">
      <c r="A9">
        <v>7</v>
      </c>
      <c r="B9" s="111" t="s">
        <v>203</v>
      </c>
      <c r="C9" s="389">
        <f>'Resumen all energy'!C39</f>
        <v>18.396719470326147</v>
      </c>
      <c r="D9" s="389">
        <f>'Resumen all energy'!D39</f>
        <v>20.16167846846837</v>
      </c>
      <c r="E9" s="389">
        <f>'Resumen all energy'!E39</f>
        <v>20.39679574649913</v>
      </c>
      <c r="F9" s="389">
        <f>'Resumen all energy'!F39</f>
        <v>0</v>
      </c>
      <c r="G9" s="113">
        <f t="shared" si="0"/>
        <v>58.955193685293644</v>
      </c>
    </row>
    <row r="10" spans="1:7">
      <c r="A10">
        <v>8</v>
      </c>
      <c r="B10" s="111" t="s">
        <v>204</v>
      </c>
      <c r="C10" s="389">
        <f>'Resumen all energy'!C40</f>
        <v>19.773732006934061</v>
      </c>
      <c r="D10" s="389">
        <f>'Resumen all energy'!D40</f>
        <v>14.683862966835878</v>
      </c>
      <c r="E10" s="389">
        <f>'Resumen all energy'!E40</f>
        <v>94.430589685056972</v>
      </c>
      <c r="F10" s="389">
        <f>'Resumen all energy'!F40</f>
        <v>0</v>
      </c>
      <c r="G10" s="113">
        <f t="shared" si="0"/>
        <v>128.8881846588269</v>
      </c>
    </row>
    <row r="11" spans="1:7">
      <c r="A11">
        <v>9</v>
      </c>
      <c r="B11" s="111" t="s">
        <v>205</v>
      </c>
      <c r="C11" s="389">
        <f>'Resumen all energy'!C41</f>
        <v>9.5290833333333325</v>
      </c>
      <c r="D11" s="389">
        <f>'Resumen all energy'!D41</f>
        <v>181.33648030946816</v>
      </c>
      <c r="E11" s="389">
        <f>'Resumen all energy'!E41</f>
        <v>5.419508385353577</v>
      </c>
      <c r="F11" s="389">
        <f>'Resumen all energy'!F41</f>
        <v>0</v>
      </c>
      <c r="G11" s="113">
        <f t="shared" si="0"/>
        <v>196.28507202815504</v>
      </c>
    </row>
    <row r="12" spans="1:7">
      <c r="A12">
        <v>10</v>
      </c>
      <c r="B12" s="111" t="s">
        <v>206</v>
      </c>
      <c r="C12" s="389">
        <f>'Resumen all energy'!C42</f>
        <v>82.629075106968372</v>
      </c>
      <c r="D12" s="389">
        <f>'Resumen all energy'!D42</f>
        <v>11.320160035015009</v>
      </c>
      <c r="E12" s="389">
        <f>'Resumen all energy'!E42</f>
        <v>5.2016149268768066</v>
      </c>
      <c r="F12" s="389">
        <f>'Resumen all energy'!F42</f>
        <v>0</v>
      </c>
      <c r="G12" s="113">
        <f t="shared" si="0"/>
        <v>99.15085006886018</v>
      </c>
    </row>
    <row r="13" spans="1:7">
      <c r="A13">
        <v>11</v>
      </c>
      <c r="B13" s="111" t="s">
        <v>207</v>
      </c>
      <c r="C13" s="389">
        <f>'Resumen all energy'!C43</f>
        <v>132.56108396090261</v>
      </c>
      <c r="D13" s="389">
        <f>'Resumen all energy'!D43</f>
        <v>111.78913704616669</v>
      </c>
      <c r="E13" s="389">
        <f>'Resumen all energy'!E43</f>
        <v>248.40617522729593</v>
      </c>
      <c r="F13" s="389">
        <f>'Resumen all energy'!F43</f>
        <v>4.2556149999999988</v>
      </c>
      <c r="G13" s="113">
        <f t="shared" si="0"/>
        <v>497.01201123436522</v>
      </c>
    </row>
    <row r="14" spans="1:7">
      <c r="A14">
        <v>12</v>
      </c>
      <c r="B14" s="111" t="s">
        <v>208</v>
      </c>
      <c r="C14" s="389">
        <f>'Resumen all energy'!C44</f>
        <v>101.60878005865104</v>
      </c>
      <c r="D14" s="389">
        <f>'Resumen all energy'!D44</f>
        <v>8.6836403718342711E-2</v>
      </c>
      <c r="E14" s="389">
        <f>'Resumen all energy'!E44</f>
        <v>0.74275184354677426</v>
      </c>
      <c r="F14" s="389">
        <f>'Resumen all energy'!F44</f>
        <v>0</v>
      </c>
      <c r="G14" s="113">
        <f t="shared" si="0"/>
        <v>102.43836830591614</v>
      </c>
    </row>
    <row r="15" spans="1:7">
      <c r="A15">
        <v>13</v>
      </c>
      <c r="B15" s="111" t="s">
        <v>209</v>
      </c>
      <c r="C15" s="389">
        <f>'Resumen all energy'!C45</f>
        <v>22.594715542521993</v>
      </c>
      <c r="D15" s="389">
        <f>'Resumen all energy'!D45</f>
        <v>0</v>
      </c>
      <c r="E15" s="389">
        <f>'Resumen all energy'!E45</f>
        <v>4.0153010737007111E-2</v>
      </c>
      <c r="F15" s="389">
        <f>'Resumen all energy'!F45</f>
        <v>0</v>
      </c>
      <c r="G15" s="113">
        <f t="shared" si="0"/>
        <v>22.634868553259</v>
      </c>
    </row>
    <row r="16" spans="1:7">
      <c r="A16">
        <v>14</v>
      </c>
      <c r="B16" s="111" t="s">
        <v>210</v>
      </c>
      <c r="C16" s="389">
        <f>'Resumen all energy'!C46</f>
        <v>3.3668211143695017</v>
      </c>
      <c r="D16" s="389">
        <f>'Resumen all energy'!D46</f>
        <v>3.2960522997821672E-2</v>
      </c>
      <c r="E16" s="389">
        <f>'Resumen all energy'!E46</f>
        <v>0.1063159906469132</v>
      </c>
      <c r="F16" s="389">
        <f>'Resumen all energy'!F46</f>
        <v>0</v>
      </c>
      <c r="G16" s="113">
        <f t="shared" si="0"/>
        <v>3.5060976280142366</v>
      </c>
    </row>
    <row r="17" spans="1:7">
      <c r="A17">
        <v>15</v>
      </c>
      <c r="B17" s="111" t="s">
        <v>211</v>
      </c>
      <c r="C17" s="389">
        <f>'Resumen all energy'!C47</f>
        <v>308.18438709677423</v>
      </c>
      <c r="D17" s="389">
        <f>'Resumen all energy'!D47</f>
        <v>0.52258738804900151</v>
      </c>
      <c r="E17" s="389">
        <f>'Resumen all energy'!E47</f>
        <v>1.3671630586621295</v>
      </c>
      <c r="F17" s="389">
        <f>'Resumen all energy'!F47</f>
        <v>0</v>
      </c>
      <c r="G17" s="113">
        <f t="shared" si="0"/>
        <v>310.07413754348534</v>
      </c>
    </row>
    <row r="18" spans="1:7">
      <c r="A18">
        <v>16</v>
      </c>
      <c r="B18" s="111" t="s">
        <v>212</v>
      </c>
      <c r="C18" s="389">
        <f>'Resumen all energy'!C48</f>
        <v>363.61279472140757</v>
      </c>
      <c r="D18" s="389">
        <f>'Resumen all energy'!D48</f>
        <v>0.72694061264429211</v>
      </c>
      <c r="E18" s="389">
        <f>'Resumen all energy'!E48</f>
        <v>1.7528722916954871</v>
      </c>
      <c r="F18" s="389">
        <f>'Resumen all energy'!F48</f>
        <v>0</v>
      </c>
      <c r="G18" s="113">
        <f t="shared" si="0"/>
        <v>366.09260762574735</v>
      </c>
    </row>
    <row r="19" spans="1:7">
      <c r="A19">
        <v>17</v>
      </c>
      <c r="B19" s="111" t="s">
        <v>213</v>
      </c>
      <c r="C19" s="389">
        <f>'Resumen all energy'!C49</f>
        <v>1.8287243401759528</v>
      </c>
      <c r="D19" s="389">
        <f>'Resumen all energy'!D49</f>
        <v>1.9288228992831384E-2</v>
      </c>
      <c r="E19" s="389">
        <f>'Resumen all energy'!E49</f>
        <v>0.1722011971505602</v>
      </c>
      <c r="F19" s="389">
        <f>'Resumen all energy'!F49</f>
        <v>0</v>
      </c>
      <c r="G19" s="113">
        <f t="shared" si="0"/>
        <v>2.0202137663193445</v>
      </c>
    </row>
    <row r="20" spans="1:7">
      <c r="A20">
        <v>18</v>
      </c>
      <c r="B20" s="111" t="s">
        <v>214</v>
      </c>
      <c r="C20" s="389">
        <f>'Resumen all energy'!C50</f>
        <v>69.427136802081847</v>
      </c>
      <c r="D20" s="389">
        <f>'Resumen all energy'!D50</f>
        <v>11.097</v>
      </c>
      <c r="E20" s="389">
        <f>'Resumen all energy'!E50</f>
        <v>52.899999638307669</v>
      </c>
      <c r="F20" s="389">
        <f>'Resumen all energy'!F50</f>
        <v>0</v>
      </c>
      <c r="G20" s="113">
        <f t="shared" si="0"/>
        <v>133.4241364403895</v>
      </c>
    </row>
    <row r="21" spans="1:7">
      <c r="A21">
        <v>19</v>
      </c>
      <c r="B21" s="111" t="s">
        <v>215</v>
      </c>
      <c r="C21" s="389">
        <f>'Resumen all energy'!C51</f>
        <v>25.010031468531466</v>
      </c>
      <c r="D21" s="389">
        <f>'Resumen all energy'!D51</f>
        <v>0</v>
      </c>
      <c r="E21" s="389">
        <f>'Resumen all energy'!E51</f>
        <v>33.427</v>
      </c>
      <c r="F21" s="389">
        <f>'Resumen all energy'!F51</f>
        <v>0</v>
      </c>
      <c r="G21" s="113">
        <f t="shared" si="0"/>
        <v>58.437031468531465</v>
      </c>
    </row>
    <row r="22" spans="1:7">
      <c r="A22">
        <v>20</v>
      </c>
      <c r="B22" s="111" t="s">
        <v>216</v>
      </c>
      <c r="C22" s="389">
        <f>'Resumen all energy'!C52</f>
        <v>223.90642800000001</v>
      </c>
      <c r="D22" s="389">
        <f>'Resumen all energy'!D52</f>
        <v>336.61095895720445</v>
      </c>
      <c r="E22" s="389">
        <f>'Resumen all energy'!E52</f>
        <v>2.405614018581907</v>
      </c>
      <c r="F22" s="389">
        <f>'Resumen all energy'!F52</f>
        <v>0</v>
      </c>
      <c r="G22" s="113">
        <f t="shared" si="0"/>
        <v>562.92300097578641</v>
      </c>
    </row>
    <row r="23" spans="1:7">
      <c r="A23">
        <v>21</v>
      </c>
      <c r="B23" s="111" t="s">
        <v>217</v>
      </c>
      <c r="C23" s="389">
        <f>'Resumen all energy'!C53</f>
        <v>1.5939333333333333E-2</v>
      </c>
      <c r="D23" s="389">
        <f>'Resumen all energy'!D53</f>
        <v>225.67680208328852</v>
      </c>
      <c r="E23" s="389">
        <f>'Resumen all energy'!E53</f>
        <v>4.5064405431818111</v>
      </c>
      <c r="F23" s="389">
        <f>'Resumen all energy'!F53</f>
        <v>0</v>
      </c>
      <c r="G23" s="113">
        <f t="shared" si="0"/>
        <v>230.19918195980367</v>
      </c>
    </row>
    <row r="24" spans="1:7">
      <c r="A24">
        <v>22</v>
      </c>
      <c r="B24" s="112" t="s">
        <v>218</v>
      </c>
      <c r="C24" s="374">
        <f>'Resumen all energy'!C15</f>
        <v>0</v>
      </c>
      <c r="D24" s="374">
        <f>'Resumen all energy'!D15</f>
        <v>0</v>
      </c>
      <c r="E24" s="374">
        <f>'Resumen all energy'!E15</f>
        <v>3.4552374113249784</v>
      </c>
      <c r="F24" s="374">
        <f>'Resumen all energy'!F15</f>
        <v>0</v>
      </c>
      <c r="G24" s="113">
        <f t="shared" si="0"/>
        <v>3.4552374113249784</v>
      </c>
    </row>
    <row r="25" spans="1:7">
      <c r="A25">
        <v>23</v>
      </c>
      <c r="B25" s="112" t="s">
        <v>219</v>
      </c>
      <c r="C25" s="374">
        <f>'Resumen all energy'!C16</f>
        <v>0</v>
      </c>
      <c r="D25" s="374">
        <f>'Resumen all energy'!D16</f>
        <v>0</v>
      </c>
      <c r="E25" s="374">
        <f>'Resumen all energy'!E16</f>
        <v>0.51584152973533559</v>
      </c>
      <c r="F25" s="374">
        <f>'Resumen all energy'!F16</f>
        <v>0</v>
      </c>
      <c r="G25" s="113">
        <f t="shared" si="0"/>
        <v>0.51584152973533559</v>
      </c>
    </row>
    <row r="26" spans="1:7">
      <c r="A26">
        <v>24</v>
      </c>
      <c r="B26" s="112" t="s">
        <v>171</v>
      </c>
      <c r="C26" s="374">
        <f>'Resumen all energy'!C17</f>
        <v>0</v>
      </c>
      <c r="D26" s="374">
        <f>'Resumen all energy'!D17</f>
        <v>0</v>
      </c>
      <c r="E26" s="374">
        <f>'Resumen all energy'!E17</f>
        <v>0.74823261235103489</v>
      </c>
      <c r="F26" s="374">
        <f>'Resumen all energy'!F17</f>
        <v>0</v>
      </c>
      <c r="G26" s="113">
        <f t="shared" si="0"/>
        <v>0.74823261235103489</v>
      </c>
    </row>
    <row r="27" spans="1:7">
      <c r="A27">
        <v>25</v>
      </c>
      <c r="B27" s="112" t="s">
        <v>11</v>
      </c>
      <c r="C27" s="374">
        <f>'Resumen all energy'!C18</f>
        <v>0</v>
      </c>
      <c r="D27" s="374">
        <f>'Resumen all energy'!D18</f>
        <v>0</v>
      </c>
      <c r="E27" s="374">
        <f>'Resumen all energy'!E18</f>
        <v>2.4028706421451241E-3</v>
      </c>
      <c r="F27" s="374">
        <f>'Resumen all energy'!F18</f>
        <v>0</v>
      </c>
      <c r="G27" s="113">
        <f t="shared" si="0"/>
        <v>2.4028706421451241E-3</v>
      </c>
    </row>
    <row r="28" spans="1:7">
      <c r="A28">
        <v>26</v>
      </c>
      <c r="B28" s="112" t="s">
        <v>220</v>
      </c>
      <c r="C28" s="374">
        <f>'Resumen all energy'!C19</f>
        <v>0</v>
      </c>
      <c r="D28" s="374">
        <f>'Resumen all energy'!D19</f>
        <v>18.512329646008801</v>
      </c>
      <c r="E28" s="374">
        <f>'Resumen all energy'!E19</f>
        <v>0.27437083074119933</v>
      </c>
      <c r="F28" s="374">
        <f>'Resumen all energy'!F19</f>
        <v>0</v>
      </c>
      <c r="G28" s="113">
        <f t="shared" si="0"/>
        <v>18.786700476749999</v>
      </c>
    </row>
    <row r="29" spans="1:7">
      <c r="A29">
        <v>27</v>
      </c>
      <c r="B29" s="112" t="s">
        <v>365</v>
      </c>
      <c r="C29" s="374">
        <f>'Resumen all energy'!C20</f>
        <v>0</v>
      </c>
      <c r="D29" s="374">
        <f>'Resumen all energy'!D20</f>
        <v>10.895026555550661</v>
      </c>
      <c r="E29" s="374">
        <f>'Resumen all energy'!E20</f>
        <v>0.16147494908283141</v>
      </c>
      <c r="F29" s="410">
        <v>0</v>
      </c>
      <c r="G29" s="113">
        <f t="shared" si="0"/>
        <v>11.056501504633493</v>
      </c>
    </row>
    <row r="30" spans="1:7">
      <c r="A30">
        <v>28</v>
      </c>
      <c r="B30" s="112" t="s">
        <v>366</v>
      </c>
      <c r="C30" s="374">
        <f>'Resumen all energy'!C21</f>
        <v>0</v>
      </c>
      <c r="D30" s="374">
        <f>'Resumen all energy'!D21</f>
        <v>0</v>
      </c>
      <c r="E30" s="374">
        <f>'Resumen all energy'!E21</f>
        <v>7.0719750089882986E-5</v>
      </c>
      <c r="F30" s="374">
        <f>'Resumen all energy'!F21</f>
        <v>0</v>
      </c>
      <c r="G30" s="113">
        <f t="shared" si="0"/>
        <v>7.0719750089882986E-5</v>
      </c>
    </row>
    <row r="31" spans="1:7">
      <c r="A31">
        <v>29</v>
      </c>
      <c r="B31" s="112" t="s">
        <v>187</v>
      </c>
      <c r="C31" s="374">
        <f>'Resumen all energy'!C22</f>
        <v>0</v>
      </c>
      <c r="D31" s="374">
        <f>'Resumen all energy'!D22</f>
        <v>0</v>
      </c>
      <c r="E31" s="374">
        <f>'Resumen all energy'!E22</f>
        <v>1.454606009251479</v>
      </c>
      <c r="F31" s="374">
        <f>'Resumen all energy'!F22</f>
        <v>0</v>
      </c>
      <c r="G31" s="113">
        <f t="shared" si="0"/>
        <v>1.454606009251479</v>
      </c>
    </row>
    <row r="32" spans="1:7">
      <c r="A32">
        <v>30</v>
      </c>
      <c r="B32" s="111" t="s">
        <v>222</v>
      </c>
      <c r="C32" s="374">
        <f>'Resumen all energy'!C23</f>
        <v>339.90100000000001</v>
      </c>
      <c r="D32" s="374">
        <f>'Resumen all energy'!D23</f>
        <v>0</v>
      </c>
      <c r="E32" s="374">
        <f>'Resumen all energy'!E23</f>
        <v>4.4243572746439863</v>
      </c>
      <c r="F32" s="374">
        <f>'Resumen all energy'!F23</f>
        <v>0</v>
      </c>
      <c r="G32" s="113">
        <f t="shared" si="0"/>
        <v>344.32535727464398</v>
      </c>
    </row>
    <row r="33" spans="1:9">
      <c r="A33">
        <v>31</v>
      </c>
      <c r="B33" s="111" t="s">
        <v>224</v>
      </c>
      <c r="C33" s="374">
        <f>'Resumen all energy'!C24</f>
        <v>361.71133899901304</v>
      </c>
      <c r="D33" s="374">
        <f>'Resumen all energy'!D24</f>
        <v>1274.2826437984406</v>
      </c>
      <c r="E33" s="374">
        <f>'Resumen all energy'!E24</f>
        <v>18.886115052161905</v>
      </c>
      <c r="F33" s="374">
        <f>'Resumen all energy'!F24</f>
        <v>0</v>
      </c>
      <c r="G33" s="113">
        <f t="shared" si="0"/>
        <v>1654.8800978496154</v>
      </c>
    </row>
    <row r="34" spans="1:9">
      <c r="A34">
        <v>32</v>
      </c>
      <c r="B34" s="111" t="s">
        <v>223</v>
      </c>
      <c r="C34" s="590">
        <f>'Resumen all energy'!C25</f>
        <v>5.2566237814873338</v>
      </c>
      <c r="D34" s="374">
        <f>'Resumen all energy'!D25</f>
        <v>0</v>
      </c>
      <c r="E34" s="374">
        <f>'Resumen all energy'!E25</f>
        <v>0.27446527332495663</v>
      </c>
      <c r="F34" s="374">
        <f>'Resumen all energy'!F25</f>
        <v>0</v>
      </c>
      <c r="G34" s="113">
        <f t="shared" si="0"/>
        <v>5.5310890548122904</v>
      </c>
    </row>
    <row r="35" spans="1:9">
      <c r="A35">
        <v>33</v>
      </c>
      <c r="B35" s="111" t="s">
        <v>221</v>
      </c>
      <c r="C35" s="374">
        <f>'Resumen all energy'!C26</f>
        <v>121.29803721949962</v>
      </c>
      <c r="D35" s="374">
        <f>'Resumen all energy'!D26</f>
        <v>0</v>
      </c>
      <c r="E35" s="374">
        <f>'Resumen all energy'!E26</f>
        <v>6.3333615497609204</v>
      </c>
      <c r="F35" s="374">
        <f>'Resumen all energy'!F26</f>
        <v>0</v>
      </c>
      <c r="G35" s="113">
        <f t="shared" si="0"/>
        <v>127.63139876926054</v>
      </c>
    </row>
    <row r="36" spans="1:9">
      <c r="B36" s="112"/>
      <c r="C36" s="114">
        <f>SUM(C3:C35)</f>
        <v>2489.8895778111801</v>
      </c>
      <c r="D36" s="114">
        <f t="shared" ref="D36:G36" si="1">SUM(D3:D35)</f>
        <v>2653.0483017934339</v>
      </c>
      <c r="E36" s="114">
        <f t="shared" si="1"/>
        <v>707.38255606063456</v>
      </c>
      <c r="F36" s="114">
        <f t="shared" si="1"/>
        <v>63.782443000000001</v>
      </c>
      <c r="G36" s="114">
        <f t="shared" si="1"/>
        <v>5914.1028786652496</v>
      </c>
    </row>
    <row r="37" spans="1:9">
      <c r="B37" s="112"/>
      <c r="C37" s="112"/>
      <c r="D37" s="112"/>
      <c r="E37" s="112"/>
      <c r="F37" s="112"/>
      <c r="G37" s="112"/>
    </row>
    <row r="38" spans="1:9">
      <c r="B38" s="409" t="s">
        <v>241</v>
      </c>
      <c r="C38" s="113">
        <f>'Resumen all energy'!C58</f>
        <v>258.308876</v>
      </c>
      <c r="D38" s="113">
        <f>'Resumen all energy'!D58</f>
        <v>33.802999999999997</v>
      </c>
      <c r="E38" s="592">
        <f>'Resumen all energy'!E58</f>
        <v>195.17500000000001</v>
      </c>
      <c r="F38" s="113">
        <f>'Resumen all energy'!F58</f>
        <v>255.42239699999999</v>
      </c>
      <c r="G38" s="113">
        <f>SUM(C38:F38)</f>
        <v>742.70927299999994</v>
      </c>
    </row>
    <row r="39" spans="1:9">
      <c r="B39" s="409" t="s">
        <v>748</v>
      </c>
      <c r="C39" s="113">
        <f>'Resumen all energy'!C57</f>
        <v>1453.7676719999999</v>
      </c>
      <c r="D39" s="113">
        <f>'Resumen all energy'!D57</f>
        <v>0</v>
      </c>
      <c r="E39" s="592">
        <f>'Resumen all energy'!E57</f>
        <v>4.5542567697503818E-2</v>
      </c>
      <c r="F39" s="113">
        <f>'Resumen all energy'!F57</f>
        <v>0</v>
      </c>
      <c r="G39" s="113">
        <f t="shared" ref="G39" si="2">SUM(C39:F39)</f>
        <v>1453.8132145676975</v>
      </c>
    </row>
    <row r="40" spans="1:9">
      <c r="B40" s="112"/>
      <c r="C40" s="114">
        <f>SUM(C38:C39)</f>
        <v>1712.076548</v>
      </c>
      <c r="D40" s="114">
        <f t="shared" ref="D40:G40" si="3">SUM(D38:D39)</f>
        <v>33.802999999999997</v>
      </c>
      <c r="E40" s="114">
        <f t="shared" si="3"/>
        <v>195.22054256769752</v>
      </c>
      <c r="F40" s="114">
        <f t="shared" si="3"/>
        <v>255.42239699999999</v>
      </c>
      <c r="G40" s="114">
        <f t="shared" si="3"/>
        <v>2196.5224875676977</v>
      </c>
    </row>
    <row r="41" spans="1:9">
      <c r="B41" s="112"/>
      <c r="C41" s="112"/>
      <c r="D41" s="112"/>
      <c r="E41" s="112"/>
      <c r="F41" s="112"/>
      <c r="G41" s="112"/>
    </row>
    <row r="42" spans="1:9">
      <c r="B42" s="120" t="s">
        <v>7</v>
      </c>
      <c r="C42" s="114">
        <f>C36+C40</f>
        <v>4201.9661258111801</v>
      </c>
      <c r="D42" s="114">
        <f t="shared" ref="D42:F42" si="4">D36+D40</f>
        <v>2686.8513017934338</v>
      </c>
      <c r="E42" s="593">
        <f t="shared" si="4"/>
        <v>902.60309862833208</v>
      </c>
      <c r="F42" s="114">
        <f t="shared" si="4"/>
        <v>319.20483999999999</v>
      </c>
      <c r="G42" s="114">
        <f>G36+G40</f>
        <v>8110.6253662329473</v>
      </c>
      <c r="I42" s="114"/>
    </row>
    <row r="43" spans="1:9">
      <c r="C43" s="112"/>
      <c r="D43" s="112"/>
      <c r="E43" s="112"/>
      <c r="F43" s="112"/>
      <c r="G43" s="112"/>
    </row>
    <row r="44" spans="1:9">
      <c r="B44" s="112"/>
      <c r="C44" s="112"/>
      <c r="D44" s="112"/>
      <c r="E44" s="112"/>
      <c r="F44" s="112"/>
      <c r="G44" s="112"/>
    </row>
    <row r="45" spans="1:9">
      <c r="B45" s="364" t="s">
        <v>226</v>
      </c>
      <c r="C45" s="113">
        <f>SUM(C3:C4)</f>
        <v>121.58713299999999</v>
      </c>
      <c r="D45" s="113">
        <f t="shared" ref="D45:F45" si="5">SUM(D3:D4)</f>
        <v>6.5447287070636406E-2</v>
      </c>
      <c r="E45" s="113">
        <f t="shared" si="5"/>
        <v>37.028000000000006</v>
      </c>
      <c r="F45" s="113">
        <f t="shared" si="5"/>
        <v>0</v>
      </c>
      <c r="G45" s="113">
        <f>SUM(C45:F45)</f>
        <v>158.68058028707065</v>
      </c>
    </row>
    <row r="46" spans="1:9">
      <c r="B46" s="365" t="s">
        <v>387</v>
      </c>
      <c r="C46" s="113">
        <f>SUM(C5:C10,C12:C13)</f>
        <v>411.05060300000002</v>
      </c>
      <c r="D46" s="113">
        <f t="shared" ref="D46:F46" si="6">SUM(D5:D10,D12:D13)</f>
        <v>593.18299999999999</v>
      </c>
      <c r="E46" s="113">
        <f t="shared" si="6"/>
        <v>530.98399999999992</v>
      </c>
      <c r="F46" s="113">
        <f t="shared" si="6"/>
        <v>63.782443000000001</v>
      </c>
      <c r="G46" s="113">
        <f t="shared" ref="G46:G51" si="7">SUM(C46:F46)</f>
        <v>1599.0000460000001</v>
      </c>
    </row>
    <row r="47" spans="1:9">
      <c r="B47" s="366" t="s">
        <v>570</v>
      </c>
      <c r="C47" s="113">
        <f>SUM(C14:C19,C39)</f>
        <v>2254.9638948739002</v>
      </c>
      <c r="D47" s="113">
        <f t="shared" ref="D47:F47" si="8">SUM(D14:D19,D39)</f>
        <v>1.3886131564022892</v>
      </c>
      <c r="E47" s="113">
        <f t="shared" si="8"/>
        <v>4.226999960136375</v>
      </c>
      <c r="F47" s="113">
        <f t="shared" si="8"/>
        <v>0</v>
      </c>
      <c r="G47" s="113">
        <f t="shared" si="7"/>
        <v>2260.5795079904387</v>
      </c>
    </row>
    <row r="48" spans="1:9">
      <c r="B48" s="367" t="s">
        <v>214</v>
      </c>
      <c r="C48" s="113">
        <f>C20</f>
        <v>69.427136802081847</v>
      </c>
      <c r="D48" s="113">
        <f t="shared" ref="D48:F48" si="9">D20</f>
        <v>11.097</v>
      </c>
      <c r="E48" s="113">
        <f t="shared" si="9"/>
        <v>52.899999638307669</v>
      </c>
      <c r="F48" s="113">
        <f t="shared" si="9"/>
        <v>0</v>
      </c>
      <c r="G48" s="113">
        <f t="shared" si="7"/>
        <v>133.4241364403895</v>
      </c>
    </row>
    <row r="49" spans="2:8">
      <c r="B49" s="367" t="s">
        <v>215</v>
      </c>
      <c r="C49" s="113">
        <f>C21</f>
        <v>25.010031468531466</v>
      </c>
      <c r="D49" s="113">
        <f t="shared" ref="D49:F49" si="10">D21</f>
        <v>0</v>
      </c>
      <c r="E49" s="113">
        <f t="shared" si="10"/>
        <v>33.427</v>
      </c>
      <c r="F49" s="113">
        <f t="shared" si="10"/>
        <v>0</v>
      </c>
      <c r="G49" s="113">
        <f t="shared" si="7"/>
        <v>58.437031468531465</v>
      </c>
    </row>
    <row r="50" spans="2:8">
      <c r="B50" s="367" t="s">
        <v>241</v>
      </c>
      <c r="C50" s="113">
        <f>C38</f>
        <v>258.308876</v>
      </c>
      <c r="D50" s="113">
        <f>D38</f>
        <v>33.802999999999997</v>
      </c>
      <c r="E50" s="113">
        <f t="shared" ref="E50:F50" si="11">E38</f>
        <v>195.17500000000001</v>
      </c>
      <c r="F50" s="113">
        <f t="shared" si="11"/>
        <v>255.42239699999999</v>
      </c>
      <c r="G50" s="113">
        <f t="shared" si="7"/>
        <v>742.70927299999994</v>
      </c>
    </row>
    <row r="51" spans="2:8">
      <c r="B51" s="367" t="s">
        <v>388</v>
      </c>
      <c r="C51" s="113">
        <f>SUM(C11,C22:C23)</f>
        <v>233.45145066666669</v>
      </c>
      <c r="D51" s="113">
        <f t="shared" ref="D51:F51" si="12">SUM(D11,D22:D23)</f>
        <v>743.62424134996115</v>
      </c>
      <c r="E51" s="113">
        <f t="shared" si="12"/>
        <v>12.331562947117295</v>
      </c>
      <c r="F51" s="113">
        <f t="shared" si="12"/>
        <v>0</v>
      </c>
      <c r="G51" s="113">
        <f t="shared" si="7"/>
        <v>989.40725496374512</v>
      </c>
    </row>
    <row r="52" spans="2:8">
      <c r="B52" s="112" t="s">
        <v>421</v>
      </c>
      <c r="C52" s="374">
        <f>SUM(C24:C35)</f>
        <v>828.16699999999992</v>
      </c>
      <c r="D52" s="374">
        <f t="shared" ref="D52:F52" si="13">SUM(D24:D35)</f>
        <v>1303.69</v>
      </c>
      <c r="E52" s="374">
        <f t="shared" si="13"/>
        <v>36.530536082770865</v>
      </c>
      <c r="F52" s="374">
        <f t="shared" si="13"/>
        <v>0</v>
      </c>
      <c r="G52" s="113">
        <f>SUM(C52:F52)</f>
        <v>2168.387536082771</v>
      </c>
    </row>
    <row r="53" spans="2:8">
      <c r="B53" s="120" t="s">
        <v>7</v>
      </c>
      <c r="C53" s="114">
        <f>SUM(C45:C52)</f>
        <v>4201.966125811181</v>
      </c>
      <c r="D53" s="114">
        <f t="shared" ref="D53:F53" si="14">SUM(D45:D52)</f>
        <v>2686.8513017934338</v>
      </c>
      <c r="E53" s="114">
        <f t="shared" si="14"/>
        <v>902.60309862833208</v>
      </c>
      <c r="F53" s="114">
        <f t="shared" si="14"/>
        <v>319.20483999999999</v>
      </c>
      <c r="G53" s="114">
        <f>SUM(G45:G52)</f>
        <v>8110.6253662329455</v>
      </c>
    </row>
    <row r="54" spans="2:8">
      <c r="B54" s="5"/>
      <c r="C54" s="5"/>
      <c r="D54" s="5"/>
      <c r="E54" s="5"/>
      <c r="F54" s="5"/>
      <c r="G54" s="5"/>
    </row>
    <row r="55" spans="2:8">
      <c r="B55" s="5" t="s">
        <v>937</v>
      </c>
      <c r="C55" s="625">
        <f>SUM(C45:C50)/0.0036</f>
        <v>872318.7986512538</v>
      </c>
      <c r="D55" s="625">
        <f t="shared" ref="D55:G55" si="15">SUM(D45:D50)/0.0036</f>
        <v>177649.18345652023</v>
      </c>
      <c r="E55" s="625">
        <f>SUM(E45:E50)/0.0036</f>
        <v>237150.27766623444</v>
      </c>
      <c r="F55" s="625">
        <f t="shared" si="15"/>
        <v>88668.011111111104</v>
      </c>
      <c r="G55" s="625">
        <f t="shared" si="15"/>
        <v>1375786.2708851194</v>
      </c>
    </row>
    <row r="56" spans="2:8">
      <c r="B56" t="s">
        <v>938</v>
      </c>
      <c r="E56" s="324">
        <f>'Step3-electricity '!T15</f>
        <v>296338.36237880535</v>
      </c>
    </row>
    <row r="57" spans="2:8">
      <c r="B57" t="s">
        <v>939</v>
      </c>
      <c r="E57" s="626">
        <f>(E56-E55)/E55</f>
        <v>0.24958049931475218</v>
      </c>
    </row>
    <row r="59" spans="2:8" ht="16.5" thickBot="1">
      <c r="C59" s="634" t="s">
        <v>419</v>
      </c>
      <c r="D59" s="634" t="s">
        <v>384</v>
      </c>
      <c r="E59" s="399" t="s">
        <v>172</v>
      </c>
      <c r="F59" s="635" t="s">
        <v>386</v>
      </c>
      <c r="G59" s="634" t="s">
        <v>7</v>
      </c>
      <c r="H59" s="635"/>
    </row>
    <row r="60" spans="2:8">
      <c r="B60" s="636" t="s">
        <v>941</v>
      </c>
      <c r="C60" s="637">
        <f>+C3+C4</f>
        <v>121.58713299999999</v>
      </c>
      <c r="D60" s="637">
        <f t="shared" ref="D60:G60" si="16">+D3+D4</f>
        <v>6.5447287070636406E-2</v>
      </c>
      <c r="E60" s="637">
        <f t="shared" si="16"/>
        <v>37.028000000000006</v>
      </c>
      <c r="F60" s="637">
        <f t="shared" si="16"/>
        <v>0</v>
      </c>
      <c r="G60" s="638">
        <f t="shared" si="16"/>
        <v>158.68058028707063</v>
      </c>
      <c r="H60" s="639"/>
    </row>
    <row r="61" spans="2:8">
      <c r="B61" s="640" t="s">
        <v>274</v>
      </c>
      <c r="C61" s="641">
        <f>+SUM(C5:C10,C12:C13)</f>
        <v>411.05060300000002</v>
      </c>
      <c r="D61" s="641">
        <f t="shared" ref="D61:G61" si="17">+SUM(D5:D10,D12:D13)</f>
        <v>593.18299999999999</v>
      </c>
      <c r="E61" s="641">
        <f t="shared" si="17"/>
        <v>530.98399999999992</v>
      </c>
      <c r="F61" s="641">
        <f t="shared" si="17"/>
        <v>63.782443000000001</v>
      </c>
      <c r="G61" s="642">
        <f t="shared" si="17"/>
        <v>1599.0000459999999</v>
      </c>
      <c r="H61" s="643"/>
    </row>
    <row r="62" spans="2:8">
      <c r="B62" s="640" t="s">
        <v>942</v>
      </c>
      <c r="C62" s="641">
        <f>+SUM(C14:C19)</f>
        <v>801.1962228739003</v>
      </c>
      <c r="D62" s="641">
        <f t="shared" ref="D62:G62" si="18">+SUM(D14:D19)</f>
        <v>1.3886131564022892</v>
      </c>
      <c r="E62" s="641">
        <f t="shared" si="18"/>
        <v>4.1814573924388716</v>
      </c>
      <c r="F62" s="641">
        <f t="shared" si="18"/>
        <v>0</v>
      </c>
      <c r="G62" s="642">
        <f t="shared" si="18"/>
        <v>806.76629342274146</v>
      </c>
      <c r="H62" s="643"/>
    </row>
    <row r="63" spans="2:8">
      <c r="B63" s="644" t="s">
        <v>398</v>
      </c>
      <c r="C63" s="641">
        <f>+C20+C21</f>
        <v>94.437168270613313</v>
      </c>
      <c r="D63" s="641">
        <f t="shared" ref="D63:G63" si="19">+D20+D21</f>
        <v>11.097</v>
      </c>
      <c r="E63" s="641">
        <f t="shared" si="19"/>
        <v>86.326999638307669</v>
      </c>
      <c r="F63" s="641">
        <f t="shared" si="19"/>
        <v>0</v>
      </c>
      <c r="G63" s="642">
        <f t="shared" si="19"/>
        <v>191.86116790892098</v>
      </c>
      <c r="H63" s="643"/>
    </row>
    <row r="64" spans="2:8">
      <c r="B64" s="644" t="s">
        <v>945</v>
      </c>
      <c r="C64" s="641">
        <f>+C22+C23+C11</f>
        <v>233.45145066666669</v>
      </c>
      <c r="D64" s="641">
        <f t="shared" ref="D64:G64" si="20">+D22+D23+D11</f>
        <v>743.62424134996115</v>
      </c>
      <c r="E64" s="641">
        <f t="shared" si="20"/>
        <v>12.331562947117295</v>
      </c>
      <c r="F64" s="641">
        <f t="shared" si="20"/>
        <v>0</v>
      </c>
      <c r="G64" s="642">
        <f t="shared" si="20"/>
        <v>989.40725496374512</v>
      </c>
      <c r="H64" s="643"/>
    </row>
    <row r="65" spans="2:8">
      <c r="B65" s="644" t="s">
        <v>943</v>
      </c>
      <c r="C65" s="641">
        <f>+SUM(C24:C35)</f>
        <v>828.16699999999992</v>
      </c>
      <c r="D65" s="641">
        <f t="shared" ref="D65:G65" si="21">+SUM(D24:D35)</f>
        <v>1303.69</v>
      </c>
      <c r="E65" s="641">
        <f t="shared" si="21"/>
        <v>36.530536082770865</v>
      </c>
      <c r="F65" s="641">
        <f t="shared" si="21"/>
        <v>0</v>
      </c>
      <c r="G65" s="642">
        <f t="shared" si="21"/>
        <v>2168.3875360827706</v>
      </c>
      <c r="H65" s="643"/>
    </row>
    <row r="66" spans="2:8">
      <c r="B66" s="644" t="s">
        <v>944</v>
      </c>
      <c r="C66" s="641">
        <f>+C40</f>
        <v>1712.076548</v>
      </c>
      <c r="D66" s="641">
        <f t="shared" ref="D66:G66" si="22">+D40</f>
        <v>33.802999999999997</v>
      </c>
      <c r="E66" s="641">
        <f t="shared" si="22"/>
        <v>195.22054256769752</v>
      </c>
      <c r="F66" s="641">
        <f t="shared" si="22"/>
        <v>255.42239699999999</v>
      </c>
      <c r="G66" s="642">
        <f t="shared" si="22"/>
        <v>2196.5224875676977</v>
      </c>
      <c r="H66" s="643"/>
    </row>
    <row r="67" spans="2:8" ht="16.5" thickBot="1">
      <c r="B67" s="645" t="s">
        <v>7</v>
      </c>
      <c r="C67" s="646">
        <f>SUM(C60:C66)</f>
        <v>4201.9661258111801</v>
      </c>
      <c r="D67" s="646">
        <f t="shared" ref="D67" si="23">SUM(D60:D66)</f>
        <v>2686.8513017934338</v>
      </c>
      <c r="E67" s="646">
        <f t="shared" ref="E67" si="24">SUM(E60:E66)</f>
        <v>902.60309862833219</v>
      </c>
      <c r="F67" s="646">
        <f t="shared" ref="F67" si="25">SUM(F60:F66)</f>
        <v>319.20483999999999</v>
      </c>
      <c r="G67" s="646">
        <f t="shared" ref="G67" si="26">SUM(G60:G66)</f>
        <v>8110.6253662329464</v>
      </c>
      <c r="H67" s="647"/>
    </row>
    <row r="69" spans="2:8">
      <c r="C69" s="648">
        <f>+C67/$G$67</f>
        <v>0.51808164427187953</v>
      </c>
      <c r="D69" s="648">
        <f t="shared" ref="D69:F69" si="27">+D67/$G$67</f>
        <v>0.33127547882801128</v>
      </c>
      <c r="E69" s="648">
        <f t="shared" si="27"/>
        <v>0.11128649862021113</v>
      </c>
      <c r="F69" s="648">
        <f t="shared" si="27"/>
        <v>3.9356378279897984E-2</v>
      </c>
    </row>
    <row r="70" spans="2:8">
      <c r="G70" s="324">
        <f>+G66+G65+G61</f>
        <v>5963.9100696504684</v>
      </c>
    </row>
    <row r="71" spans="2:8">
      <c r="G71" s="648">
        <f>+G70/G67</f>
        <v>0.73532061960105799</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Readme</vt:lpstr>
      <vt:lpstr>Segmentation</vt:lpstr>
      <vt:lpstr>(Equivalencias)</vt:lpstr>
      <vt:lpstr>SIE-Balance electricidad</vt:lpstr>
      <vt:lpstr>PRODESEN</vt:lpstr>
      <vt:lpstr>SEC elec-SIE</vt:lpstr>
      <vt:lpstr>DATOS 2013</vt:lpstr>
      <vt:lpstr>Energia PJ</vt:lpstr>
      <vt:lpstr>Usos Propios Sec Elec</vt:lpstr>
      <vt:lpstr>RESUMEN_SEC ELEC_PJ</vt:lpstr>
      <vt:lpstr>PEMEX</vt:lpstr>
      <vt:lpstr>AggrStep1-energy</vt:lpstr>
      <vt:lpstr>Step1-V1</vt:lpstr>
      <vt:lpstr>Step1-V1 (2)</vt:lpstr>
      <vt:lpstr>Step1-V2</vt:lpstr>
      <vt:lpstr>Step3-electricity </vt:lpstr>
      <vt:lpstr>Resumen electricidad </vt:lpstr>
      <vt:lpstr>Resumen all energy</vt:lpstr>
      <vt:lpstr>For ThreeME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Gissela Landa Rivera</dc:creator>
  <cp:lastModifiedBy>SCIENCES.PO</cp:lastModifiedBy>
  <dcterms:created xsi:type="dcterms:W3CDTF">2018-04-09T15:33:17Z</dcterms:created>
  <dcterms:modified xsi:type="dcterms:W3CDTF">2019-04-24T15:20:53Z</dcterms:modified>
</cp:coreProperties>
</file>