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EC99AA7F-DEDA-5E49-8611-D9E765CC7CE4}" xr6:coauthVersionLast="47" xr6:coauthVersionMax="47" xr10:uidLastSave="{00000000-0000-0000-0000-000000000000}"/>
  <bookViews>
    <workbookView xWindow="0" yWindow="680" windowWidth="28800" windowHeight="16540" activeTab="9" xr2:uid="{25DC4B84-6F09-4803-9B05-C6AAD96E51D9}"/>
  </bookViews>
  <sheets>
    <sheet name="机组信息" sheetId="3" r:id="rId1"/>
    <sheet name="基年装机" sheetId="2" r:id="rId2"/>
    <sheet name="投资成本" sheetId="4" r:id="rId3"/>
    <sheet name="燃料成本" sheetId="5" r:id="rId4"/>
    <sheet name="生物质价格" sheetId="7" r:id="rId5"/>
    <sheet name="EFF" sheetId="8" r:id="rId6"/>
    <sheet name="AF" sheetId="9" r:id="rId7"/>
    <sheet name="光伏政策约束" sheetId="10" r:id="rId8"/>
    <sheet name="风电政策约束" sheetId="11" r:id="rId9"/>
    <sheet name="资源潜力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J34" i="4"/>
  <c r="I34" i="4"/>
  <c r="H34" i="4"/>
  <c r="G34" i="4"/>
  <c r="F34" i="4"/>
  <c r="E34" i="4"/>
  <c r="D34" i="4"/>
  <c r="C34" i="4"/>
  <c r="B34" i="4"/>
  <c r="E32" i="8" l="1"/>
  <c r="F32" i="8" s="1"/>
  <c r="G32" i="8" s="1"/>
  <c r="H32" i="8" s="1"/>
  <c r="I32" i="8" s="1"/>
  <c r="J32" i="8" s="1"/>
  <c r="K32" i="8" s="1"/>
  <c r="L32" i="8" s="1"/>
  <c r="M32" i="8" s="1"/>
  <c r="F31" i="8"/>
  <c r="G31" i="8" s="1"/>
  <c r="H31" i="8" s="1"/>
  <c r="I31" i="8" s="1"/>
  <c r="J31" i="8" s="1"/>
  <c r="K31" i="8" s="1"/>
  <c r="L31" i="8" s="1"/>
  <c r="M31" i="8" s="1"/>
  <c r="E31" i="8"/>
  <c r="E30" i="8"/>
  <c r="F30" i="8" s="1"/>
  <c r="G30" i="8" s="1"/>
  <c r="H30" i="8" s="1"/>
  <c r="I30" i="8" s="1"/>
  <c r="J30" i="8" s="1"/>
  <c r="K30" i="8" s="1"/>
  <c r="L30" i="8" s="1"/>
  <c r="M30" i="8" s="1"/>
  <c r="E29" i="8"/>
  <c r="F29" i="8" s="1"/>
  <c r="G29" i="8" s="1"/>
  <c r="H29" i="8" s="1"/>
  <c r="I29" i="8" s="1"/>
  <c r="J29" i="8" s="1"/>
  <c r="K29" i="8" s="1"/>
  <c r="L29" i="8" s="1"/>
  <c r="M29" i="8" s="1"/>
  <c r="E28" i="8"/>
  <c r="F28" i="8" s="1"/>
  <c r="G28" i="8" s="1"/>
  <c r="H28" i="8" s="1"/>
  <c r="I28" i="8" s="1"/>
  <c r="J28" i="8" s="1"/>
  <c r="K28" i="8" s="1"/>
  <c r="L28" i="8" s="1"/>
  <c r="M28" i="8" s="1"/>
  <c r="E27" i="8"/>
  <c r="F27" i="8" s="1"/>
  <c r="G27" i="8" s="1"/>
  <c r="H27" i="8" s="1"/>
  <c r="I27" i="8" s="1"/>
  <c r="J27" i="8" s="1"/>
  <c r="K27" i="8" s="1"/>
  <c r="L27" i="8" s="1"/>
  <c r="M27" i="8" s="1"/>
  <c r="E26" i="8"/>
  <c r="F26" i="8" s="1"/>
  <c r="G26" i="8" s="1"/>
  <c r="H26" i="8" s="1"/>
  <c r="I26" i="8" s="1"/>
  <c r="J26" i="8" s="1"/>
  <c r="K26" i="8" s="1"/>
  <c r="L26" i="8" s="1"/>
  <c r="M26" i="8" s="1"/>
  <c r="E25" i="8"/>
  <c r="F25" i="8" s="1"/>
  <c r="G25" i="8" s="1"/>
  <c r="H25" i="8" s="1"/>
  <c r="I25" i="8" s="1"/>
  <c r="J25" i="8" s="1"/>
  <c r="K25" i="8" s="1"/>
  <c r="L25" i="8" s="1"/>
  <c r="M25" i="8" s="1"/>
  <c r="E24" i="8"/>
  <c r="F24" i="8" s="1"/>
  <c r="G24" i="8" s="1"/>
  <c r="H24" i="8" s="1"/>
  <c r="I24" i="8" s="1"/>
  <c r="J24" i="8" s="1"/>
  <c r="K24" i="8" s="1"/>
  <c r="L24" i="8" s="1"/>
  <c r="M24" i="8" s="1"/>
  <c r="E23" i="8"/>
  <c r="F23" i="8" s="1"/>
  <c r="G23" i="8" s="1"/>
  <c r="H23" i="8" s="1"/>
  <c r="I23" i="8" s="1"/>
  <c r="J23" i="8" s="1"/>
  <c r="K23" i="8" s="1"/>
  <c r="L23" i="8" s="1"/>
  <c r="M23" i="8" s="1"/>
  <c r="E22" i="8"/>
  <c r="F22" i="8" s="1"/>
  <c r="G22" i="8" s="1"/>
  <c r="H22" i="8" s="1"/>
  <c r="I22" i="8" s="1"/>
  <c r="J22" i="8" s="1"/>
  <c r="K22" i="8" s="1"/>
  <c r="L22" i="8" s="1"/>
  <c r="M22" i="8" s="1"/>
  <c r="E21" i="8"/>
  <c r="F21" i="8" s="1"/>
  <c r="G21" i="8" s="1"/>
  <c r="H21" i="8" s="1"/>
  <c r="I21" i="8" s="1"/>
  <c r="J21" i="8" s="1"/>
  <c r="K21" i="8" s="1"/>
  <c r="L21" i="8" s="1"/>
  <c r="M21" i="8" s="1"/>
  <c r="F20" i="8"/>
  <c r="G20" i="8" s="1"/>
  <c r="H20" i="8" s="1"/>
  <c r="I20" i="8" s="1"/>
  <c r="J20" i="8" s="1"/>
  <c r="K20" i="8" s="1"/>
  <c r="L20" i="8" s="1"/>
  <c r="M20" i="8" s="1"/>
  <c r="E20" i="8"/>
  <c r="E19" i="8"/>
  <c r="F19" i="8" s="1"/>
  <c r="G19" i="8" s="1"/>
  <c r="H19" i="8" s="1"/>
  <c r="I19" i="8" s="1"/>
  <c r="J19" i="8" s="1"/>
  <c r="K19" i="8" s="1"/>
  <c r="L19" i="8" s="1"/>
  <c r="M19" i="8" s="1"/>
  <c r="E18" i="8"/>
  <c r="F18" i="8" s="1"/>
  <c r="G18" i="8" s="1"/>
  <c r="H18" i="8" s="1"/>
  <c r="I18" i="8" s="1"/>
  <c r="J18" i="8" s="1"/>
  <c r="K18" i="8" s="1"/>
  <c r="L18" i="8" s="1"/>
  <c r="M18" i="8" s="1"/>
  <c r="E17" i="8"/>
  <c r="F17" i="8" s="1"/>
  <c r="G17" i="8" s="1"/>
  <c r="H17" i="8" s="1"/>
  <c r="I17" i="8" s="1"/>
  <c r="J17" i="8" s="1"/>
  <c r="K17" i="8" s="1"/>
  <c r="L17" i="8" s="1"/>
  <c r="M17" i="8" s="1"/>
  <c r="E16" i="8"/>
  <c r="F16" i="8" s="1"/>
  <c r="G16" i="8" s="1"/>
  <c r="H16" i="8" s="1"/>
  <c r="I16" i="8" s="1"/>
  <c r="J16" i="8" s="1"/>
  <c r="K16" i="8" s="1"/>
  <c r="L16" i="8" s="1"/>
  <c r="M16" i="8" s="1"/>
  <c r="E15" i="8"/>
  <c r="F15" i="8" s="1"/>
  <c r="G15" i="8" s="1"/>
  <c r="H15" i="8" s="1"/>
  <c r="I15" i="8" s="1"/>
  <c r="J15" i="8" s="1"/>
  <c r="K15" i="8" s="1"/>
  <c r="L15" i="8" s="1"/>
  <c r="M15" i="8" s="1"/>
  <c r="E14" i="8"/>
  <c r="F14" i="8" s="1"/>
  <c r="G14" i="8" s="1"/>
  <c r="H14" i="8" s="1"/>
  <c r="I14" i="8" s="1"/>
  <c r="J14" i="8" s="1"/>
  <c r="K14" i="8" s="1"/>
  <c r="L14" i="8" s="1"/>
  <c r="M14" i="8" s="1"/>
  <c r="E13" i="8"/>
  <c r="F13" i="8" s="1"/>
  <c r="G13" i="8" s="1"/>
  <c r="H13" i="8" s="1"/>
  <c r="I13" i="8" s="1"/>
  <c r="J13" i="8" s="1"/>
  <c r="K13" i="8" s="1"/>
  <c r="L13" i="8" s="1"/>
  <c r="M13" i="8" s="1"/>
  <c r="E12" i="8"/>
  <c r="F12" i="8" s="1"/>
  <c r="G12" i="8" s="1"/>
  <c r="H12" i="8" s="1"/>
  <c r="I12" i="8" s="1"/>
  <c r="J12" i="8" s="1"/>
  <c r="K12" i="8" s="1"/>
  <c r="L12" i="8" s="1"/>
  <c r="M12" i="8" s="1"/>
  <c r="E11" i="8"/>
  <c r="F11" i="8" s="1"/>
  <c r="G11" i="8" s="1"/>
  <c r="H11" i="8" s="1"/>
  <c r="I11" i="8" s="1"/>
  <c r="J11" i="8" s="1"/>
  <c r="K11" i="8" s="1"/>
  <c r="L11" i="8" s="1"/>
  <c r="M11" i="8" s="1"/>
  <c r="E10" i="8"/>
  <c r="F10" i="8" s="1"/>
  <c r="G10" i="8" s="1"/>
  <c r="H10" i="8" s="1"/>
  <c r="I10" i="8" s="1"/>
  <c r="J10" i="8" s="1"/>
  <c r="K10" i="8" s="1"/>
  <c r="L10" i="8" s="1"/>
  <c r="M10" i="8" s="1"/>
  <c r="F9" i="8"/>
  <c r="G9" i="8" s="1"/>
  <c r="H9" i="8" s="1"/>
  <c r="I9" i="8" s="1"/>
  <c r="J9" i="8" s="1"/>
  <c r="K9" i="8" s="1"/>
  <c r="L9" i="8" s="1"/>
  <c r="M9" i="8" s="1"/>
  <c r="E9" i="8"/>
  <c r="F8" i="8"/>
  <c r="G8" i="8" s="1"/>
  <c r="H8" i="8" s="1"/>
  <c r="I8" i="8" s="1"/>
  <c r="J8" i="8" s="1"/>
  <c r="K8" i="8" s="1"/>
  <c r="L8" i="8" s="1"/>
  <c r="M8" i="8" s="1"/>
  <c r="E8" i="8"/>
  <c r="E7" i="8"/>
  <c r="F7" i="8" s="1"/>
  <c r="G7" i="8" s="1"/>
  <c r="H7" i="8" s="1"/>
  <c r="I7" i="8" s="1"/>
  <c r="J7" i="8" s="1"/>
  <c r="K7" i="8" s="1"/>
  <c r="L7" i="8" s="1"/>
  <c r="M7" i="8" s="1"/>
  <c r="E6" i="8"/>
  <c r="F6" i="8" s="1"/>
  <c r="G6" i="8" s="1"/>
  <c r="H6" i="8" s="1"/>
  <c r="I6" i="8" s="1"/>
  <c r="J6" i="8" s="1"/>
  <c r="K6" i="8" s="1"/>
  <c r="L6" i="8" s="1"/>
  <c r="M6" i="8" s="1"/>
  <c r="E5" i="8"/>
  <c r="F5" i="8" s="1"/>
  <c r="G5" i="8" s="1"/>
  <c r="H5" i="8" s="1"/>
  <c r="I5" i="8" s="1"/>
  <c r="J5" i="8" s="1"/>
  <c r="K5" i="8" s="1"/>
  <c r="L5" i="8" s="1"/>
  <c r="M5" i="8" s="1"/>
  <c r="F4" i="8"/>
  <c r="G4" i="8" s="1"/>
  <c r="H4" i="8" s="1"/>
  <c r="I4" i="8" s="1"/>
  <c r="J4" i="8" s="1"/>
  <c r="K4" i="8" s="1"/>
  <c r="L4" i="8" s="1"/>
  <c r="M4" i="8" s="1"/>
  <c r="E4" i="8"/>
  <c r="E3" i="8"/>
  <c r="F3" i="8" s="1"/>
  <c r="G3" i="8" s="1"/>
  <c r="H3" i="8" s="1"/>
  <c r="I3" i="8" s="1"/>
  <c r="J3" i="8" s="1"/>
  <c r="K3" i="8" s="1"/>
  <c r="L3" i="8" s="1"/>
  <c r="M3" i="8" s="1"/>
  <c r="F2" i="8"/>
  <c r="G2" i="8" s="1"/>
  <c r="H2" i="8" s="1"/>
  <c r="I2" i="8" s="1"/>
  <c r="J2" i="8" s="1"/>
  <c r="K2" i="8" s="1"/>
  <c r="L2" i="8" s="1"/>
  <c r="M2" i="8" s="1"/>
  <c r="M1" i="8"/>
  <c r="L1" i="8"/>
  <c r="K1" i="8"/>
  <c r="J1" i="8"/>
  <c r="I1" i="8"/>
  <c r="H1" i="8"/>
  <c r="G1" i="8"/>
  <c r="F1" i="8"/>
  <c r="E1" i="8"/>
  <c r="Q31" i="5"/>
  <c r="K31" i="5"/>
  <c r="F31" i="5"/>
  <c r="Q30" i="5"/>
  <c r="K30" i="5"/>
  <c r="F30" i="5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3" i="5"/>
  <c r="K23" i="5"/>
  <c r="F23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F18" i="5"/>
  <c r="Q17" i="5"/>
  <c r="K17" i="5"/>
  <c r="F17" i="5"/>
  <c r="Q16" i="5"/>
  <c r="K16" i="5"/>
  <c r="F16" i="5"/>
  <c r="Q15" i="5"/>
  <c r="K15" i="5"/>
  <c r="F15" i="5"/>
  <c r="Q14" i="5"/>
  <c r="K14" i="5"/>
  <c r="F14" i="5"/>
  <c r="Q13" i="5"/>
  <c r="K13" i="5"/>
  <c r="F13" i="5"/>
  <c r="Q12" i="5"/>
  <c r="K12" i="5"/>
  <c r="F12" i="5"/>
  <c r="Q11" i="5"/>
  <c r="K11" i="5"/>
  <c r="F11" i="5"/>
  <c r="Q10" i="5"/>
  <c r="K10" i="5"/>
  <c r="F10" i="5"/>
  <c r="Q9" i="5"/>
  <c r="K9" i="5"/>
  <c r="F9" i="5"/>
  <c r="Q8" i="5"/>
  <c r="K8" i="5"/>
  <c r="F8" i="5"/>
  <c r="Q7" i="5"/>
  <c r="K7" i="5"/>
  <c r="F7" i="5"/>
  <c r="Q6" i="5"/>
  <c r="K6" i="5"/>
  <c r="F6" i="5"/>
  <c r="Q5" i="5"/>
  <c r="K5" i="5"/>
  <c r="F5" i="5"/>
  <c r="Q4" i="5"/>
  <c r="K4" i="5"/>
  <c r="F4" i="5"/>
  <c r="Q3" i="5"/>
  <c r="K3" i="5"/>
  <c r="F3" i="5"/>
  <c r="Q2" i="5"/>
  <c r="K2" i="5"/>
  <c r="F2" i="5"/>
  <c r="B25" i="4"/>
  <c r="K25" i="4" s="1"/>
  <c r="B24" i="4"/>
  <c r="C24" i="4" s="1"/>
  <c r="B23" i="4"/>
  <c r="C23" i="4" s="1"/>
  <c r="B22" i="4"/>
  <c r="C22" i="4" s="1"/>
  <c r="B21" i="4"/>
  <c r="C21" i="4" s="1"/>
  <c r="L21" i="4" s="1"/>
  <c r="C19" i="4"/>
  <c r="D19" i="4" s="1"/>
  <c r="E19" i="4" s="1"/>
  <c r="F19" i="4" s="1"/>
  <c r="G19" i="4" s="1"/>
  <c r="H19" i="4" s="1"/>
  <c r="I19" i="4" s="1"/>
  <c r="J19" i="4" s="1"/>
  <c r="C18" i="4"/>
  <c r="D18" i="4" s="1"/>
  <c r="E18" i="4" s="1"/>
  <c r="F18" i="4" s="1"/>
  <c r="G18" i="4" s="1"/>
  <c r="H18" i="4" s="1"/>
  <c r="I18" i="4" s="1"/>
  <c r="J18" i="4" s="1"/>
  <c r="L13" i="4"/>
  <c r="K13" i="4"/>
  <c r="C13" i="4"/>
  <c r="D13" i="4" s="1"/>
  <c r="K12" i="4"/>
  <c r="C12" i="4"/>
  <c r="L12" i="4" s="1"/>
  <c r="K11" i="4"/>
  <c r="C11" i="4"/>
  <c r="L11" i="4" s="1"/>
  <c r="E25" i="3"/>
  <c r="E24" i="3"/>
  <c r="E23" i="3"/>
  <c r="E22" i="3"/>
  <c r="E21" i="3"/>
  <c r="M32" i="2"/>
  <c r="L32" i="2"/>
  <c r="K32" i="2"/>
  <c r="F32" i="2"/>
  <c r="B32" i="2"/>
  <c r="N25" i="2"/>
  <c r="N10" i="2"/>
  <c r="C25" i="4" l="1"/>
  <c r="L25" i="4" s="1"/>
  <c r="D11" i="4"/>
  <c r="K21" i="4"/>
  <c r="E13" i="4"/>
  <c r="M13" i="4"/>
  <c r="D22" i="4"/>
  <c r="L22" i="4"/>
  <c r="D23" i="4"/>
  <c r="L23" i="4"/>
  <c r="D24" i="4"/>
  <c r="L24" i="4"/>
  <c r="K22" i="4"/>
  <c r="K23" i="4"/>
  <c r="K24" i="4"/>
  <c r="D21" i="4"/>
  <c r="D25" i="4"/>
  <c r="D12" i="4"/>
  <c r="M11" i="4" l="1"/>
  <c r="E11" i="4"/>
  <c r="M25" i="4"/>
  <c r="E25" i="4"/>
  <c r="M22" i="4"/>
  <c r="E22" i="4"/>
  <c r="F13" i="4"/>
  <c r="N13" i="4"/>
  <c r="M12" i="4"/>
  <c r="E12" i="4"/>
  <c r="E21" i="4"/>
  <c r="M21" i="4"/>
  <c r="E24" i="4"/>
  <c r="M24" i="4"/>
  <c r="E23" i="4"/>
  <c r="M23" i="4"/>
  <c r="F11" i="4" l="1"/>
  <c r="N11" i="4"/>
  <c r="N23" i="4"/>
  <c r="F23" i="4"/>
  <c r="N24" i="4"/>
  <c r="F24" i="4"/>
  <c r="N12" i="4"/>
  <c r="F12" i="4"/>
  <c r="G13" i="4"/>
  <c r="O13" i="4"/>
  <c r="N25" i="4"/>
  <c r="F25" i="4"/>
  <c r="N21" i="4"/>
  <c r="F21" i="4"/>
  <c r="F22" i="4"/>
  <c r="N22" i="4"/>
  <c r="G11" i="4" l="1"/>
  <c r="O11" i="4"/>
  <c r="G21" i="4"/>
  <c r="O21" i="4"/>
  <c r="O25" i="4"/>
  <c r="G25" i="4"/>
  <c r="H13" i="4"/>
  <c r="P13" i="4"/>
  <c r="O24" i="4"/>
  <c r="G24" i="4"/>
  <c r="O22" i="4"/>
  <c r="G22" i="4"/>
  <c r="G12" i="4"/>
  <c r="O12" i="4"/>
  <c r="G23" i="4"/>
  <c r="O23" i="4"/>
  <c r="P11" i="4" l="1"/>
  <c r="H11" i="4"/>
  <c r="H23" i="4"/>
  <c r="P23" i="4"/>
  <c r="H12" i="4"/>
  <c r="P12" i="4"/>
  <c r="H22" i="4"/>
  <c r="P22" i="4"/>
  <c r="P24" i="4"/>
  <c r="H24" i="4"/>
  <c r="Q13" i="4"/>
  <c r="I13" i="4"/>
  <c r="P25" i="4"/>
  <c r="H25" i="4"/>
  <c r="H21" i="4"/>
  <c r="P21" i="4"/>
  <c r="Q11" i="4" l="1"/>
  <c r="I11" i="4"/>
  <c r="Q21" i="4"/>
  <c r="I21" i="4"/>
  <c r="I22" i="4"/>
  <c r="Q22" i="4"/>
  <c r="Q25" i="4"/>
  <c r="I25" i="4"/>
  <c r="R13" i="4"/>
  <c r="J13" i="4"/>
  <c r="S13" i="4" s="1"/>
  <c r="Q24" i="4"/>
  <c r="I24" i="4"/>
  <c r="I12" i="4"/>
  <c r="Q12" i="4"/>
  <c r="Q23" i="4"/>
  <c r="I23" i="4"/>
  <c r="R11" i="4" l="1"/>
  <c r="J11" i="4"/>
  <c r="S11" i="4" s="1"/>
  <c r="R23" i="4"/>
  <c r="J23" i="4"/>
  <c r="S23" i="4" s="1"/>
  <c r="R12" i="4"/>
  <c r="J12" i="4"/>
  <c r="S12" i="4" s="1"/>
  <c r="R24" i="4"/>
  <c r="J24" i="4"/>
  <c r="S24" i="4" s="1"/>
  <c r="R25" i="4"/>
  <c r="J25" i="4"/>
  <c r="S25" i="4" s="1"/>
  <c r="R22" i="4"/>
  <c r="J22" i="4"/>
  <c r="S22" i="4" s="1"/>
  <c r="R21" i="4"/>
  <c r="J21" i="4"/>
  <c r="S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2" authorId="0" shapeId="0" xr:uid="{B8A0A497-CF8C-47F3-ABD4-32A47AACBC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燃煤CHP</t>
        </r>
      </text>
    </comment>
    <comment ref="A3" authorId="0" shapeId="0" xr:uid="{9B27396B-903B-4169-A38D-BD366E83F7F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水电</t>
        </r>
      </text>
    </comment>
    <comment ref="A4" authorId="0" shapeId="0" xr:uid="{C9653BBB-D91C-4004-91DB-2D310323F58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气电CHP</t>
        </r>
      </text>
    </comment>
    <comment ref="A5" authorId="0" shapeId="0" xr:uid="{E1A9DF78-4D59-4E28-B666-DFCE53E811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核电</t>
        </r>
      </text>
    </comment>
    <comment ref="A6" authorId="0" shapeId="0" xr:uid="{0CAC7C70-8C50-40F2-9C73-BF8DC43495E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油电CHP</t>
        </r>
      </text>
    </comment>
    <comment ref="A7" authorId="0" shapeId="0" xr:uid="{7F032F7B-0697-42A8-B758-59B08336EF3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光伏</t>
        </r>
      </text>
    </comment>
    <comment ref="A8" authorId="0" shapeId="0" xr:uid="{51BB1ADC-94F4-42FB-8437-868C7C859B8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海上风电</t>
        </r>
      </text>
    </comment>
    <comment ref="A9" authorId="0" shapeId="0" xr:uid="{93BBA882-0F09-4694-959D-FD23399C134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陆上风电</t>
        </r>
      </text>
    </comment>
    <comment ref="A10" authorId="0" shapeId="0" xr:uid="{178643E1-6C66-4EC6-8DFB-B552C80A7E0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生物质CHP</t>
        </r>
      </text>
    </comment>
    <comment ref="A11" authorId="0" shapeId="0" xr:uid="{DA56A7CC-B883-4903-8050-7CA97208348B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 CHP</t>
        </r>
      </text>
    </comment>
    <comment ref="A12" authorId="0" shapeId="0" xr:uid="{A4C55504-1F23-4D86-B070-31A4E0959B0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 CHP</t>
        </r>
      </text>
    </comment>
    <comment ref="A13" authorId="0" shapeId="0" xr:uid="{314E700A-28C8-4E31-992C-2894548C9E7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 CHP</t>
        </r>
      </text>
    </comment>
    <comment ref="A14" authorId="0" shapeId="0" xr:uid="{F13247C6-5E1D-4EFB-B964-28DD105DEA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燃气发电</t>
        </r>
      </text>
    </comment>
    <comment ref="A15" authorId="0" shapeId="0" xr:uid="{C2B77ADA-4CCA-4A98-9069-13E162EBF48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燃油发电</t>
        </r>
      </text>
    </comment>
    <comment ref="A16" authorId="0" shapeId="0" xr:uid="{25151D49-9360-4F14-BEAC-3CD8539B66A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生物质发电</t>
        </r>
      </text>
    </comment>
    <comment ref="A17" authorId="0" shapeId="0" xr:uid="{E25D3625-2ECF-4776-9D69-10C89EB6D2C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燃煤发电</t>
        </r>
      </text>
    </comment>
    <comment ref="A18" authorId="0" shapeId="0" xr:uid="{9FE87964-99C6-4BA1-8C91-F356B4A67F1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</t>
        </r>
      </text>
    </comment>
    <comment ref="A19" authorId="0" shapeId="0" xr:uid="{BF1FAF72-A6DB-46FC-8FB3-197DCB2ED3E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</t>
        </r>
      </text>
    </comment>
    <comment ref="A20" authorId="0" shapeId="0" xr:uid="{E0C84D88-98AA-4421-A9FE-489FFAD8F6A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生物质CCS发电</t>
        </r>
      </text>
    </comment>
    <comment ref="A21" authorId="0" shapeId="0" xr:uid="{6474CF01-5643-4952-AA79-078DFA95DE1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改造类技术，可以不放进去</t>
        </r>
      </text>
    </comment>
    <comment ref="A26" authorId="0" shapeId="0" xr:uid="{C3C5583F-C7CF-453F-A740-9188181CA42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燃煤供热</t>
        </r>
      </text>
    </comment>
    <comment ref="A27" authorId="0" shapeId="0" xr:uid="{06064954-3CDC-4230-9511-E4F25B155D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燃煤CCS供热</t>
        </r>
      </text>
    </comment>
    <comment ref="A28" authorId="0" shapeId="0" xr:uid="{27744506-2BF7-428B-9DBF-1B8FE5D4A1E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燃油供热
</t>
        </r>
      </text>
    </comment>
    <comment ref="A29" authorId="0" shapeId="0" xr:uid="{D9E5E7BB-530A-45E7-9328-4B8199664E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燃油CCS供热</t>
        </r>
      </text>
    </comment>
    <comment ref="A30" authorId="0" shapeId="0" xr:uid="{D14AA526-9A11-452A-A906-409D6E15E77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1" authorId="0" shapeId="0" xr:uid="{29CADB91-B8E4-4398-900A-73BFB41CACB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2" authorId="0" shapeId="0" xr:uid="{9E44B042-F616-4FA2-B3A0-295275A0BEC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生物质供热</t>
        </r>
      </text>
    </comment>
    <comment ref="A33" authorId="0" shapeId="0" xr:uid="{3559B900-A4E4-454C-8CB0-9E7E2279781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生物质CCS供热</t>
        </r>
      </text>
    </comment>
    <comment ref="A34" authorId="0" shapeId="0" xr:uid="{1BB0471F-BAF4-43C0-ACA5-AEA53D3867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地热供热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1" authorId="0" shapeId="0" xr:uid="{13429026-E631-4E4C-8D5C-E68B849DBE3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这一页只写投资成本</t>
        </r>
      </text>
    </comment>
    <comment ref="B11" authorId="0" shapeId="0" xr:uid="{57D3A7DB-212D-4F69-879C-B2ABF14B044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参考china TIMES 2.0</t>
        </r>
      </text>
    </comment>
    <comment ref="B21" authorId="0" shapeId="0" xr:uid="{B3BE0DBF-901F-427A-8568-4ECBEA13FE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生物质改造成本+CCS改造成本，参考袁家海2022气候变化研究进展，未出现比例使用线性外推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B1" authorId="0" shapeId="0" xr:uid="{37D7F017-5316-48E0-A30C-22A5A8FE00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电煤指数分省区分价格</t>
        </r>
      </text>
    </comment>
    <comment ref="O1" authorId="0" shapeId="0" xr:uid="{11E94DDB-0C71-44E6-83D9-754FC85132B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袁家海，2022，气候变化研究进展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F1" authorId="0" shapeId="0" xr:uid="{D8FEF7B7-5239-4B8B-B785-4DA1B37318C9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如下为陆风，海风*1.15</t>
        </r>
      </text>
    </comment>
  </commentList>
</comments>
</file>

<file path=xl/sharedStrings.xml><?xml version="1.0" encoding="utf-8"?>
<sst xmlns="http://schemas.openxmlformats.org/spreadsheetml/2006/main" count="413" uniqueCount="188">
  <si>
    <t>coal</t>
  </si>
  <si>
    <t>oil</t>
  </si>
  <si>
    <t>gas</t>
  </si>
  <si>
    <t>hydro</t>
    <phoneticPr fontId="5" type="noConversion"/>
  </si>
  <si>
    <t>offwind</t>
    <phoneticPr fontId="5" type="noConversion"/>
  </si>
  <si>
    <t>onwind</t>
    <phoneticPr fontId="5" type="noConversion"/>
  </si>
  <si>
    <t>pv</t>
    <phoneticPr fontId="5" type="noConversion"/>
  </si>
  <si>
    <t>nuclear</t>
    <phoneticPr fontId="5" type="noConversion"/>
  </si>
  <si>
    <t>biomass</t>
    <phoneticPr fontId="5" type="noConversion"/>
  </si>
  <si>
    <t>coalccs</t>
    <phoneticPr fontId="5" type="noConversion"/>
  </si>
  <si>
    <t>gasccs</t>
    <phoneticPr fontId="5" type="noConversion"/>
  </si>
  <si>
    <t>beccs</t>
    <phoneticPr fontId="3" type="noConversion"/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</si>
  <si>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</si>
  <si>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</si>
  <si>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</si>
  <si>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</si>
  <si>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</si>
  <si>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</si>
  <si>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</si>
  <si>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</si>
  <si>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</si>
  <si>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</si>
  <si>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</si>
  <si>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</si>
  <si>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</si>
  <si>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</si>
  <si>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</si>
  <si>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</si>
  <si>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</si>
  <si>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</si>
  <si>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</si>
  <si>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</si>
  <si>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</si>
  <si>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</si>
  <si>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</si>
  <si>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</si>
  <si>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</si>
  <si>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</si>
  <si>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</si>
  <si>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</si>
  <si>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</si>
  <si>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</si>
  <si>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China</t>
    <phoneticPr fontId="3" type="noConversion"/>
  </si>
  <si>
    <t>EFF</t>
    <phoneticPr fontId="5" type="noConversion"/>
  </si>
  <si>
    <t>AF</t>
    <phoneticPr fontId="5" type="noConversion"/>
  </si>
  <si>
    <t>ECHPCOA</t>
    <phoneticPr fontId="5" type="noConversion"/>
  </si>
  <si>
    <t>ECHP.Coal.</t>
  </si>
  <si>
    <t>EPLTHYDL</t>
    <phoneticPr fontId="5" type="noConversion"/>
  </si>
  <si>
    <t>EPLT. Large Hydro.</t>
  </si>
  <si>
    <t>ECHPNGA</t>
    <phoneticPr fontId="5" type="noConversion"/>
  </si>
  <si>
    <t>ECHP.Natural gas.</t>
  </si>
  <si>
    <t>EPLTNUC</t>
    <phoneticPr fontId="5" type="noConversion"/>
  </si>
  <si>
    <t>EPLT. Nuclear. - Once-through Cooling</t>
  </si>
  <si>
    <t>ECHPOIL</t>
    <phoneticPr fontId="5" type="noConversion"/>
  </si>
  <si>
    <t>ECHP.Oil.</t>
  </si>
  <si>
    <t>EPLTSOLPV</t>
    <phoneticPr fontId="5" type="noConversion"/>
  </si>
  <si>
    <t>EPLT.Solar PV.</t>
  </si>
  <si>
    <t>EPLTWINOFS</t>
    <phoneticPr fontId="5" type="noConversion"/>
  </si>
  <si>
    <t>EPLT. Offshor Wind Power.</t>
  </si>
  <si>
    <t>EPLTWINONS</t>
    <phoneticPr fontId="5" type="noConversion"/>
  </si>
  <si>
    <t>EPLT. Onshore Wind Power.</t>
  </si>
  <si>
    <t>ECHPBSL</t>
    <phoneticPr fontId="5" type="noConversion"/>
  </si>
  <si>
    <t>ECHP. Solid Biomass combustion.</t>
  </si>
  <si>
    <t>ECHPCOACCS</t>
    <phoneticPr fontId="5" type="noConversion"/>
  </si>
  <si>
    <t>ECHP.Coal with CCS.</t>
  </si>
  <si>
    <t>ECHPNGACCS</t>
    <phoneticPr fontId="5" type="noConversion"/>
  </si>
  <si>
    <t>ECHP.Natural gas CCS</t>
  </si>
  <si>
    <t>EPLTNGANGCC</t>
    <phoneticPr fontId="5" type="noConversion"/>
  </si>
  <si>
    <t>EPLT.Natural Gas Combined Cycle. - Air Cooling</t>
  </si>
  <si>
    <t>EPLTOILST</t>
    <phoneticPr fontId="5" type="noConversion"/>
  </si>
  <si>
    <t>EPLT.Oil Steam Turbine.</t>
  </si>
  <si>
    <t>EPLTBIOSLDC</t>
    <phoneticPr fontId="5" type="noConversion"/>
  </si>
  <si>
    <t>EPLT. Solid Biomass Co-firing.</t>
  </si>
  <si>
    <t>EPLTCOAUSC</t>
    <phoneticPr fontId="5" type="noConversion"/>
  </si>
  <si>
    <t>EPLT. Coal Ultra SuperCritical. - Air Cooling</t>
  </si>
  <si>
    <t>EPLTCUSCCCS</t>
    <phoneticPr fontId="5" type="noConversion"/>
  </si>
  <si>
    <t>EPLT. Coal Ultra SuperCritical with CCS.</t>
  </si>
  <si>
    <t>EPLTNGACCS</t>
    <phoneticPr fontId="5" type="noConversion"/>
  </si>
  <si>
    <t>EPLT.Natural Gas Combined Cycle with CCS. - Air Cooling</t>
  </si>
  <si>
    <t>EPLTBSLDCCS</t>
    <phoneticPr fontId="5" type="noConversion"/>
  </si>
  <si>
    <t>EPLT. Solid Biomass Direct combustion.</t>
  </si>
  <si>
    <t>EPLT. Solid Biomass coal co-firing BECCS 20% ration</t>
    <phoneticPr fontId="3" type="noConversion"/>
  </si>
  <si>
    <t>EPLTCBECCS40</t>
    <phoneticPr fontId="3" type="noConversion"/>
  </si>
  <si>
    <t>EPLT. Solid Biomass coal co-firing BECCS 40% ration</t>
    <phoneticPr fontId="3" type="noConversion"/>
  </si>
  <si>
    <t>EPLT. Solid Biomass coal co-firing BECCS 60% ration</t>
    <phoneticPr fontId="3" type="noConversion"/>
  </si>
  <si>
    <t>EPLTCBECCS80</t>
  </si>
  <si>
    <t>EPLT. Solid Biomass coal co-firing BECCS 80% ration</t>
    <phoneticPr fontId="3" type="noConversion"/>
  </si>
  <si>
    <t>EPLT. Solid Biomass coal co-firing BECCS 100% ration</t>
    <phoneticPr fontId="3" type="noConversion"/>
  </si>
  <si>
    <t>TechName</t>
  </si>
  <si>
    <t>NCAP_COST~2020</t>
  </si>
  <si>
    <t>NCAP_COST~2025</t>
  </si>
  <si>
    <t>NCAP_COST~2030</t>
  </si>
  <si>
    <t>NCAP_COST~2035</t>
  </si>
  <si>
    <t>NCAP_COST~2040</t>
  </si>
  <si>
    <t>NCAP_COST~2045</t>
  </si>
  <si>
    <t>NCAP_COST~2050</t>
  </si>
  <si>
    <t>NCAP_COST~2055</t>
  </si>
  <si>
    <t>NCAP_COST~2060</t>
  </si>
  <si>
    <t>NCAP_FOM~2020</t>
  </si>
  <si>
    <t>NCAP_FOM~2025</t>
  </si>
  <si>
    <t>NCAP_FOM~2030</t>
  </si>
  <si>
    <t>NCAP_FOM~2035</t>
  </si>
  <si>
    <t>NCAP_FOM~2040</t>
  </si>
  <si>
    <t>NCAP_FOM~2045</t>
  </si>
  <si>
    <t>NCAP_FOM~2050</t>
  </si>
  <si>
    <t>NCAP_FOM~2055</t>
  </si>
  <si>
    <t>NCAP_FOM~2060</t>
    <phoneticPr fontId="3" type="noConversion"/>
  </si>
  <si>
    <t>ACT_COST~2020</t>
    <phoneticPr fontId="3" type="noConversion"/>
  </si>
  <si>
    <t>ACT_COST~2025</t>
  </si>
  <si>
    <t>ACT_COST~2030</t>
  </si>
  <si>
    <t>ACT_COST~2035</t>
  </si>
  <si>
    <t>ACT_COST~2040</t>
  </si>
  <si>
    <t>ACT_COST~2045</t>
  </si>
  <si>
    <t>ACT_COST~2050</t>
  </si>
  <si>
    <t>ACT_COST~2055</t>
  </si>
  <si>
    <t>ACT_COST~2060</t>
  </si>
  <si>
    <t>EPLTBSLDCCS</t>
    <phoneticPr fontId="3" type="noConversion"/>
  </si>
  <si>
    <t>EPLTCBECCS20</t>
    <phoneticPr fontId="3" type="noConversion"/>
  </si>
  <si>
    <t>EPLTCBECCS60</t>
  </si>
  <si>
    <t>EPLTCBECCS100</t>
  </si>
  <si>
    <t>coal</t>
    <phoneticPr fontId="3" type="noConversion"/>
  </si>
  <si>
    <t>oil</t>
    <phoneticPr fontId="3" type="noConversion"/>
  </si>
  <si>
    <t>gas</t>
    <phoneticPr fontId="3" type="noConversion"/>
  </si>
  <si>
    <t>UR</t>
    <phoneticPr fontId="3" type="noConversion"/>
  </si>
  <si>
    <t>wind</t>
    <phoneticPr fontId="5" type="noConversion"/>
  </si>
  <si>
    <t>solar</t>
    <phoneticPr fontId="5" type="noConversion"/>
  </si>
  <si>
    <t>coalccs</t>
    <phoneticPr fontId="3" type="noConversion"/>
  </si>
  <si>
    <t>gasccs</t>
    <phoneticPr fontId="3" type="noConversion"/>
  </si>
  <si>
    <t>生物质价格</t>
    <phoneticPr fontId="3" type="noConversion"/>
  </si>
  <si>
    <t>BEIJ</t>
    <phoneticPr fontId="3" type="noConversion"/>
  </si>
  <si>
    <t>元/t</t>
    <phoneticPr fontId="3" type="noConversion"/>
  </si>
  <si>
    <t>百万$/PJ</t>
    <phoneticPr fontId="3" type="noConversion"/>
  </si>
  <si>
    <t>biomass</t>
    <phoneticPr fontId="3" type="noConversion"/>
  </si>
  <si>
    <t>EFF_coal</t>
    <phoneticPr fontId="3" type="noConversion"/>
  </si>
  <si>
    <t>EFF_oil</t>
    <phoneticPr fontId="3" type="noConversion"/>
  </si>
  <si>
    <t>EFF_gas</t>
    <phoneticPr fontId="3" type="noConversion"/>
  </si>
  <si>
    <t>XING</t>
    <phoneticPr fontId="3" type="noConversion"/>
  </si>
  <si>
    <t>hydro</t>
    <phoneticPr fontId="3" type="noConversion"/>
  </si>
  <si>
    <t>wind</t>
    <phoneticPr fontId="3" type="noConversion"/>
  </si>
  <si>
    <t>solar</t>
    <phoneticPr fontId="3" type="noConversion"/>
  </si>
  <si>
    <t>ECHPBIOBSLDCCS</t>
    <phoneticPr fontId="5" type="noConversion"/>
  </si>
  <si>
    <r>
      <rPr>
        <sz val="10"/>
        <color theme="1"/>
        <rFont val="等线"/>
        <family val="2"/>
      </rPr>
      <t>机组</t>
    </r>
    <phoneticPr fontId="5" type="noConversion"/>
  </si>
  <si>
    <r>
      <rPr>
        <sz val="10"/>
        <color theme="1"/>
        <rFont val="等线"/>
        <family val="2"/>
      </rPr>
      <t>技术</t>
    </r>
    <phoneticPr fontId="5" type="noConversion"/>
  </si>
  <si>
    <r>
      <rPr>
        <sz val="10"/>
        <color theme="1"/>
        <rFont val="等线"/>
        <family val="2"/>
      </rPr>
      <t>单位转化系数</t>
    </r>
    <phoneticPr fontId="5" type="noConversion"/>
  </si>
  <si>
    <r>
      <rPr>
        <sz val="10"/>
        <color theme="1"/>
        <rFont val="等线"/>
        <family val="2"/>
      </rPr>
      <t>寿期</t>
    </r>
  </si>
  <si>
    <t>HPLTCOA01</t>
  </si>
  <si>
    <t>HPLTCOACCS01</t>
  </si>
  <si>
    <t>HPLTOIL01</t>
  </si>
  <si>
    <t>HPLTOILCCS01</t>
  </si>
  <si>
    <t>HPLTGAS01</t>
  </si>
  <si>
    <t>HPLTGASCCS01</t>
  </si>
  <si>
    <t>HPLTBSL01</t>
  </si>
  <si>
    <t>HPLTGEO01</t>
  </si>
  <si>
    <t>HPLTBSLCCS01</t>
    <phoneticPr fontId="11" type="noConversion"/>
  </si>
  <si>
    <t>HPLT. Coal</t>
    <phoneticPr fontId="3" type="noConversion"/>
  </si>
  <si>
    <t>HPLT. Coal with CCS</t>
    <phoneticPr fontId="3" type="noConversion"/>
  </si>
  <si>
    <t>HPLT. Oil</t>
    <phoneticPr fontId="3" type="noConversion"/>
  </si>
  <si>
    <t>HPLT. Oil with CCS</t>
    <phoneticPr fontId="3" type="noConversion"/>
  </si>
  <si>
    <t>HPLT. Gas</t>
    <phoneticPr fontId="3" type="noConversion"/>
  </si>
  <si>
    <t>HPLT. Gas with CCS</t>
    <phoneticPr fontId="3" type="noConversion"/>
  </si>
  <si>
    <t>HPLT. Solid Biomass</t>
    <phoneticPr fontId="3" type="noConversion"/>
  </si>
  <si>
    <t>HPLT. Solid Biomass with CCS</t>
    <phoneticPr fontId="3" type="noConversion"/>
  </si>
  <si>
    <t>HPLT. Geothermal</t>
    <phoneticPr fontId="3" type="noConversion"/>
  </si>
  <si>
    <t>HPLTCOA</t>
    <phoneticPr fontId="3" type="noConversion"/>
  </si>
  <si>
    <t>HPLTCOACCS</t>
    <phoneticPr fontId="3" type="noConversion"/>
  </si>
  <si>
    <t>HPLTOIL</t>
    <phoneticPr fontId="3" type="noConversion"/>
  </si>
  <si>
    <t>HPLTOILCCS</t>
    <phoneticPr fontId="3" type="noConversion"/>
  </si>
  <si>
    <t>HPLTGAS</t>
    <phoneticPr fontId="3" type="noConversion"/>
  </si>
  <si>
    <t>HPLTGASCCS</t>
    <phoneticPr fontId="3" type="noConversion"/>
  </si>
  <si>
    <t>HPLTBSL</t>
    <phoneticPr fontId="3" type="noConversion"/>
  </si>
  <si>
    <t>HPLTBSLCCS</t>
    <phoneticPr fontId="3" type="noConversion"/>
  </si>
  <si>
    <t>HPLTGEO</t>
    <phoneticPr fontId="3" type="noConversion"/>
  </si>
  <si>
    <t>这个可以先不放进去</t>
    <phoneticPr fontId="3" type="noConversion"/>
  </si>
  <si>
    <t>煤电、油电、气电效率</t>
    <phoneticPr fontId="3" type="noConversion"/>
  </si>
  <si>
    <t>基年电力装机</t>
    <phoneticPr fontId="3" type="noConversion"/>
  </si>
  <si>
    <t>AF如果有分省，就用分省AF，如果没有就用默认值</t>
    <phoneticPr fontId="3" type="noConversion"/>
  </si>
  <si>
    <r>
      <rPr>
        <sz val="11"/>
        <color theme="1"/>
        <rFont val="等线"/>
        <family val="2"/>
      </rPr>
      <t>最大运行小时数，</t>
    </r>
    <r>
      <rPr>
        <sz val="11"/>
        <color theme="1"/>
        <rFont val="Times New Roman"/>
        <family val="2"/>
      </rPr>
      <t>AF*8760</t>
    </r>
    <phoneticPr fontId="3" type="noConversion"/>
  </si>
  <si>
    <t>nuclear</t>
    <phoneticPr fontId="3" type="noConversion"/>
  </si>
  <si>
    <t>2025年</t>
    <phoneticPr fontId="3" type="noConversion"/>
  </si>
  <si>
    <t>2030年</t>
    <phoneticPr fontId="3" type="noConversion"/>
  </si>
  <si>
    <t>low</t>
    <phoneticPr fontId="3" type="noConversion"/>
  </si>
  <si>
    <t>up</t>
    <phoneticPr fontId="3" type="noConversion"/>
  </si>
  <si>
    <r>
      <t>2020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</si>
  <si>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r>
      <t>2024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</si>
  <si>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t>onwind</t>
    <phoneticPr fontId="3" type="noConversion"/>
  </si>
  <si>
    <t>offwind</t>
    <phoneticPr fontId="3" type="noConversion"/>
  </si>
  <si>
    <t>pv</t>
    <phoneticPr fontId="3" type="noConversion"/>
  </si>
  <si>
    <t>煤油气是资源PJ，后面几个是装机上限GW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</si>
</sst>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;[Red]\-0.0000\ "/>
    <numFmt numFmtId="179" formatCode="0_ ;[Red]\-0\ "/>
    <numFmt numFmtId="180" formatCode="0_);[Red]\(0\)"/>
    <numFmt numFmtId="181" formatCode="0.0000"/>
    <numFmt numFmtId="182" formatCode="0.0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178" fontId="10" fillId="3" borderId="1">
      <alignment horizontal="justify" vertical="center"/>
    </xf>
    <xf numFmtId="179" fontId="10" fillId="0" borderId="0" applyFont="0" applyFill="0" applyBorder="0" applyAlignment="0">
      <alignment horizontal="right"/>
    </xf>
    <xf numFmtId="0" fontId="19" fillId="0" borderId="0">
      <alignment vertical="center"/>
    </xf>
    <xf numFmtId="0" fontId="1" fillId="0" borderId="0"/>
  </cellStyleXfs>
  <cellXfs count="65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1" fillId="0" borderId="0" xfId="1"/>
    <xf numFmtId="0" fontId="6" fillId="0" borderId="0" xfId="1" applyFont="1"/>
    <xf numFmtId="0" fontId="6" fillId="3" borderId="0" xfId="1" applyFont="1" applyFill="1"/>
    <xf numFmtId="0" fontId="6" fillId="4" borderId="0" xfId="1" applyFont="1" applyFill="1"/>
    <xf numFmtId="0" fontId="6" fillId="5" borderId="0" xfId="1" applyFont="1" applyFill="1"/>
    <xf numFmtId="177" fontId="6" fillId="0" borderId="0" xfId="1" applyNumberFormat="1" applyFont="1" applyAlignment="1">
      <alignment horizontal="right"/>
    </xf>
    <xf numFmtId="0" fontId="6" fillId="6" borderId="1" xfId="1" applyFont="1" applyFill="1" applyBorder="1" applyAlignment="1">
      <alignment horizontal="left"/>
    </xf>
    <xf numFmtId="177" fontId="6" fillId="4" borderId="1" xfId="1" applyNumberFormat="1" applyFont="1" applyFill="1" applyBorder="1" applyAlignment="1">
      <alignment horizontal="right"/>
    </xf>
    <xf numFmtId="177" fontId="6" fillId="5" borderId="1" xfId="1" applyNumberFormat="1" applyFont="1" applyFill="1" applyBorder="1" applyAlignment="1">
      <alignment horizontal="right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76" fontId="1" fillId="3" borderId="1" xfId="1" applyNumberForma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7" borderId="4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178" fontId="10" fillId="3" borderId="1" xfId="2">
      <alignment horizontal="justify" vertical="center"/>
    </xf>
    <xf numFmtId="179" fontId="10" fillId="3" borderId="1" xfId="3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1" applyNumberFormat="1" applyFont="1" applyAlignment="1">
      <alignment horizontal="right"/>
    </xf>
    <xf numFmtId="180" fontId="6" fillId="0" borderId="0" xfId="1" applyNumberFormat="1" applyFont="1"/>
    <xf numFmtId="180" fontId="6" fillId="3" borderId="1" xfId="1" applyNumberFormat="1" applyFont="1" applyFill="1" applyBorder="1" applyAlignment="1">
      <alignment horizontal="right"/>
    </xf>
    <xf numFmtId="0" fontId="15" fillId="0" borderId="0" xfId="1" applyFont="1" applyAlignment="1">
      <alignment horizontal="left"/>
    </xf>
    <xf numFmtId="177" fontId="12" fillId="0" borderId="0" xfId="1" applyNumberFormat="1" applyFont="1" applyAlignment="1">
      <alignment horizontal="center"/>
    </xf>
    <xf numFmtId="177" fontId="12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82" fontId="6" fillId="0" borderId="0" xfId="0" applyNumberFormat="1" applyFont="1">
      <alignment vertical="center"/>
    </xf>
    <xf numFmtId="176" fontId="4" fillId="0" borderId="0" xfId="4" applyNumberFormat="1" applyFont="1" applyAlignment="1"/>
    <xf numFmtId="0" fontId="4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176" fontId="4" fillId="0" borderId="0" xfId="4" applyNumberFormat="1" applyFont="1" applyAlignment="1">
      <alignment horizontal="center" vertical="center"/>
    </xf>
    <xf numFmtId="176" fontId="4" fillId="2" borderId="0" xfId="4" applyNumberFormat="1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176" fontId="20" fillId="0" borderId="0" xfId="4" applyNumberFormat="1" applyFont="1" applyAlignment="1"/>
    <xf numFmtId="0" fontId="19" fillId="0" borderId="0" xfId="4">
      <alignment vertical="center"/>
    </xf>
    <xf numFmtId="0" fontId="4" fillId="2" borderId="0" xfId="5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常规" xfId="0" builtinId="0"/>
    <cellStyle name="常规 2" xfId="1" xr:uid="{B5D0DE6C-8A05-4928-A552-7CC88D895B29}"/>
    <cellStyle name="常规 2 2 2 2" xfId="5" xr:uid="{F11CC237-7893-4BC5-8F37-549802F4ECBB}"/>
    <cellStyle name="常规 2 2 3 2" xfId="4" xr:uid="{5928AD5A-A9BE-465D-9856-DEC9D642A42C}"/>
    <cellStyle name="样式 1" xfId="2" xr:uid="{682D24C5-143B-4328-B710-EBA6AC9B10F0}"/>
    <cellStyle name="整数" xfId="3" xr:uid="{147B4861-E6F3-4CAE-8FAB-F71B8496A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221632</xdr:colOff>
      <xdr:row>4</xdr:row>
      <xdr:rowOff>149087</xdr:rowOff>
    </xdr:from>
    <xdr:to>
      <xdr:col>27</xdr:col>
      <xdr:colOff>277012</xdr:colOff>
      <xdr:row>47</xdr:row>
      <xdr:rowOff>135287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ED5899-3F00-4DF4-BF34-A080E030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182" y="860287"/>
          <a:ext cx="6170430" cy="763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184852</xdr:colOff>
      <xdr:row>1</xdr:row>
      <xdr:rowOff>165100</xdr:rowOff>
    </xdr:from>
    <xdr:to>
      <xdr:col>31</xdr:col>
      <xdr:colOff>82549</xdr:colOff>
      <xdr:row>48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83A33-3CDA-59F4-6EAB-6BF35235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3652" y="342900"/>
          <a:ext cx="5841297" cy="8216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4</xdr:row>
      <xdr:rowOff>172382</xdr:rowOff>
    </xdr:from>
    <xdr:to>
      <xdr:col>21</xdr:col>
      <xdr:colOff>31750</xdr:colOff>
      <xdr:row>35</xdr:row>
      <xdr:rowOff>78088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61EA4-C369-EFFF-C60D-8C2795F3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7850" y="883582"/>
          <a:ext cx="3162300" cy="541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518-8EAD-4184-A24B-B10E4CFB0122}">
  <sheetPr>
    <tabColor rgb="FF92D050"/>
  </sheetPr>
  <dimension ref="A1:F37"/>
  <sheetViews>
    <sheetView workbookViewId="0">
      <selection activeCell="A13" sqref="A13"/>
    </sheetView>
  </sheetViews>
  <sheetFormatPr baseColWidth="10" defaultColWidth="8.83203125" defaultRowHeight="15"/>
  <cols>
    <col min="1" max="1" width="21.33203125" style="9" bestFit="1" customWidth="1"/>
    <col min="2" max="2" width="50" style="9" customWidth="1"/>
    <col min="3" max="3" width="13.83203125" style="9" bestFit="1" customWidth="1"/>
    <col min="4" max="4" width="5.5" style="9" bestFit="1" customWidth="1"/>
    <col min="5" max="5" width="12.6640625" style="9" bestFit="1" customWidth="1"/>
    <col min="6" max="16384" width="8.83203125" style="9"/>
  </cols>
  <sheetData>
    <row r="1" spans="1:6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43</v>
      </c>
      <c r="F1" s="37" t="s">
        <v>44</v>
      </c>
    </row>
    <row r="2" spans="1:6">
      <c r="A2" s="38" t="s">
        <v>45</v>
      </c>
      <c r="B2" s="38" t="s">
        <v>46</v>
      </c>
      <c r="C2" s="38">
        <v>31.536000000000001</v>
      </c>
      <c r="D2" s="38">
        <v>40</v>
      </c>
      <c r="E2" s="38">
        <v>0.65</v>
      </c>
      <c r="F2" s="38">
        <v>0.55930199999999997</v>
      </c>
    </row>
    <row r="3" spans="1:6">
      <c r="A3" s="38" t="s">
        <v>47</v>
      </c>
      <c r="B3" s="38" t="s">
        <v>48</v>
      </c>
      <c r="C3" s="38">
        <v>31.536000000000001</v>
      </c>
      <c r="D3" s="38">
        <v>60</v>
      </c>
      <c r="E3" s="37">
        <v>0.5</v>
      </c>
      <c r="F3" s="38">
        <v>0.45</v>
      </c>
    </row>
    <row r="4" spans="1:6">
      <c r="A4" s="38" t="s">
        <v>49</v>
      </c>
      <c r="B4" s="38" t="s">
        <v>50</v>
      </c>
      <c r="C4" s="38">
        <v>31.536000000000001</v>
      </c>
      <c r="D4" s="38">
        <v>30</v>
      </c>
      <c r="E4" s="38">
        <v>0.69</v>
      </c>
      <c r="F4" s="38">
        <v>0.57999999999999996</v>
      </c>
    </row>
    <row r="5" spans="1:6">
      <c r="A5" s="38" t="s">
        <v>51</v>
      </c>
      <c r="B5" s="38" t="s">
        <v>52</v>
      </c>
      <c r="C5" s="38">
        <v>31.536000000000001</v>
      </c>
      <c r="D5" s="38">
        <v>40</v>
      </c>
      <c r="E5" s="37">
        <v>0.33</v>
      </c>
      <c r="F5" s="39">
        <v>0.85</v>
      </c>
    </row>
    <row r="6" spans="1:6">
      <c r="A6" s="38" t="s">
        <v>53</v>
      </c>
      <c r="B6" s="38" t="s">
        <v>54</v>
      </c>
      <c r="C6" s="38">
        <v>31.536000000000001</v>
      </c>
      <c r="D6" s="38">
        <v>30</v>
      </c>
      <c r="E6" s="38">
        <v>0.69</v>
      </c>
      <c r="F6" s="38">
        <v>0.56466487120189524</v>
      </c>
    </row>
    <row r="7" spans="1:6">
      <c r="A7" s="38" t="s">
        <v>55</v>
      </c>
      <c r="B7" s="38" t="s">
        <v>56</v>
      </c>
      <c r="C7" s="38">
        <v>31.536000000000001</v>
      </c>
      <c r="D7" s="38">
        <v>25</v>
      </c>
      <c r="E7" s="37">
        <v>1</v>
      </c>
      <c r="F7" s="38">
        <v>0.2</v>
      </c>
    </row>
    <row r="8" spans="1:6">
      <c r="A8" s="38" t="s">
        <v>57</v>
      </c>
      <c r="B8" s="38" t="s">
        <v>58</v>
      </c>
      <c r="C8" s="38">
        <v>31.536000000000001</v>
      </c>
      <c r="D8" s="38">
        <v>25</v>
      </c>
      <c r="E8" s="37">
        <v>1</v>
      </c>
      <c r="F8" s="38">
        <v>0.2</v>
      </c>
    </row>
    <row r="9" spans="1:6">
      <c r="A9" s="38" t="s">
        <v>59</v>
      </c>
      <c r="B9" s="38" t="s">
        <v>60</v>
      </c>
      <c r="C9" s="38">
        <v>31.536000000000001</v>
      </c>
      <c r="D9" s="38">
        <v>20</v>
      </c>
      <c r="E9" s="37">
        <v>1</v>
      </c>
      <c r="F9" s="38">
        <v>0.2</v>
      </c>
    </row>
    <row r="10" spans="1:6">
      <c r="A10" s="38" t="s">
        <v>61</v>
      </c>
      <c r="B10" s="38" t="s">
        <v>62</v>
      </c>
      <c r="C10" s="38">
        <v>31.536000000000001</v>
      </c>
      <c r="D10" s="38">
        <v>20</v>
      </c>
      <c r="E10" s="38">
        <v>0.35</v>
      </c>
      <c r="F10" s="38">
        <v>0.4</v>
      </c>
    </row>
    <row r="11" spans="1:6">
      <c r="A11" s="10" t="s">
        <v>140</v>
      </c>
      <c r="B11" s="38"/>
      <c r="C11" s="38">
        <v>31.536000000000001</v>
      </c>
      <c r="D11" s="38">
        <v>20</v>
      </c>
      <c r="E11" s="38">
        <v>0.3</v>
      </c>
      <c r="F11" s="38">
        <v>0.5</v>
      </c>
    </row>
    <row r="12" spans="1:6">
      <c r="A12" s="38" t="s">
        <v>63</v>
      </c>
      <c r="B12" s="38" t="s">
        <v>64</v>
      </c>
      <c r="C12" s="38">
        <v>31.536000000000001</v>
      </c>
      <c r="D12" s="38">
        <v>40</v>
      </c>
      <c r="E12" s="37">
        <v>0.45500000000000002</v>
      </c>
      <c r="F12" s="38">
        <v>0.5</v>
      </c>
    </row>
    <row r="13" spans="1:6" s="36" customFormat="1">
      <c r="A13" s="38" t="s">
        <v>65</v>
      </c>
      <c r="B13" s="38" t="s">
        <v>66</v>
      </c>
      <c r="C13" s="38">
        <v>31.536000000000001</v>
      </c>
      <c r="D13" s="38">
        <v>25</v>
      </c>
      <c r="E13" s="37">
        <v>0.52</v>
      </c>
      <c r="F13" s="38">
        <v>0.57999999999999996</v>
      </c>
    </row>
    <row r="14" spans="1:6">
      <c r="A14" s="38" t="s">
        <v>67</v>
      </c>
      <c r="B14" s="38" t="s">
        <v>68</v>
      </c>
      <c r="C14" s="38">
        <v>31.536000000000001</v>
      </c>
      <c r="D14" s="38">
        <v>25</v>
      </c>
      <c r="E14" s="37">
        <v>0.33</v>
      </c>
      <c r="F14" s="38">
        <v>0.55000000000000004</v>
      </c>
    </row>
    <row r="15" spans="1:6">
      <c r="A15" s="38" t="s">
        <v>69</v>
      </c>
      <c r="B15" s="38" t="s">
        <v>70</v>
      </c>
      <c r="C15" s="38">
        <v>31.536000000000001</v>
      </c>
      <c r="D15" s="38">
        <v>30</v>
      </c>
      <c r="E15" s="37">
        <v>0.33</v>
      </c>
      <c r="F15" s="38">
        <v>0.5</v>
      </c>
    </row>
    <row r="16" spans="1:6">
      <c r="A16" s="38" t="s">
        <v>71</v>
      </c>
      <c r="B16" s="38" t="s">
        <v>72</v>
      </c>
      <c r="C16" s="38">
        <v>31.536000000000001</v>
      </c>
      <c r="D16" s="38">
        <v>30</v>
      </c>
      <c r="E16" s="38">
        <v>0.38</v>
      </c>
      <c r="F16" s="38">
        <v>0.51784521358153213</v>
      </c>
    </row>
    <row r="17" spans="1:6">
      <c r="A17" s="38" t="s">
        <v>73</v>
      </c>
      <c r="B17" s="37" t="s">
        <v>74</v>
      </c>
      <c r="C17" s="38">
        <v>31.536000000000001</v>
      </c>
      <c r="D17" s="37">
        <v>40</v>
      </c>
      <c r="E17" s="37">
        <v>0.4</v>
      </c>
      <c r="F17" s="37">
        <v>0.41</v>
      </c>
    </row>
    <row r="18" spans="1:6" s="36" customFormat="1">
      <c r="A18" s="37" t="s">
        <v>75</v>
      </c>
      <c r="B18" s="37" t="s">
        <v>76</v>
      </c>
      <c r="C18" s="37">
        <v>31.536000000000001</v>
      </c>
      <c r="D18" s="37">
        <v>30</v>
      </c>
      <c r="E18" s="37">
        <v>0.33260000000000001</v>
      </c>
      <c r="F18" s="37">
        <v>0.6</v>
      </c>
    </row>
    <row r="19" spans="1:6">
      <c r="A19" s="38" t="s">
        <v>77</v>
      </c>
      <c r="B19" s="38" t="s">
        <v>78</v>
      </c>
      <c r="C19" s="38">
        <v>31.536000000000001</v>
      </c>
      <c r="D19" s="37">
        <v>30</v>
      </c>
      <c r="E19" s="10">
        <v>0.4427325452694027</v>
      </c>
      <c r="F19" s="38">
        <v>0.57999999999999996</v>
      </c>
    </row>
    <row r="20" spans="1:6" s="36" customFormat="1">
      <c r="A20" s="38" t="s">
        <v>79</v>
      </c>
      <c r="B20" s="40" t="s">
        <v>80</v>
      </c>
      <c r="C20" s="40">
        <v>31.536000000000001</v>
      </c>
      <c r="D20" s="40">
        <v>25</v>
      </c>
      <c r="E20" s="37">
        <v>0.3</v>
      </c>
      <c r="F20" s="38">
        <v>0.56466487120189524</v>
      </c>
    </row>
    <row r="21" spans="1:6">
      <c r="A21" s="10" t="s">
        <v>117</v>
      </c>
      <c r="B21" s="40" t="s">
        <v>81</v>
      </c>
      <c r="C21" s="40">
        <v>31.536000000000001</v>
      </c>
      <c r="D21" s="10">
        <v>25</v>
      </c>
      <c r="E21" s="10">
        <f>E$17*0.875-0.01</f>
        <v>0.34</v>
      </c>
      <c r="F21" s="38">
        <v>0.56466487120189524</v>
      </c>
    </row>
    <row r="22" spans="1:6">
      <c r="A22" s="10" t="s">
        <v>82</v>
      </c>
      <c r="B22" s="40" t="s">
        <v>83</v>
      </c>
      <c r="C22" s="40">
        <v>31.536000000000001</v>
      </c>
      <c r="D22" s="10">
        <v>25</v>
      </c>
      <c r="E22" s="10">
        <f>E$17*0.875-0.012</f>
        <v>0.33800000000000002</v>
      </c>
      <c r="F22" s="38">
        <v>0.56466487120189524</v>
      </c>
    </row>
    <row r="23" spans="1:6">
      <c r="A23" s="10" t="s">
        <v>118</v>
      </c>
      <c r="B23" s="40" t="s">
        <v>84</v>
      </c>
      <c r="C23" s="40">
        <v>31.536000000000001</v>
      </c>
      <c r="D23" s="10">
        <v>25</v>
      </c>
      <c r="E23" s="10">
        <f>E$17*0.875-0.014</f>
        <v>0.33600000000000002</v>
      </c>
      <c r="F23" s="38">
        <v>0.56466487120189524</v>
      </c>
    </row>
    <row r="24" spans="1:6">
      <c r="A24" s="10" t="s">
        <v>85</v>
      </c>
      <c r="B24" s="40" t="s">
        <v>86</v>
      </c>
      <c r="C24" s="40">
        <v>31.536000000000001</v>
      </c>
      <c r="D24" s="10">
        <v>25</v>
      </c>
      <c r="E24" s="10">
        <f>E$17*0.875-0.016</f>
        <v>0.33400000000000002</v>
      </c>
      <c r="F24" s="38">
        <v>0.56466487120189524</v>
      </c>
    </row>
    <row r="25" spans="1:6">
      <c r="A25" s="10" t="s">
        <v>119</v>
      </c>
      <c r="B25" s="40" t="s">
        <v>87</v>
      </c>
      <c r="C25" s="40">
        <v>31.536000000000001</v>
      </c>
      <c r="D25" s="10">
        <v>25</v>
      </c>
      <c r="E25" s="10">
        <f>E$17*0.875-0.018</f>
        <v>0.33200000000000002</v>
      </c>
      <c r="F25" s="38">
        <v>0.56466487120189524</v>
      </c>
    </row>
    <row r="26" spans="1:6">
      <c r="A26" s="40" t="s">
        <v>163</v>
      </c>
      <c r="B26" s="40" t="s">
        <v>154</v>
      </c>
      <c r="C26" s="40">
        <v>31.536000000000001</v>
      </c>
      <c r="D26" s="40">
        <v>40</v>
      </c>
      <c r="E26" s="40">
        <v>0.6</v>
      </c>
      <c r="F26" s="40">
        <v>0.52</v>
      </c>
    </row>
    <row r="27" spans="1:6">
      <c r="A27" s="40" t="s">
        <v>164</v>
      </c>
      <c r="B27" s="40" t="s">
        <v>155</v>
      </c>
      <c r="C27" s="40">
        <v>31.536000000000001</v>
      </c>
      <c r="D27" s="40">
        <v>30</v>
      </c>
      <c r="E27" s="40">
        <v>0.55000000000000004</v>
      </c>
      <c r="F27" s="40">
        <v>0.5</v>
      </c>
    </row>
    <row r="28" spans="1:6">
      <c r="A28" s="40" t="s">
        <v>165</v>
      </c>
      <c r="B28" s="40" t="s">
        <v>156</v>
      </c>
      <c r="C28" s="40">
        <v>31.536000000000001</v>
      </c>
      <c r="D28" s="40">
        <v>20</v>
      </c>
      <c r="E28" s="40">
        <v>0.85</v>
      </c>
      <c r="F28" s="40">
        <v>0.52</v>
      </c>
    </row>
    <row r="29" spans="1:6">
      <c r="A29" s="40" t="s">
        <v>166</v>
      </c>
      <c r="B29" s="40" t="s">
        <v>157</v>
      </c>
      <c r="C29" s="40">
        <v>31.536000000000001</v>
      </c>
      <c r="D29" s="40">
        <v>20</v>
      </c>
      <c r="E29" s="40">
        <v>0.8</v>
      </c>
      <c r="F29" s="40">
        <v>0.52</v>
      </c>
    </row>
    <row r="30" spans="1:6">
      <c r="A30" s="40" t="s">
        <v>167</v>
      </c>
      <c r="B30" s="40" t="s">
        <v>158</v>
      </c>
      <c r="C30" s="40">
        <v>31.536000000000001</v>
      </c>
      <c r="D30" s="40">
        <v>20</v>
      </c>
      <c r="E30" s="40">
        <v>0.9</v>
      </c>
      <c r="F30" s="40">
        <v>0.31</v>
      </c>
    </row>
    <row r="31" spans="1:6">
      <c r="A31" s="40" t="s">
        <v>168</v>
      </c>
      <c r="B31" s="40" t="s">
        <v>159</v>
      </c>
      <c r="C31" s="40">
        <v>31.536000000000001</v>
      </c>
      <c r="D31" s="40">
        <v>20</v>
      </c>
      <c r="E31" s="40">
        <v>0.85</v>
      </c>
      <c r="F31" s="40">
        <v>0.5</v>
      </c>
    </row>
    <row r="32" spans="1:6">
      <c r="A32" s="40" t="s">
        <v>169</v>
      </c>
      <c r="B32" s="40" t="s">
        <v>160</v>
      </c>
      <c r="C32" s="40">
        <v>31.536000000000001</v>
      </c>
      <c r="D32" s="40">
        <v>20</v>
      </c>
      <c r="E32" s="40">
        <v>0.6</v>
      </c>
      <c r="F32" s="40">
        <v>0.56999999999999995</v>
      </c>
    </row>
    <row r="33" spans="1:6">
      <c r="A33" s="40" t="s">
        <v>170</v>
      </c>
      <c r="B33" s="40" t="s">
        <v>161</v>
      </c>
      <c r="C33" s="40">
        <v>31.536000000000001</v>
      </c>
      <c r="D33" s="40">
        <v>20</v>
      </c>
      <c r="E33" s="40">
        <v>0.35</v>
      </c>
      <c r="F33" s="40">
        <v>0.56999999999999995</v>
      </c>
    </row>
    <row r="34" spans="1:6">
      <c r="A34" s="40" t="s">
        <v>171</v>
      </c>
      <c r="B34" s="40" t="s">
        <v>162</v>
      </c>
      <c r="C34" s="40">
        <v>31.536000000000001</v>
      </c>
      <c r="D34" s="40">
        <v>20</v>
      </c>
      <c r="E34" s="40">
        <v>0.1</v>
      </c>
      <c r="F34" s="40">
        <v>0.92</v>
      </c>
    </row>
    <row r="35" spans="1:6">
      <c r="C35" s="40"/>
    </row>
    <row r="36" spans="1:6">
      <c r="C36" s="40"/>
      <c r="F36" s="9" t="s">
        <v>175</v>
      </c>
    </row>
    <row r="37" spans="1:6">
      <c r="C37" s="4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253-D840-4D5D-A369-67D709CB445B}">
  <sheetPr>
    <tabColor rgb="FF92D050"/>
  </sheetPr>
  <dimension ref="A1:J33"/>
  <sheetViews>
    <sheetView tabSelected="1" workbookViewId="0">
      <selection activeCell="N12" sqref="N12"/>
    </sheetView>
  </sheetViews>
  <sheetFormatPr baseColWidth="10" defaultColWidth="8.83203125" defaultRowHeight="15"/>
  <cols>
    <col min="1" max="1" width="6.5" bestFit="1" customWidth="1"/>
    <col min="2" max="3" width="11.33203125" bestFit="1" customWidth="1"/>
    <col min="4" max="4" width="7.6640625" bestFit="1" customWidth="1"/>
    <col min="5" max="5" width="6.5" bestFit="1" customWidth="1"/>
    <col min="6" max="6" width="7.1640625" bestFit="1" customWidth="1"/>
    <col min="7" max="7" width="6.6640625" bestFit="1" customWidth="1"/>
    <col min="8" max="8" width="7.6640625" bestFit="1" customWidth="1"/>
    <col min="9" max="9" width="6.6640625" bestFit="1" customWidth="1"/>
    <col min="10" max="10" width="7.6640625" bestFit="1" customWidth="1"/>
  </cols>
  <sheetData>
    <row r="1" spans="1:10">
      <c r="A1" s="54"/>
      <c r="B1" s="54" t="s">
        <v>120</v>
      </c>
      <c r="C1" s="54" t="s">
        <v>121</v>
      </c>
      <c r="D1" s="54" t="s">
        <v>122</v>
      </c>
      <c r="E1" s="54" t="s">
        <v>177</v>
      </c>
      <c r="F1" s="55" t="s">
        <v>132</v>
      </c>
      <c r="G1" s="54" t="s">
        <v>137</v>
      </c>
      <c r="H1" s="54" t="s">
        <v>184</v>
      </c>
      <c r="I1" s="54" t="s">
        <v>185</v>
      </c>
      <c r="J1" s="54" t="s">
        <v>186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3">
        <v>0</v>
      </c>
      <c r="F2" s="58">
        <v>35</v>
      </c>
      <c r="G2" s="53">
        <v>2.1484117899999999</v>
      </c>
      <c r="H2" s="53">
        <v>14</v>
      </c>
      <c r="I2" s="53">
        <v>0</v>
      </c>
      <c r="J2" s="53">
        <v>30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3">
        <v>0</v>
      </c>
      <c r="F3" s="58">
        <v>35</v>
      </c>
      <c r="G3" s="53">
        <v>1</v>
      </c>
      <c r="H3" s="53">
        <v>11</v>
      </c>
      <c r="I3" s="60">
        <v>4</v>
      </c>
      <c r="J3" s="53">
        <v>35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3">
        <v>0</v>
      </c>
      <c r="F4" s="58">
        <v>35</v>
      </c>
      <c r="G4" s="53">
        <v>2.4882907400000001</v>
      </c>
      <c r="H4" s="53">
        <v>244</v>
      </c>
      <c r="I4" s="53">
        <v>24.12</v>
      </c>
      <c r="J4" s="53">
        <v>273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3">
        <v>0</v>
      </c>
      <c r="F5" s="58">
        <v>35</v>
      </c>
      <c r="G5" s="53">
        <v>5.9000269999999997</v>
      </c>
      <c r="H5" s="53">
        <v>225</v>
      </c>
      <c r="I5" s="53">
        <v>0</v>
      </c>
      <c r="J5" s="53">
        <v>204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3">
        <v>0</v>
      </c>
      <c r="F6" s="58">
        <v>35</v>
      </c>
      <c r="G6" s="53">
        <v>5.81</v>
      </c>
      <c r="H6" s="53">
        <v>1572</v>
      </c>
      <c r="I6" s="53">
        <v>0</v>
      </c>
      <c r="J6" s="53">
        <v>2000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3">
        <v>29.5491089</v>
      </c>
      <c r="F7" s="58">
        <v>35</v>
      </c>
      <c r="G7" s="53">
        <v>5.9837928600000003</v>
      </c>
      <c r="H7" s="53">
        <v>148</v>
      </c>
      <c r="I7" s="53">
        <v>113</v>
      </c>
      <c r="J7" s="53">
        <v>191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3">
        <v>0</v>
      </c>
      <c r="F8" s="58">
        <v>35</v>
      </c>
      <c r="G8" s="53">
        <v>8.7358951400000002</v>
      </c>
      <c r="H8" s="53">
        <v>205</v>
      </c>
      <c r="I8" s="53">
        <v>0</v>
      </c>
      <c r="J8" s="53">
        <v>192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3">
        <v>0</v>
      </c>
      <c r="F9" s="58">
        <v>35</v>
      </c>
      <c r="G9" s="53">
        <v>8.0118919300000009</v>
      </c>
      <c r="H9" s="53">
        <v>480</v>
      </c>
      <c r="I9" s="53">
        <v>0</v>
      </c>
      <c r="J9" s="53">
        <v>420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3">
        <v>0</v>
      </c>
      <c r="F10" s="58">
        <v>35</v>
      </c>
      <c r="G10" s="53">
        <v>0</v>
      </c>
      <c r="H10" s="53">
        <v>3</v>
      </c>
      <c r="I10" s="53">
        <v>45</v>
      </c>
      <c r="J10" s="53">
        <v>38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3">
        <v>29.5491089</v>
      </c>
      <c r="F11" s="58">
        <v>35</v>
      </c>
      <c r="G11" s="53">
        <v>4.7300000000000004</v>
      </c>
      <c r="H11" s="53">
        <v>56</v>
      </c>
      <c r="I11" s="53">
        <v>264</v>
      </c>
      <c r="J11" s="53">
        <v>320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3">
        <v>59.0982178</v>
      </c>
      <c r="F12" s="58">
        <v>35</v>
      </c>
      <c r="G12" s="53">
        <v>15.43182582</v>
      </c>
      <c r="H12" s="53">
        <v>18</v>
      </c>
      <c r="I12" s="53">
        <v>379</v>
      </c>
      <c r="J12" s="61">
        <v>119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3">
        <v>0</v>
      </c>
      <c r="F13" s="58">
        <v>35</v>
      </c>
      <c r="G13" s="53">
        <v>6.9202480900000003</v>
      </c>
      <c r="H13" s="53">
        <v>96</v>
      </c>
      <c r="I13" s="53">
        <v>0</v>
      </c>
      <c r="J13" s="53">
        <v>280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3">
        <v>30</v>
      </c>
      <c r="F14" s="58">
        <v>35</v>
      </c>
      <c r="G14" s="53">
        <v>15.70804302</v>
      </c>
      <c r="H14" s="53">
        <v>46</v>
      </c>
      <c r="I14" s="53">
        <v>70</v>
      </c>
      <c r="J14" s="53">
        <v>78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3">
        <v>0</v>
      </c>
      <c r="F15" s="58">
        <v>35</v>
      </c>
      <c r="G15" s="53">
        <v>9.6861004200000007</v>
      </c>
      <c r="H15" s="53">
        <v>88</v>
      </c>
      <c r="I15" s="53">
        <v>0</v>
      </c>
      <c r="J15" s="53">
        <v>196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3">
        <v>14.7745544</v>
      </c>
      <c r="F16" s="58">
        <v>35</v>
      </c>
      <c r="G16" s="53">
        <v>1.17</v>
      </c>
      <c r="H16" s="53">
        <v>245</v>
      </c>
      <c r="I16" s="53">
        <v>76.540000000000006</v>
      </c>
      <c r="J16" s="53">
        <v>588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3">
        <v>0</v>
      </c>
      <c r="F17" s="58">
        <v>35</v>
      </c>
      <c r="G17" s="53">
        <v>5.0706411100000004</v>
      </c>
      <c r="H17" s="53">
        <v>233</v>
      </c>
      <c r="I17" s="53">
        <v>0</v>
      </c>
      <c r="J17" s="53">
        <v>120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3">
        <v>0</v>
      </c>
      <c r="F18" s="58">
        <v>35</v>
      </c>
      <c r="G18" s="53">
        <v>38.579581269999998</v>
      </c>
      <c r="H18" s="53">
        <v>126</v>
      </c>
      <c r="I18" s="53">
        <v>0</v>
      </c>
      <c r="J18" s="53">
        <v>157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3">
        <v>0</v>
      </c>
      <c r="F19" s="58">
        <v>35</v>
      </c>
      <c r="G19" s="53">
        <v>28.87234175</v>
      </c>
      <c r="H19" s="53">
        <v>106</v>
      </c>
      <c r="I19" s="53">
        <v>0</v>
      </c>
      <c r="J19" s="53">
        <v>78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3">
        <v>73.8727722</v>
      </c>
      <c r="F20" s="58">
        <v>35</v>
      </c>
      <c r="G20" s="53">
        <v>19.964288589999999</v>
      </c>
      <c r="H20" s="53">
        <v>85</v>
      </c>
      <c r="I20" s="53">
        <v>51.71</v>
      </c>
      <c r="J20" s="53">
        <v>109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3">
        <v>13.7745544</v>
      </c>
      <c r="F21" s="58">
        <v>35</v>
      </c>
      <c r="G21" s="53">
        <v>22.286279749999999</v>
      </c>
      <c r="H21" s="53">
        <v>137</v>
      </c>
      <c r="I21" s="53">
        <v>26.59</v>
      </c>
      <c r="J21" s="53">
        <v>202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3">
        <v>7.3872772199999996</v>
      </c>
      <c r="F22" s="58">
        <v>35</v>
      </c>
      <c r="G22" s="53">
        <v>2.1122961400000002</v>
      </c>
      <c r="H22" s="53">
        <v>32</v>
      </c>
      <c r="I22" s="53">
        <v>10.36</v>
      </c>
      <c r="J22" s="53">
        <v>99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3">
        <v>0</v>
      </c>
      <c r="F23" s="58">
        <v>35</v>
      </c>
      <c r="G23" s="53">
        <v>24.799057860000001</v>
      </c>
      <c r="H23" s="53">
        <v>58</v>
      </c>
      <c r="I23" s="53">
        <v>0</v>
      </c>
      <c r="J23" s="53">
        <v>25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3">
        <v>0</v>
      </c>
      <c r="F24" s="58">
        <v>35</v>
      </c>
      <c r="G24" s="53">
        <v>155.37577380000002</v>
      </c>
      <c r="H24" s="53">
        <v>165</v>
      </c>
      <c r="I24" s="53">
        <v>0</v>
      </c>
      <c r="J24" s="53">
        <v>120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3">
        <v>0</v>
      </c>
      <c r="F25" s="58">
        <v>35</v>
      </c>
      <c r="G25" s="53">
        <v>25.25376344</v>
      </c>
      <c r="H25" s="53">
        <v>142</v>
      </c>
      <c r="I25" s="53">
        <v>0</v>
      </c>
      <c r="J25" s="53">
        <v>65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3">
        <v>0</v>
      </c>
      <c r="F26" s="58">
        <v>35</v>
      </c>
      <c r="G26" s="53">
        <v>112.65796965</v>
      </c>
      <c r="H26" s="53">
        <v>100.77</v>
      </c>
      <c r="I26" s="53">
        <v>0</v>
      </c>
      <c r="J26" s="61">
        <v>120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3">
        <v>0</v>
      </c>
      <c r="F27" s="58">
        <v>35</v>
      </c>
      <c r="G27" s="53">
        <v>17.77</v>
      </c>
      <c r="H27" s="53">
        <v>184</v>
      </c>
      <c r="I27" s="53">
        <v>0</v>
      </c>
      <c r="J27" s="53">
        <v>302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3">
        <v>0</v>
      </c>
      <c r="F28" s="58">
        <v>35</v>
      </c>
      <c r="G28" s="53">
        <v>16.131216560000002</v>
      </c>
      <c r="H28" s="53">
        <v>650</v>
      </c>
      <c r="I28" s="53">
        <v>0</v>
      </c>
      <c r="J28" s="53">
        <v>1989.5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3">
        <v>0</v>
      </c>
      <c r="F29" s="58">
        <v>35</v>
      </c>
      <c r="G29" s="53">
        <v>24.538048320000001</v>
      </c>
      <c r="H29" s="53">
        <v>269</v>
      </c>
      <c r="I29" s="53">
        <v>0</v>
      </c>
      <c r="J29" s="53">
        <v>568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3">
        <v>0</v>
      </c>
      <c r="F30" s="58">
        <v>35</v>
      </c>
      <c r="G30" s="53">
        <v>3.61381525</v>
      </c>
      <c r="H30" s="53">
        <v>75</v>
      </c>
      <c r="I30" s="53">
        <v>0</v>
      </c>
      <c r="J30" s="53">
        <v>208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3">
        <v>0</v>
      </c>
      <c r="F31" s="58">
        <v>35</v>
      </c>
      <c r="G31" s="53">
        <v>43.18</v>
      </c>
      <c r="H31" s="53">
        <v>2783</v>
      </c>
      <c r="I31" s="53">
        <v>0</v>
      </c>
      <c r="J31" s="53">
        <v>6853</v>
      </c>
    </row>
    <row r="33" spans="2:2">
      <c r="B33" t="s">
        <v>187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055-F5D7-4982-BA79-2FA9DF5ABA52}">
  <sheetPr>
    <tabColor rgb="FF92D050"/>
  </sheetPr>
  <dimension ref="A1:O35"/>
  <sheetViews>
    <sheetView zoomScale="115" zoomScaleNormal="115" workbookViewId="0">
      <selection activeCell="C33" sqref="C33"/>
    </sheetView>
  </sheetViews>
  <sheetFormatPr baseColWidth="10" defaultColWidth="8.83203125" defaultRowHeight="14"/>
  <cols>
    <col min="1" max="12" width="8.83203125" style="3"/>
    <col min="13" max="15" width="13" style="3" customWidth="1"/>
    <col min="16" max="16384" width="8.83203125" style="3"/>
  </cols>
  <sheetData>
    <row r="1" spans="1:1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>
      <c r="A2" s="3" t="s">
        <v>12</v>
      </c>
      <c r="B2" s="4">
        <v>0.77</v>
      </c>
      <c r="C2" s="4">
        <v>0.22</v>
      </c>
      <c r="D2" s="5">
        <v>10</v>
      </c>
      <c r="E2" s="6">
        <v>0.99</v>
      </c>
      <c r="F2" s="6">
        <v>0</v>
      </c>
      <c r="G2" s="6">
        <v>0.19</v>
      </c>
      <c r="H2" s="7">
        <v>0.62</v>
      </c>
      <c r="I2" s="4">
        <v>0</v>
      </c>
      <c r="J2" s="4">
        <v>0.39</v>
      </c>
      <c r="K2" s="4">
        <v>0</v>
      </c>
      <c r="L2" s="4">
        <v>0</v>
      </c>
      <c r="M2" s="4">
        <v>0</v>
      </c>
      <c r="N2" s="4">
        <v>2.52</v>
      </c>
      <c r="O2" s="4"/>
    </row>
    <row r="3" spans="1:15">
      <c r="A3" s="3" t="s">
        <v>13</v>
      </c>
      <c r="B3" s="4">
        <v>12.3</v>
      </c>
      <c r="C3" s="4">
        <v>0</v>
      </c>
      <c r="D3" s="5">
        <v>3.82</v>
      </c>
      <c r="E3" s="6">
        <v>0</v>
      </c>
      <c r="F3" s="6">
        <v>0.85</v>
      </c>
      <c r="G3" s="6">
        <v>0</v>
      </c>
      <c r="H3" s="7">
        <v>1.64</v>
      </c>
      <c r="I3" s="4">
        <v>0</v>
      </c>
      <c r="J3" s="4">
        <v>0.33</v>
      </c>
      <c r="K3" s="4">
        <v>0</v>
      </c>
      <c r="L3" s="4">
        <v>0</v>
      </c>
      <c r="M3" s="4">
        <v>0</v>
      </c>
      <c r="N3" s="4">
        <v>5.6</v>
      </c>
      <c r="O3" s="4"/>
    </row>
    <row r="4" spans="1:15">
      <c r="A4" s="3" t="s">
        <v>14</v>
      </c>
      <c r="B4" s="4">
        <v>49.52</v>
      </c>
      <c r="C4" s="4">
        <v>0</v>
      </c>
      <c r="D4" s="5">
        <v>0.94</v>
      </c>
      <c r="E4" s="6">
        <v>1.82</v>
      </c>
      <c r="F4" s="6">
        <v>15</v>
      </c>
      <c r="G4" s="6">
        <v>7.74</v>
      </c>
      <c r="H4" s="7">
        <v>21.9</v>
      </c>
      <c r="I4" s="4">
        <v>0</v>
      </c>
      <c r="J4" s="4">
        <v>1.1499999999999999</v>
      </c>
      <c r="K4" s="4">
        <v>0</v>
      </c>
      <c r="L4" s="4">
        <v>0</v>
      </c>
      <c r="M4" s="4">
        <v>0</v>
      </c>
      <c r="N4" s="4">
        <v>54</v>
      </c>
      <c r="O4" s="4"/>
    </row>
    <row r="5" spans="1:15">
      <c r="A5" s="3" t="s">
        <v>15</v>
      </c>
      <c r="B5" s="4">
        <v>62.63</v>
      </c>
      <c r="C5" s="4">
        <v>0</v>
      </c>
      <c r="D5" s="5">
        <v>3.48</v>
      </c>
      <c r="E5" s="6">
        <v>2.23</v>
      </c>
      <c r="F5" s="6">
        <v>0</v>
      </c>
      <c r="G5" s="6">
        <v>19.739999999999998</v>
      </c>
      <c r="H5" s="7">
        <v>13.09</v>
      </c>
      <c r="I5" s="4">
        <v>0</v>
      </c>
      <c r="J5" s="4">
        <v>0.64</v>
      </c>
      <c r="K5" s="4">
        <v>0</v>
      </c>
      <c r="L5" s="4">
        <v>0</v>
      </c>
      <c r="M5" s="4">
        <v>0</v>
      </c>
      <c r="N5" s="4">
        <v>50</v>
      </c>
      <c r="O5" s="4"/>
    </row>
    <row r="6" spans="1:15">
      <c r="A6" s="3" t="s">
        <v>16</v>
      </c>
      <c r="B6" s="4">
        <v>92.07</v>
      </c>
      <c r="C6" s="4">
        <v>0</v>
      </c>
      <c r="D6" s="5">
        <v>0.74</v>
      </c>
      <c r="E6" s="6">
        <v>2.42</v>
      </c>
      <c r="F6" s="6">
        <v>0</v>
      </c>
      <c r="G6" s="3">
        <v>37.86</v>
      </c>
      <c r="H6" s="8">
        <v>12.37</v>
      </c>
      <c r="I6" s="4">
        <v>0</v>
      </c>
      <c r="J6" s="4">
        <v>0.33</v>
      </c>
      <c r="K6" s="4">
        <v>0</v>
      </c>
      <c r="L6" s="4">
        <v>0</v>
      </c>
      <c r="M6" s="4">
        <v>0</v>
      </c>
      <c r="N6" s="4">
        <v>45</v>
      </c>
      <c r="O6" s="4"/>
    </row>
    <row r="7" spans="1:15">
      <c r="A7" s="3" t="s">
        <v>17</v>
      </c>
      <c r="B7" s="4">
        <v>34.99</v>
      </c>
      <c r="C7" s="4">
        <v>0.15</v>
      </c>
      <c r="D7" s="5">
        <v>0.06</v>
      </c>
      <c r="E7" s="6">
        <v>3.05</v>
      </c>
      <c r="F7" s="6">
        <v>6.4</v>
      </c>
      <c r="G7" s="3">
        <v>3.41</v>
      </c>
      <c r="H7" s="8">
        <v>4</v>
      </c>
      <c r="I7" s="4">
        <v>4.4751599999999998</v>
      </c>
      <c r="J7" s="4">
        <v>0.45</v>
      </c>
      <c r="K7" s="4">
        <v>0</v>
      </c>
      <c r="L7" s="4">
        <v>0</v>
      </c>
      <c r="M7" s="4">
        <v>0</v>
      </c>
      <c r="N7" s="4">
        <v>10</v>
      </c>
      <c r="O7" s="4"/>
    </row>
    <row r="8" spans="1:15">
      <c r="A8" s="3" t="s">
        <v>18</v>
      </c>
      <c r="B8" s="4">
        <v>17.329999999999998</v>
      </c>
      <c r="C8" s="4">
        <v>0</v>
      </c>
      <c r="D8" s="5">
        <v>0.01</v>
      </c>
      <c r="E8" s="6">
        <v>3.1</v>
      </c>
      <c r="F8" s="6">
        <v>0</v>
      </c>
      <c r="G8" s="3">
        <v>5.77</v>
      </c>
      <c r="H8" s="8">
        <v>3.38</v>
      </c>
      <c r="I8" s="4">
        <v>0</v>
      </c>
      <c r="J8" s="4">
        <v>0.8</v>
      </c>
      <c r="K8" s="4">
        <v>0</v>
      </c>
      <c r="L8" s="4">
        <v>0</v>
      </c>
      <c r="M8" s="4">
        <v>0</v>
      </c>
      <c r="N8" s="4">
        <v>8</v>
      </c>
      <c r="O8" s="4"/>
    </row>
    <row r="9" spans="1:15">
      <c r="A9" s="3" t="s">
        <v>19</v>
      </c>
      <c r="B9" s="4">
        <v>22.22</v>
      </c>
      <c r="C9" s="4">
        <v>0.02</v>
      </c>
      <c r="D9" s="5">
        <v>0.14000000000000001</v>
      </c>
      <c r="E9" s="6">
        <v>1.0900000000000001</v>
      </c>
      <c r="F9" s="6">
        <v>0</v>
      </c>
      <c r="G9" s="3">
        <v>6.86</v>
      </c>
      <c r="H9" s="8">
        <v>3.18</v>
      </c>
      <c r="I9" s="4">
        <v>0</v>
      </c>
      <c r="J9" s="4">
        <v>1.5</v>
      </c>
      <c r="K9" s="4">
        <v>0</v>
      </c>
      <c r="L9" s="4">
        <v>0</v>
      </c>
      <c r="M9" s="4">
        <v>0</v>
      </c>
      <c r="N9" s="4">
        <v>8.68</v>
      </c>
      <c r="O9" s="4"/>
    </row>
    <row r="10" spans="1:15">
      <c r="A10" s="3" t="s">
        <v>20</v>
      </c>
      <c r="B10" s="4">
        <v>15.02</v>
      </c>
      <c r="C10" s="4">
        <v>0.61</v>
      </c>
      <c r="D10" s="5">
        <v>7.66</v>
      </c>
      <c r="E10" s="6">
        <v>0</v>
      </c>
      <c r="F10" s="6">
        <v>0.82</v>
      </c>
      <c r="G10" s="3">
        <v>0</v>
      </c>
      <c r="H10" s="8">
        <v>1.37</v>
      </c>
      <c r="I10" s="4">
        <v>0</v>
      </c>
      <c r="J10" s="4">
        <v>0.43</v>
      </c>
      <c r="K10" s="4">
        <v>0</v>
      </c>
      <c r="L10" s="4">
        <v>0</v>
      </c>
      <c r="M10" s="4">
        <v>0</v>
      </c>
      <c r="N10" s="4">
        <f>2.7+H10</f>
        <v>4.07</v>
      </c>
      <c r="O10" s="4"/>
    </row>
    <row r="11" spans="1:15">
      <c r="A11" s="3" t="s">
        <v>21</v>
      </c>
      <c r="B11" s="4">
        <v>79.209999999999994</v>
      </c>
      <c r="C11" s="4">
        <v>0</v>
      </c>
      <c r="D11" s="5">
        <v>17</v>
      </c>
      <c r="E11" s="6">
        <v>2.65</v>
      </c>
      <c r="F11" s="6">
        <v>15.47</v>
      </c>
      <c r="G11" s="3">
        <v>0</v>
      </c>
      <c r="H11" s="8">
        <v>16.84</v>
      </c>
      <c r="I11" s="4">
        <v>5.49</v>
      </c>
      <c r="J11" s="4">
        <v>2.42</v>
      </c>
      <c r="K11" s="4">
        <v>0</v>
      </c>
      <c r="L11" s="4">
        <v>0</v>
      </c>
      <c r="M11" s="4">
        <v>0</v>
      </c>
      <c r="N11" s="4">
        <v>35</v>
      </c>
      <c r="O11" s="4"/>
    </row>
    <row r="12" spans="1:15">
      <c r="A12" s="3" t="s">
        <v>22</v>
      </c>
      <c r="B12" s="4">
        <v>47.38</v>
      </c>
      <c r="C12" s="4">
        <v>0.02</v>
      </c>
      <c r="D12" s="5">
        <v>12.62</v>
      </c>
      <c r="E12" s="6">
        <v>11.71</v>
      </c>
      <c r="F12" s="6">
        <v>1.26</v>
      </c>
      <c r="G12" s="3">
        <v>0.6</v>
      </c>
      <c r="H12" s="8">
        <v>15.17</v>
      </c>
      <c r="I12" s="4">
        <v>4.68</v>
      </c>
      <c r="J12" s="4">
        <v>2.4</v>
      </c>
      <c r="K12" s="4">
        <v>0</v>
      </c>
      <c r="L12" s="4">
        <v>0</v>
      </c>
      <c r="M12" s="4">
        <v>0</v>
      </c>
      <c r="N12" s="4">
        <v>15</v>
      </c>
      <c r="O12" s="4"/>
    </row>
    <row r="13" spans="1:15">
      <c r="A13" s="3" t="s">
        <v>23</v>
      </c>
      <c r="B13" s="4">
        <v>51.43</v>
      </c>
      <c r="C13" s="4">
        <v>0</v>
      </c>
      <c r="D13" s="5">
        <v>0.14000000000000001</v>
      </c>
      <c r="E13" s="6">
        <v>4.74</v>
      </c>
      <c r="F13" s="6">
        <v>0</v>
      </c>
      <c r="G13" s="3">
        <v>4.12</v>
      </c>
      <c r="H13" s="8">
        <v>13.7</v>
      </c>
      <c r="I13" s="4">
        <v>0</v>
      </c>
      <c r="J13" s="4">
        <v>2.14</v>
      </c>
      <c r="K13" s="4">
        <v>0</v>
      </c>
      <c r="L13" s="4">
        <v>0</v>
      </c>
      <c r="M13" s="4">
        <v>0</v>
      </c>
      <c r="N13" s="4">
        <v>28</v>
      </c>
      <c r="O13" s="4"/>
    </row>
    <row r="14" spans="1:15">
      <c r="A14" s="3" t="s">
        <v>24</v>
      </c>
      <c r="B14" s="4">
        <v>28.62</v>
      </c>
      <c r="C14" s="4">
        <v>0</v>
      </c>
      <c r="D14" s="5">
        <v>3.91</v>
      </c>
      <c r="E14" s="6">
        <v>13.31</v>
      </c>
      <c r="F14" s="6">
        <v>4.8600000000000003</v>
      </c>
      <c r="G14" s="3">
        <v>0</v>
      </c>
      <c r="H14" s="8">
        <v>2.02</v>
      </c>
      <c r="I14" s="4">
        <v>9.8620000000000001</v>
      </c>
      <c r="J14" s="4">
        <v>0.8</v>
      </c>
      <c r="K14" s="4">
        <v>0</v>
      </c>
      <c r="L14" s="4">
        <v>0</v>
      </c>
      <c r="M14" s="4">
        <v>0</v>
      </c>
      <c r="N14" s="4">
        <v>5</v>
      </c>
      <c r="O14" s="4"/>
    </row>
    <row r="15" spans="1:15">
      <c r="A15" s="3" t="s">
        <v>25</v>
      </c>
      <c r="B15" s="4">
        <v>20.56</v>
      </c>
      <c r="C15" s="4">
        <v>0</v>
      </c>
      <c r="D15" s="5">
        <v>0.14000000000000001</v>
      </c>
      <c r="E15" s="6">
        <v>6.6</v>
      </c>
      <c r="F15" s="6">
        <v>0</v>
      </c>
      <c r="G15" s="3">
        <v>5.0999999999999996</v>
      </c>
      <c r="H15" s="8">
        <v>7.76</v>
      </c>
      <c r="I15" s="4">
        <v>0</v>
      </c>
      <c r="J15" s="4">
        <v>0.8</v>
      </c>
      <c r="K15" s="4">
        <v>0</v>
      </c>
      <c r="L15" s="4">
        <v>0</v>
      </c>
      <c r="M15" s="4">
        <v>0</v>
      </c>
      <c r="N15" s="4">
        <v>24</v>
      </c>
      <c r="O15" s="4"/>
    </row>
    <row r="16" spans="1:15">
      <c r="A16" s="3" t="s">
        <v>26</v>
      </c>
      <c r="B16" s="4">
        <v>103.05</v>
      </c>
      <c r="C16" s="4">
        <v>0</v>
      </c>
      <c r="D16" s="5">
        <v>0.11</v>
      </c>
      <c r="E16" s="6">
        <v>1.08</v>
      </c>
      <c r="F16" s="6">
        <v>13.95</v>
      </c>
      <c r="G16" s="3">
        <v>4.5</v>
      </c>
      <c r="H16" s="8">
        <v>22.72</v>
      </c>
      <c r="I16" s="4">
        <v>6.9119999999999999</v>
      </c>
      <c r="J16" s="4">
        <v>3.65</v>
      </c>
      <c r="K16" s="4">
        <v>0</v>
      </c>
      <c r="L16" s="4">
        <v>0</v>
      </c>
      <c r="M16" s="4">
        <v>0</v>
      </c>
      <c r="N16" s="4">
        <v>57</v>
      </c>
      <c r="O16" s="4"/>
    </row>
    <row r="17" spans="1:15">
      <c r="A17" s="3" t="s">
        <v>27</v>
      </c>
      <c r="B17" s="4">
        <v>64.819999999999993</v>
      </c>
      <c r="C17" s="4">
        <v>0</v>
      </c>
      <c r="D17" s="5">
        <v>3.44</v>
      </c>
      <c r="E17" s="6">
        <v>4.08</v>
      </c>
      <c r="F17" s="6">
        <v>0</v>
      </c>
      <c r="G17" s="3">
        <v>15.18</v>
      </c>
      <c r="H17" s="8">
        <v>11.75</v>
      </c>
      <c r="I17" s="4">
        <v>0</v>
      </c>
      <c r="J17" s="4">
        <v>1.5</v>
      </c>
      <c r="K17" s="4">
        <v>0</v>
      </c>
      <c r="L17" s="4">
        <v>0</v>
      </c>
      <c r="M17" s="4">
        <v>0</v>
      </c>
      <c r="N17" s="4">
        <v>21.75</v>
      </c>
      <c r="O17" s="4"/>
    </row>
    <row r="18" spans="1:15">
      <c r="A18" s="3" t="s">
        <v>28</v>
      </c>
      <c r="B18" s="4">
        <v>28.91</v>
      </c>
      <c r="C18" s="4">
        <v>0</v>
      </c>
      <c r="D18" s="5">
        <v>1.1200000000000001</v>
      </c>
      <c r="E18" s="6">
        <v>37.57</v>
      </c>
      <c r="F18" s="6">
        <v>0</v>
      </c>
      <c r="G18" s="3">
        <v>5.0199999999999996</v>
      </c>
      <c r="H18" s="8">
        <v>6.98</v>
      </c>
      <c r="I18" s="4">
        <v>0</v>
      </c>
      <c r="J18" s="4">
        <v>1.1000000000000001</v>
      </c>
      <c r="K18" s="4">
        <v>0</v>
      </c>
      <c r="L18" s="4">
        <v>0</v>
      </c>
      <c r="M18" s="4">
        <v>0</v>
      </c>
      <c r="N18" s="4">
        <v>22</v>
      </c>
      <c r="O18" s="4"/>
    </row>
    <row r="19" spans="1:15">
      <c r="A19" s="3" t="s">
        <v>29</v>
      </c>
      <c r="B19" s="4">
        <v>20.239999999999998</v>
      </c>
      <c r="C19" s="4">
        <v>0.05</v>
      </c>
      <c r="D19" s="5">
        <v>0.08</v>
      </c>
      <c r="E19" s="6">
        <v>15.81</v>
      </c>
      <c r="F19" s="6">
        <v>0</v>
      </c>
      <c r="G19" s="3">
        <v>6.69</v>
      </c>
      <c r="H19" s="8">
        <v>3.91</v>
      </c>
      <c r="I19" s="4">
        <v>0</v>
      </c>
      <c r="J19" s="4">
        <v>0.85</v>
      </c>
      <c r="K19" s="4">
        <v>0</v>
      </c>
      <c r="L19" s="4">
        <v>0</v>
      </c>
      <c r="M19" s="4">
        <v>0</v>
      </c>
      <c r="N19" s="4">
        <v>13</v>
      </c>
      <c r="O19" s="4"/>
    </row>
    <row r="20" spans="1:15">
      <c r="A20" s="3" t="s">
        <v>30</v>
      </c>
      <c r="B20" s="4">
        <v>66.2</v>
      </c>
      <c r="C20" s="4">
        <v>0</v>
      </c>
      <c r="D20" s="5">
        <v>26.96</v>
      </c>
      <c r="E20" s="6">
        <v>16.66</v>
      </c>
      <c r="F20" s="6">
        <v>2.8</v>
      </c>
      <c r="G20" s="3">
        <v>2.85</v>
      </c>
      <c r="H20" s="8">
        <v>7.97</v>
      </c>
      <c r="I20" s="4">
        <v>16.135999999999999</v>
      </c>
      <c r="J20" s="4">
        <v>2.82</v>
      </c>
      <c r="K20" s="4">
        <v>0</v>
      </c>
      <c r="L20" s="4">
        <v>0</v>
      </c>
      <c r="M20" s="4">
        <v>0</v>
      </c>
      <c r="N20" s="4">
        <v>20</v>
      </c>
      <c r="O20" s="4"/>
    </row>
    <row r="21" spans="1:15">
      <c r="A21" s="3" t="s">
        <v>31</v>
      </c>
      <c r="B21" s="4">
        <v>18.59</v>
      </c>
      <c r="C21" s="4">
        <v>0</v>
      </c>
      <c r="D21" s="5">
        <v>0.54</v>
      </c>
      <c r="E21" s="6">
        <v>17.59</v>
      </c>
      <c r="F21" s="6">
        <v>1.3</v>
      </c>
      <c r="G21" s="3">
        <v>5.23</v>
      </c>
      <c r="H21" s="8">
        <v>2.0499999999999998</v>
      </c>
      <c r="I21" s="4">
        <v>2.1720000000000002</v>
      </c>
      <c r="J21" s="4">
        <v>2.0699999999999998</v>
      </c>
      <c r="K21" s="4">
        <v>0</v>
      </c>
      <c r="L21" s="4">
        <v>0</v>
      </c>
      <c r="M21" s="4">
        <v>0</v>
      </c>
      <c r="N21" s="4">
        <v>15</v>
      </c>
      <c r="O21" s="4"/>
    </row>
    <row r="22" spans="1:15">
      <c r="A22" s="3" t="s">
        <v>32</v>
      </c>
      <c r="B22" s="4">
        <v>3.24</v>
      </c>
      <c r="C22" s="4">
        <v>0</v>
      </c>
      <c r="D22" s="5">
        <v>1.69</v>
      </c>
      <c r="E22" s="6">
        <v>1.51</v>
      </c>
      <c r="F22" s="6">
        <v>0.13</v>
      </c>
      <c r="G22" s="3">
        <v>0.16</v>
      </c>
      <c r="H22" s="8">
        <v>1.43</v>
      </c>
      <c r="I22" s="4">
        <v>1.3</v>
      </c>
      <c r="J22" s="4">
        <v>0.45</v>
      </c>
      <c r="K22" s="4">
        <v>0</v>
      </c>
      <c r="L22" s="4">
        <v>0</v>
      </c>
      <c r="M22" s="4">
        <v>0</v>
      </c>
      <c r="N22" s="4">
        <v>5</v>
      </c>
      <c r="O22" s="4"/>
    </row>
    <row r="23" spans="1:15">
      <c r="A23" s="3" t="s">
        <v>33</v>
      </c>
      <c r="B23" s="4">
        <v>13.29</v>
      </c>
      <c r="C23" s="4">
        <v>0</v>
      </c>
      <c r="D23" s="5">
        <v>1.49</v>
      </c>
      <c r="E23" s="6">
        <v>7.79</v>
      </c>
      <c r="F23" s="6">
        <v>0</v>
      </c>
      <c r="G23" s="3">
        <v>0.97</v>
      </c>
      <c r="H23" s="8">
        <v>0.67</v>
      </c>
      <c r="I23" s="4">
        <v>0</v>
      </c>
      <c r="J23" s="4">
        <v>0.35</v>
      </c>
      <c r="K23" s="4">
        <v>0</v>
      </c>
      <c r="L23" s="4">
        <v>0</v>
      </c>
      <c r="M23" s="4">
        <v>0</v>
      </c>
      <c r="N23" s="4">
        <v>3.7</v>
      </c>
      <c r="O23" s="4"/>
    </row>
    <row r="24" spans="1:15">
      <c r="A24" s="3" t="s">
        <v>34</v>
      </c>
      <c r="B24" s="4">
        <v>12.12</v>
      </c>
      <c r="C24" s="4">
        <v>0</v>
      </c>
      <c r="D24" s="5">
        <v>1.28</v>
      </c>
      <c r="E24" s="6">
        <v>78.92</v>
      </c>
      <c r="F24" s="6">
        <v>0</v>
      </c>
      <c r="G24" s="3">
        <v>4.26</v>
      </c>
      <c r="H24" s="8">
        <v>1.91</v>
      </c>
      <c r="I24" s="4">
        <v>0</v>
      </c>
      <c r="J24" s="4">
        <v>0.84</v>
      </c>
      <c r="K24" s="4">
        <v>0</v>
      </c>
      <c r="L24" s="4">
        <v>0</v>
      </c>
      <c r="M24" s="4">
        <v>0</v>
      </c>
      <c r="N24" s="4">
        <v>10</v>
      </c>
      <c r="O24" s="4"/>
    </row>
    <row r="25" spans="1:15">
      <c r="A25" s="3" t="s">
        <v>35</v>
      </c>
      <c r="B25" s="4">
        <v>34.69</v>
      </c>
      <c r="C25" s="4">
        <v>0</v>
      </c>
      <c r="D25" s="5">
        <v>0.56000000000000005</v>
      </c>
      <c r="E25" s="6">
        <v>22.81</v>
      </c>
      <c r="F25" s="6">
        <v>0</v>
      </c>
      <c r="G25" s="3">
        <v>5.8</v>
      </c>
      <c r="H25" s="8">
        <v>10.57</v>
      </c>
      <c r="I25" s="4">
        <v>0</v>
      </c>
      <c r="J25" s="4">
        <v>0.35</v>
      </c>
      <c r="K25" s="4">
        <v>0</v>
      </c>
      <c r="L25" s="4">
        <v>0</v>
      </c>
      <c r="M25" s="4">
        <v>0</v>
      </c>
      <c r="N25" s="4">
        <f>20.43+H25</f>
        <v>31</v>
      </c>
      <c r="O25" s="4"/>
    </row>
    <row r="26" spans="1:15">
      <c r="A26" s="3" t="s">
        <v>36</v>
      </c>
      <c r="B26" s="4">
        <v>12.98</v>
      </c>
      <c r="C26" s="4">
        <v>0</v>
      </c>
      <c r="D26" s="5">
        <v>0.03</v>
      </c>
      <c r="E26" s="6">
        <v>74.8</v>
      </c>
      <c r="F26" s="6">
        <v>0</v>
      </c>
      <c r="G26" s="3">
        <v>8.81</v>
      </c>
      <c r="H26" s="8">
        <v>3.88</v>
      </c>
      <c r="I26" s="4">
        <v>0</v>
      </c>
      <c r="J26" s="4">
        <v>0.49</v>
      </c>
      <c r="K26" s="4">
        <v>0</v>
      </c>
      <c r="L26" s="4">
        <v>0</v>
      </c>
      <c r="M26" s="4">
        <v>0</v>
      </c>
      <c r="N26" s="4">
        <v>10</v>
      </c>
      <c r="O26" s="4"/>
    </row>
    <row r="27" spans="1:15">
      <c r="A27" s="3" t="s">
        <v>37</v>
      </c>
      <c r="B27" s="4">
        <v>47.68</v>
      </c>
      <c r="C27" s="4">
        <v>0</v>
      </c>
      <c r="D27" s="5">
        <v>0.22</v>
      </c>
      <c r="E27" s="6">
        <v>3.92</v>
      </c>
      <c r="F27" s="6">
        <v>0</v>
      </c>
      <c r="G27" s="3">
        <v>8.92</v>
      </c>
      <c r="H27" s="8">
        <v>10.89</v>
      </c>
      <c r="I27" s="4">
        <v>0</v>
      </c>
      <c r="J27" s="4">
        <v>0.42</v>
      </c>
      <c r="K27" s="4">
        <v>0</v>
      </c>
      <c r="L27" s="4">
        <v>0</v>
      </c>
      <c r="M27" s="4">
        <v>0</v>
      </c>
      <c r="N27" s="4">
        <v>40</v>
      </c>
      <c r="O27" s="4"/>
    </row>
    <row r="28" spans="1:15">
      <c r="A28" s="3" t="s">
        <v>38</v>
      </c>
      <c r="B28" s="4">
        <v>22.62</v>
      </c>
      <c r="C28" s="4">
        <v>0</v>
      </c>
      <c r="D28" s="5">
        <v>0.01</v>
      </c>
      <c r="E28" s="6">
        <v>9.57</v>
      </c>
      <c r="F28" s="6">
        <v>0</v>
      </c>
      <c r="G28" s="3">
        <v>13.73</v>
      </c>
      <c r="H28" s="8">
        <v>9.82</v>
      </c>
      <c r="I28" s="4">
        <v>0</v>
      </c>
      <c r="J28" s="4">
        <v>0.14000000000000001</v>
      </c>
      <c r="K28" s="4">
        <v>0</v>
      </c>
      <c r="L28" s="4">
        <v>0</v>
      </c>
      <c r="M28" s="4">
        <v>0</v>
      </c>
      <c r="N28" s="4">
        <v>41.69</v>
      </c>
      <c r="O28" s="4"/>
    </row>
    <row r="29" spans="1:15">
      <c r="A29" s="3" t="s">
        <v>39</v>
      </c>
      <c r="B29" s="4">
        <v>3.75</v>
      </c>
      <c r="C29" s="4">
        <v>0</v>
      </c>
      <c r="D29" s="5">
        <v>5.0000000000000001E-3</v>
      </c>
      <c r="E29" s="6">
        <v>11.93</v>
      </c>
      <c r="F29" s="6">
        <v>0</v>
      </c>
      <c r="G29" s="3">
        <v>8.43</v>
      </c>
      <c r="H29" s="8">
        <v>16.010000000000002</v>
      </c>
      <c r="I29" s="4">
        <v>0</v>
      </c>
      <c r="J29" s="4">
        <v>5.0000000000000001E-3</v>
      </c>
      <c r="K29" s="4">
        <v>0</v>
      </c>
      <c r="L29" s="4">
        <v>0</v>
      </c>
      <c r="M29" s="4">
        <v>0</v>
      </c>
      <c r="N29" s="4">
        <v>45.8</v>
      </c>
      <c r="O29" s="4"/>
    </row>
    <row r="30" spans="1:15">
      <c r="A30" s="3" t="s">
        <v>40</v>
      </c>
      <c r="B30" s="4">
        <v>31.36</v>
      </c>
      <c r="C30" s="4">
        <v>0</v>
      </c>
      <c r="D30" s="5">
        <v>0.7</v>
      </c>
      <c r="E30" s="6">
        <v>0.43</v>
      </c>
      <c r="F30" s="6">
        <v>0</v>
      </c>
      <c r="G30" s="3">
        <v>11.16</v>
      </c>
      <c r="H30" s="8">
        <v>11.97</v>
      </c>
      <c r="I30" s="4">
        <v>0</v>
      </c>
      <c r="J30" s="4">
        <v>0.13</v>
      </c>
      <c r="K30" s="4">
        <v>0</v>
      </c>
      <c r="L30" s="4">
        <v>0</v>
      </c>
      <c r="M30" s="4">
        <v>0</v>
      </c>
      <c r="N30" s="4">
        <v>32.5</v>
      </c>
      <c r="O30" s="4"/>
    </row>
    <row r="31" spans="1:15">
      <c r="A31" s="3" t="s">
        <v>41</v>
      </c>
      <c r="B31" s="4">
        <v>61.52</v>
      </c>
      <c r="C31" s="4">
        <v>0</v>
      </c>
      <c r="D31" s="5">
        <v>0.85</v>
      </c>
      <c r="E31" s="4">
        <v>8</v>
      </c>
      <c r="F31" s="6">
        <v>0</v>
      </c>
      <c r="G31" s="3">
        <v>23.61</v>
      </c>
      <c r="H31" s="8">
        <v>12.66</v>
      </c>
      <c r="I31" s="4">
        <v>0</v>
      </c>
      <c r="J31" s="4">
        <v>0.09</v>
      </c>
      <c r="K31" s="4">
        <v>0</v>
      </c>
      <c r="L31" s="4">
        <v>0</v>
      </c>
      <c r="M31" s="4">
        <v>0</v>
      </c>
      <c r="N31" s="4">
        <v>45</v>
      </c>
      <c r="O31" s="4"/>
    </row>
    <row r="32" spans="1:15">
      <c r="A32" s="3" t="s">
        <v>42</v>
      </c>
      <c r="B32" s="4">
        <f>SUM(B2:B31)</f>
        <v>1079.1099999999999</v>
      </c>
      <c r="C32" s="4">
        <v>1.47</v>
      </c>
      <c r="D32" s="4">
        <v>99.72</v>
      </c>
      <c r="E32" s="4">
        <v>370.28</v>
      </c>
      <c r="F32" s="4">
        <f t="shared" ref="F32:M32" si="0">SUM(F2:F31)</f>
        <v>62.839999999999996</v>
      </c>
      <c r="G32" s="4">
        <v>218.7</v>
      </c>
      <c r="H32" s="4">
        <v>253.56</v>
      </c>
      <c r="I32" s="4">
        <v>49.89</v>
      </c>
      <c r="J32" s="4">
        <v>29.87</v>
      </c>
      <c r="K32" s="4">
        <f t="shared" si="0"/>
        <v>0</v>
      </c>
      <c r="L32" s="4">
        <f t="shared" si="0"/>
        <v>0</v>
      </c>
      <c r="M32" s="4">
        <f t="shared" si="0"/>
        <v>0</v>
      </c>
    </row>
    <row r="35" spans="1:1">
      <c r="A35" s="44" t="s">
        <v>174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E758-BECD-4EAB-BC44-74B5D9D82920}">
  <sheetPr>
    <tabColor rgb="FF92D050"/>
  </sheetPr>
  <dimension ref="A1:AB34"/>
  <sheetViews>
    <sheetView zoomScale="115" zoomScaleNormal="115" workbookViewId="0"/>
  </sheetViews>
  <sheetFormatPr baseColWidth="10" defaultColWidth="8.83203125" defaultRowHeight="15"/>
  <cols>
    <col min="1" max="1" width="17" style="9" bestFit="1" customWidth="1"/>
    <col min="2" max="10" width="16.5" style="9" bestFit="1" customWidth="1"/>
    <col min="11" max="19" width="15.5" style="9" bestFit="1" customWidth="1"/>
    <col min="20" max="28" width="15.1640625" style="9" bestFit="1" customWidth="1"/>
    <col min="29" max="16384" width="8.83203125" style="9"/>
  </cols>
  <sheetData>
    <row r="1" spans="1:28">
      <c r="A1" s="10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114</v>
      </c>
      <c r="AB1" s="13" t="s">
        <v>115</v>
      </c>
    </row>
    <row r="2" spans="1:28">
      <c r="A2" s="10" t="s">
        <v>61</v>
      </c>
      <c r="B2" s="41">
        <v>1748.3642</v>
      </c>
      <c r="C2" s="41">
        <v>1705.09</v>
      </c>
      <c r="D2" s="41">
        <v>1662.8869</v>
      </c>
      <c r="E2" s="41">
        <v>1662.8869</v>
      </c>
      <c r="F2" s="41">
        <v>1662.8869</v>
      </c>
      <c r="G2" s="41">
        <v>1662.8869</v>
      </c>
      <c r="H2" s="41">
        <v>1662.8869</v>
      </c>
      <c r="I2" s="41">
        <v>1662.8869</v>
      </c>
      <c r="J2" s="41">
        <v>1662.8869</v>
      </c>
      <c r="K2" s="14">
        <v>69.934600000000003</v>
      </c>
      <c r="L2" s="14">
        <v>68.203599999999994</v>
      </c>
      <c r="M2" s="14">
        <v>66.515500000000003</v>
      </c>
      <c r="N2" s="14">
        <v>66.515500000000003</v>
      </c>
      <c r="O2" s="14">
        <v>66.515500000000003</v>
      </c>
      <c r="P2" s="14">
        <v>66.515500000000003</v>
      </c>
      <c r="Q2" s="14">
        <v>66.515500000000003</v>
      </c>
      <c r="R2" s="14">
        <v>66.515500000000003</v>
      </c>
      <c r="S2" s="14">
        <v>66.515500000000003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</row>
    <row r="3" spans="1:28">
      <c r="A3" s="10" t="s">
        <v>140</v>
      </c>
      <c r="B3" s="42">
        <v>2127.9578000000001</v>
      </c>
      <c r="C3" s="42">
        <v>1916.4799</v>
      </c>
      <c r="D3" s="42">
        <v>1726.0188000000001</v>
      </c>
      <c r="E3" s="42">
        <v>1554.4858999999999</v>
      </c>
      <c r="F3" s="42">
        <v>1400</v>
      </c>
      <c r="G3" s="42">
        <v>1260.867</v>
      </c>
      <c r="H3" s="42">
        <v>1135.5612000000001</v>
      </c>
      <c r="I3" s="42">
        <v>1135.5612000000001</v>
      </c>
      <c r="J3" s="42">
        <v>1135.5612000000001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0" t="s">
        <v>45</v>
      </c>
      <c r="B4" s="42">
        <v>871.38469999999995</v>
      </c>
      <c r="C4" s="42">
        <v>871.38469999999995</v>
      </c>
      <c r="D4" s="42">
        <v>871.38469999999995</v>
      </c>
      <c r="E4" s="42">
        <v>871.38469999999995</v>
      </c>
      <c r="F4" s="42">
        <v>871.38469999999995</v>
      </c>
      <c r="G4" s="42">
        <v>871.38469999999995</v>
      </c>
      <c r="H4" s="42">
        <v>871.38469999999995</v>
      </c>
      <c r="I4" s="42">
        <v>871.38469999999995</v>
      </c>
      <c r="J4" s="42">
        <v>871.38469999999995</v>
      </c>
      <c r="K4" s="14">
        <v>34.855400000000003</v>
      </c>
      <c r="L4" s="14">
        <v>34.855400000000003</v>
      </c>
      <c r="M4" s="14">
        <v>34.855400000000003</v>
      </c>
      <c r="N4" s="14">
        <v>34.855400000000003</v>
      </c>
      <c r="O4" s="14">
        <v>34.855400000000003</v>
      </c>
      <c r="P4" s="14">
        <v>34.855400000000003</v>
      </c>
      <c r="Q4" s="14">
        <v>34.855400000000003</v>
      </c>
      <c r="R4" s="14">
        <v>34.855400000000003</v>
      </c>
      <c r="S4" s="14">
        <v>34.855400000000003</v>
      </c>
      <c r="T4" s="14">
        <v>1.0146999999999999</v>
      </c>
      <c r="U4" s="14">
        <v>1.0146999999999999</v>
      </c>
      <c r="V4" s="14">
        <v>1.0146999999999999</v>
      </c>
      <c r="W4" s="14">
        <v>1.0146999999999999</v>
      </c>
      <c r="X4" s="14">
        <v>1.0146999999999999</v>
      </c>
      <c r="Y4" s="14">
        <v>1.0146999999999999</v>
      </c>
      <c r="Z4" s="14">
        <v>1.0146999999999999</v>
      </c>
      <c r="AA4" s="14">
        <v>1.0146999999999999</v>
      </c>
      <c r="AB4" s="14">
        <v>1.0146999999999999</v>
      </c>
    </row>
    <row r="5" spans="1:28">
      <c r="A5" s="10" t="s">
        <v>63</v>
      </c>
      <c r="B5" s="41">
        <v>1363.8997999999999</v>
      </c>
      <c r="C5" s="41">
        <v>1330.1415999999999</v>
      </c>
      <c r="D5" s="41">
        <v>1357.4661000000001</v>
      </c>
      <c r="E5" s="41">
        <v>1357.4661000000001</v>
      </c>
      <c r="F5" s="41">
        <v>1357.4661000000001</v>
      </c>
      <c r="G5" s="41">
        <v>1357.4661000000001</v>
      </c>
      <c r="H5" s="41">
        <v>1357.4661000000001</v>
      </c>
      <c r="I5" s="41">
        <v>1357.4661000000001</v>
      </c>
      <c r="J5" s="41">
        <v>1357.4661000000001</v>
      </c>
      <c r="K5" s="14">
        <v>81.834000000000003</v>
      </c>
      <c r="L5" s="14">
        <v>79.808499999999995</v>
      </c>
      <c r="M5" s="14">
        <v>81.447999999999993</v>
      </c>
      <c r="N5" s="14">
        <v>81.447999999999993</v>
      </c>
      <c r="O5" s="14">
        <v>81.447999999999993</v>
      </c>
      <c r="P5" s="14">
        <v>81.447999999999993</v>
      </c>
      <c r="Q5" s="14">
        <v>81.447999999999993</v>
      </c>
      <c r="R5" s="14">
        <v>81.447999999999993</v>
      </c>
      <c r="S5" s="14">
        <v>81.447999999999993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</row>
    <row r="6" spans="1:28">
      <c r="A6" s="10" t="s">
        <v>49</v>
      </c>
      <c r="B6" s="41">
        <v>883.2672</v>
      </c>
      <c r="C6" s="41">
        <v>883.2672</v>
      </c>
      <c r="D6" s="41">
        <v>883.2672</v>
      </c>
      <c r="E6" s="41">
        <v>883.2672</v>
      </c>
      <c r="F6" s="41">
        <v>883.2672</v>
      </c>
      <c r="G6" s="41">
        <v>883.2672</v>
      </c>
      <c r="H6" s="41">
        <v>883.2672</v>
      </c>
      <c r="I6" s="41">
        <v>883.2672</v>
      </c>
      <c r="J6" s="41">
        <v>883.2672</v>
      </c>
      <c r="K6" s="14">
        <v>31.3307</v>
      </c>
      <c r="L6" s="14">
        <v>31.3307</v>
      </c>
      <c r="M6" s="14">
        <v>31.3307</v>
      </c>
      <c r="N6" s="14">
        <v>31.3307</v>
      </c>
      <c r="O6" s="14">
        <v>31.3307</v>
      </c>
      <c r="P6" s="14">
        <v>31.3307</v>
      </c>
      <c r="Q6" s="14">
        <v>31.3307</v>
      </c>
      <c r="R6" s="14">
        <v>31.3307</v>
      </c>
      <c r="S6" s="14">
        <v>31.3307</v>
      </c>
      <c r="T6" s="14">
        <v>1.0007999999999999</v>
      </c>
      <c r="U6" s="14">
        <v>1.0007999999999999</v>
      </c>
      <c r="V6" s="14">
        <v>1.0007999999999999</v>
      </c>
      <c r="W6" s="14">
        <v>1.0007999999999999</v>
      </c>
      <c r="X6" s="14">
        <v>1.0007999999999999</v>
      </c>
      <c r="Y6" s="14">
        <v>1.0007999999999999</v>
      </c>
      <c r="Z6" s="14">
        <v>1.0007999999999999</v>
      </c>
      <c r="AA6" s="14">
        <v>1.0007999999999999</v>
      </c>
      <c r="AB6" s="14">
        <v>1.0007999999999999</v>
      </c>
    </row>
    <row r="7" spans="1:28">
      <c r="A7" s="10" t="s">
        <v>65</v>
      </c>
      <c r="B7" s="41">
        <v>1108.1686</v>
      </c>
      <c r="C7" s="41">
        <v>1080.74</v>
      </c>
      <c r="D7" s="41">
        <v>1102.9412</v>
      </c>
      <c r="E7" s="41">
        <v>1102.9412</v>
      </c>
      <c r="F7" s="41">
        <v>1102.9412</v>
      </c>
      <c r="G7" s="41">
        <v>1102.9412</v>
      </c>
      <c r="H7" s="41">
        <v>1102.9412</v>
      </c>
      <c r="I7" s="41">
        <v>1102.9412</v>
      </c>
      <c r="J7" s="41">
        <v>1102.9412</v>
      </c>
      <c r="K7" s="14">
        <v>66.490099999999998</v>
      </c>
      <c r="L7" s="14">
        <v>64.844399999999993</v>
      </c>
      <c r="M7" s="14">
        <v>66.176500000000004</v>
      </c>
      <c r="N7" s="14">
        <v>66.176500000000004</v>
      </c>
      <c r="O7" s="14">
        <v>66.176500000000004</v>
      </c>
      <c r="P7" s="14">
        <v>66.176500000000004</v>
      </c>
      <c r="Q7" s="14">
        <v>66.176500000000004</v>
      </c>
      <c r="R7" s="14">
        <v>66.176500000000004</v>
      </c>
      <c r="S7" s="14">
        <v>66.176500000000004</v>
      </c>
      <c r="T7" s="14">
        <v>2.5</v>
      </c>
      <c r="U7" s="14">
        <v>2.5</v>
      </c>
      <c r="V7" s="14">
        <v>2.5</v>
      </c>
      <c r="W7" s="14">
        <v>2.5</v>
      </c>
      <c r="X7" s="14">
        <v>2.5</v>
      </c>
      <c r="Y7" s="14">
        <v>2.5</v>
      </c>
      <c r="Z7" s="14">
        <v>2.5</v>
      </c>
      <c r="AA7" s="14">
        <v>2.5</v>
      </c>
      <c r="AB7" s="14">
        <v>2.5</v>
      </c>
    </row>
    <row r="8" spans="1:28">
      <c r="A8" s="10" t="s">
        <v>53</v>
      </c>
      <c r="B8" s="41">
        <v>802.84879999999998</v>
      </c>
      <c r="C8" s="41">
        <v>802.84879999999998</v>
      </c>
      <c r="D8" s="41">
        <v>802.84879999999998</v>
      </c>
      <c r="E8" s="41">
        <v>802.84879999999998</v>
      </c>
      <c r="F8" s="41">
        <v>802.84879999999998</v>
      </c>
      <c r="G8" s="41">
        <v>802.84879999999998</v>
      </c>
      <c r="H8" s="41">
        <v>802.84879999999998</v>
      </c>
      <c r="I8" s="41">
        <v>802.84879999999998</v>
      </c>
      <c r="J8" s="41">
        <v>802.84879999999998</v>
      </c>
      <c r="K8" s="14">
        <v>32.113999999999997</v>
      </c>
      <c r="L8" s="14">
        <v>32.113999999999997</v>
      </c>
      <c r="M8" s="14">
        <v>32.113999999999997</v>
      </c>
      <c r="N8" s="14">
        <v>32.113999999999997</v>
      </c>
      <c r="O8" s="14">
        <v>32.113999999999997</v>
      </c>
      <c r="P8" s="14">
        <v>32.113999999999997</v>
      </c>
      <c r="Q8" s="14">
        <v>32.113999999999997</v>
      </c>
      <c r="R8" s="14">
        <v>32.113999999999997</v>
      </c>
      <c r="S8" s="14">
        <v>32.113999999999997</v>
      </c>
      <c r="T8" s="14">
        <v>1.2010000000000001</v>
      </c>
      <c r="U8" s="14">
        <v>1.2010000000000001</v>
      </c>
      <c r="V8" s="14">
        <v>1.2010000000000001</v>
      </c>
      <c r="W8" s="14">
        <v>1.2010000000000001</v>
      </c>
      <c r="X8" s="14">
        <v>1.2010000000000001</v>
      </c>
      <c r="Y8" s="14">
        <v>1.2010000000000001</v>
      </c>
      <c r="Z8" s="14">
        <v>1.2010000000000001</v>
      </c>
      <c r="AA8" s="14">
        <v>1.2010000000000001</v>
      </c>
      <c r="AB8" s="14">
        <v>1.2010000000000001</v>
      </c>
    </row>
    <row r="9" spans="1:28">
      <c r="A9" s="15" t="s">
        <v>47</v>
      </c>
      <c r="B9" s="43">
        <v>1065.5737999999999</v>
      </c>
      <c r="C9" s="43">
        <v>1065.5737999999999</v>
      </c>
      <c r="D9" s="43">
        <v>1065.5737999999999</v>
      </c>
      <c r="E9" s="43">
        <v>1065.5737999999999</v>
      </c>
      <c r="F9" s="43">
        <v>1065.5737999999999</v>
      </c>
      <c r="G9" s="43">
        <v>1065.5737999999999</v>
      </c>
      <c r="H9" s="43">
        <v>1065.5737999999999</v>
      </c>
      <c r="I9" s="43">
        <v>1065.5737999999999</v>
      </c>
      <c r="J9" s="43">
        <v>1065.5737999999999</v>
      </c>
      <c r="K9" s="16">
        <v>42.622999999999998</v>
      </c>
      <c r="L9" s="16">
        <v>42.622999999999998</v>
      </c>
      <c r="M9" s="16">
        <v>42.622999999999998</v>
      </c>
      <c r="N9" s="16">
        <v>42.622999999999998</v>
      </c>
      <c r="O9" s="16">
        <v>42.622999999999998</v>
      </c>
      <c r="P9" s="16">
        <v>42.622999999999998</v>
      </c>
      <c r="Q9" s="16">
        <v>42.622999999999998</v>
      </c>
      <c r="R9" s="16">
        <v>42.622999999999998</v>
      </c>
      <c r="S9" s="16">
        <v>42.622999999999998</v>
      </c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</row>
    <row r="10" spans="1:28">
      <c r="A10" s="15" t="s">
        <v>51</v>
      </c>
      <c r="B10" s="43">
        <v>1994.9604999999999</v>
      </c>
      <c r="C10" s="43">
        <v>1945.5826999999999</v>
      </c>
      <c r="D10" s="43">
        <v>1897.4271000000001</v>
      </c>
      <c r="E10" s="43">
        <v>1850.4634000000001</v>
      </c>
      <c r="F10" s="43">
        <v>1804.6621</v>
      </c>
      <c r="G10" s="43">
        <v>1804.6621</v>
      </c>
      <c r="H10" s="43">
        <v>1804.6621</v>
      </c>
      <c r="I10" s="43">
        <v>1804.6621</v>
      </c>
      <c r="J10" s="43">
        <v>1804.6621</v>
      </c>
      <c r="K10" s="16">
        <v>199.49610000000001</v>
      </c>
      <c r="L10" s="16">
        <v>194.5583</v>
      </c>
      <c r="M10" s="16">
        <v>189.74270000000001</v>
      </c>
      <c r="N10" s="16">
        <v>185.0463</v>
      </c>
      <c r="O10" s="16">
        <v>180.46619999999999</v>
      </c>
      <c r="P10" s="16">
        <v>180.46619999999999</v>
      </c>
      <c r="Q10" s="16">
        <v>180.46619999999999</v>
      </c>
      <c r="R10" s="16">
        <v>180.46619999999999</v>
      </c>
      <c r="S10" s="16">
        <v>180.46619999999999</v>
      </c>
      <c r="T10" s="17">
        <v>4</v>
      </c>
      <c r="U10" s="17">
        <v>4</v>
      </c>
      <c r="V10" s="17">
        <v>4</v>
      </c>
      <c r="W10" s="17">
        <v>4</v>
      </c>
      <c r="X10" s="17">
        <v>4</v>
      </c>
      <c r="Y10" s="17">
        <v>4</v>
      </c>
      <c r="Z10" s="17">
        <v>4</v>
      </c>
      <c r="AA10" s="17">
        <v>4</v>
      </c>
      <c r="AB10" s="17">
        <v>4</v>
      </c>
    </row>
    <row r="11" spans="1:28">
      <c r="A11" s="15" t="s">
        <v>55</v>
      </c>
      <c r="B11" s="43">
        <v>754.28</v>
      </c>
      <c r="C11" s="43">
        <f>B11*0.55</f>
        <v>414.85400000000004</v>
      </c>
      <c r="D11" s="43">
        <f t="shared" ref="D11:E11" si="0">C11*0.9</f>
        <v>373.36860000000007</v>
      </c>
      <c r="E11" s="43">
        <f t="shared" si="0"/>
        <v>336.03174000000007</v>
      </c>
      <c r="F11" s="43">
        <f>E11*0.95</f>
        <v>319.23015300000003</v>
      </c>
      <c r="G11" s="43">
        <f>F11*0.95</f>
        <v>303.26864535000004</v>
      </c>
      <c r="H11" s="43">
        <f>G11*0.95</f>
        <v>288.10521308250003</v>
      </c>
      <c r="I11" s="43">
        <f>H11*0.95</f>
        <v>273.69995242837501</v>
      </c>
      <c r="J11" s="43">
        <f>I11*0.95</f>
        <v>260.01495480695627</v>
      </c>
      <c r="K11" s="16">
        <f>B11*0.03</f>
        <v>22.628399999999999</v>
      </c>
      <c r="L11" s="16">
        <f t="shared" ref="L11:S11" si="1">C11*0.03</f>
        <v>12.445620000000002</v>
      </c>
      <c r="M11" s="16">
        <f t="shared" si="1"/>
        <v>11.201058000000002</v>
      </c>
      <c r="N11" s="16">
        <f t="shared" si="1"/>
        <v>10.080952200000002</v>
      </c>
      <c r="O11" s="16">
        <f t="shared" si="1"/>
        <v>9.5769045899999998</v>
      </c>
      <c r="P11" s="16">
        <f t="shared" si="1"/>
        <v>9.0980593605000006</v>
      </c>
      <c r="Q11" s="16">
        <f t="shared" si="1"/>
        <v>8.6431563924750012</v>
      </c>
      <c r="R11" s="16">
        <f t="shared" si="1"/>
        <v>8.2109985728512509</v>
      </c>
      <c r="S11" s="16">
        <f t="shared" si="1"/>
        <v>7.8004486442086876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</row>
    <row r="12" spans="1:28">
      <c r="A12" s="15" t="s">
        <v>57</v>
      </c>
      <c r="B12" s="43">
        <v>1980</v>
      </c>
      <c r="C12" s="43">
        <f>B12*0.7</f>
        <v>1386</v>
      </c>
      <c r="D12" s="43">
        <f>C12*0.8</f>
        <v>1108.8</v>
      </c>
      <c r="E12" s="43">
        <f>D12*0.85</f>
        <v>942.4799999999999</v>
      </c>
      <c r="F12" s="43">
        <f>E12*0.9</f>
        <v>848.23199999999997</v>
      </c>
      <c r="G12" s="43">
        <f>F12*0.95</f>
        <v>805.82039999999995</v>
      </c>
      <c r="H12" s="43">
        <f>G12*0.95</f>
        <v>765.52937999999995</v>
      </c>
      <c r="I12" s="43">
        <f>H12*0.95</f>
        <v>727.25291099999993</v>
      </c>
      <c r="J12" s="43">
        <f>I12*0.95</f>
        <v>690.8902654499999</v>
      </c>
      <c r="K12" s="16">
        <f>B12*0.04</f>
        <v>79.2</v>
      </c>
      <c r="L12" s="16">
        <f t="shared" ref="L12:S12" si="2">C12*0.04</f>
        <v>55.44</v>
      </c>
      <c r="M12" s="16">
        <f t="shared" si="2"/>
        <v>44.351999999999997</v>
      </c>
      <c r="N12" s="16">
        <f t="shared" si="2"/>
        <v>37.699199999999998</v>
      </c>
      <c r="O12" s="16">
        <f t="shared" si="2"/>
        <v>33.929279999999999</v>
      </c>
      <c r="P12" s="16">
        <f t="shared" si="2"/>
        <v>32.232816</v>
      </c>
      <c r="Q12" s="16">
        <f t="shared" si="2"/>
        <v>30.6211752</v>
      </c>
      <c r="R12" s="16">
        <f t="shared" si="2"/>
        <v>29.090116439999999</v>
      </c>
      <c r="S12" s="16">
        <f t="shared" si="2"/>
        <v>27.635610617999998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</row>
    <row r="13" spans="1:28">
      <c r="A13" s="15" t="s">
        <v>59</v>
      </c>
      <c r="B13" s="43">
        <v>1094.83</v>
      </c>
      <c r="C13" s="43">
        <f>B13*0.8</f>
        <v>875.86400000000003</v>
      </c>
      <c r="D13" s="43">
        <f t="shared" ref="D13:F13" si="3">C13*0.9</f>
        <v>788.27760000000001</v>
      </c>
      <c r="E13" s="43">
        <f t="shared" si="3"/>
        <v>709.44983999999999</v>
      </c>
      <c r="F13" s="43">
        <f t="shared" si="3"/>
        <v>638.50485600000002</v>
      </c>
      <c r="G13" s="43">
        <f>F13*0.9</f>
        <v>574.65437040000006</v>
      </c>
      <c r="H13" s="43">
        <f>G13*0.95</f>
        <v>545.92165188000001</v>
      </c>
      <c r="I13" s="43">
        <f>H13*0.95</f>
        <v>518.62556928599997</v>
      </c>
      <c r="J13" s="43">
        <f>I13*0.95</f>
        <v>492.69429082169995</v>
      </c>
      <c r="K13" s="16">
        <f>B13*0.03</f>
        <v>32.844899999999996</v>
      </c>
      <c r="L13" s="16">
        <f t="shared" ref="L13:S13" si="4">C13*0.03</f>
        <v>26.275919999999999</v>
      </c>
      <c r="M13" s="16">
        <f t="shared" si="4"/>
        <v>23.648327999999999</v>
      </c>
      <c r="N13" s="16">
        <f t="shared" si="4"/>
        <v>21.283495199999997</v>
      </c>
      <c r="O13" s="16">
        <f t="shared" si="4"/>
        <v>19.15514568</v>
      </c>
      <c r="P13" s="16">
        <f t="shared" si="4"/>
        <v>17.239631112000001</v>
      </c>
      <c r="Q13" s="16">
        <f t="shared" si="4"/>
        <v>16.377649556400002</v>
      </c>
      <c r="R13" s="16">
        <f t="shared" si="4"/>
        <v>15.558767078579999</v>
      </c>
      <c r="S13" s="16">
        <f t="shared" si="4"/>
        <v>14.780828724650998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</row>
    <row r="14" spans="1:28">
      <c r="A14" s="18" t="s">
        <v>73</v>
      </c>
      <c r="B14" s="43">
        <v>500</v>
      </c>
      <c r="C14" s="43">
        <v>500</v>
      </c>
      <c r="D14" s="43">
        <v>500</v>
      </c>
      <c r="E14" s="43">
        <v>500</v>
      </c>
      <c r="F14" s="43">
        <v>500</v>
      </c>
      <c r="G14" s="43">
        <v>500</v>
      </c>
      <c r="H14" s="43">
        <v>500</v>
      </c>
      <c r="I14" s="43">
        <v>500</v>
      </c>
      <c r="J14" s="43">
        <v>500</v>
      </c>
      <c r="K14" s="16">
        <v>25.176400000000001</v>
      </c>
      <c r="L14" s="16">
        <v>25.176400000000001</v>
      </c>
      <c r="M14" s="16">
        <v>25.176400000000001</v>
      </c>
      <c r="N14" s="16">
        <v>25.176400000000001</v>
      </c>
      <c r="O14" s="16">
        <v>25.176400000000001</v>
      </c>
      <c r="P14" s="16">
        <v>25.176400000000001</v>
      </c>
      <c r="Q14" s="16">
        <v>25.176400000000001</v>
      </c>
      <c r="R14" s="16">
        <v>25.176400000000001</v>
      </c>
      <c r="S14" s="16">
        <v>25.176400000000001</v>
      </c>
      <c r="T14" s="17">
        <v>0.84560000000000002</v>
      </c>
      <c r="U14" s="17">
        <v>0.84560000000000002</v>
      </c>
      <c r="V14" s="17">
        <v>0.84560000000000002</v>
      </c>
      <c r="W14" s="17">
        <v>0.84560000000000002</v>
      </c>
      <c r="X14" s="17">
        <v>0.84560000000000002</v>
      </c>
      <c r="Y14" s="17">
        <v>0.84560000000000002</v>
      </c>
      <c r="Z14" s="17">
        <v>0.84560000000000002</v>
      </c>
      <c r="AA14" s="17">
        <v>0.84560000000000002</v>
      </c>
      <c r="AB14" s="17">
        <v>0.84560000000000002</v>
      </c>
    </row>
    <row r="15" spans="1:28">
      <c r="A15" s="18" t="s">
        <v>69</v>
      </c>
      <c r="B15" s="43">
        <v>673.46349999999995</v>
      </c>
      <c r="C15" s="43">
        <v>673.46349999999995</v>
      </c>
      <c r="D15" s="43">
        <v>673.46349999999995</v>
      </c>
      <c r="E15" s="43">
        <v>673.46349999999995</v>
      </c>
      <c r="F15" s="43">
        <v>673.46349999999995</v>
      </c>
      <c r="G15" s="43">
        <v>673.46349999999995</v>
      </c>
      <c r="H15" s="43">
        <v>673.46349999999995</v>
      </c>
      <c r="I15" s="43">
        <v>673.46349999999995</v>
      </c>
      <c r="J15" s="43">
        <v>673.46349999999995</v>
      </c>
      <c r="K15" s="16">
        <v>25.938500000000001</v>
      </c>
      <c r="L15" s="16">
        <v>25.938500000000001</v>
      </c>
      <c r="M15" s="16">
        <v>25.938500000000001</v>
      </c>
      <c r="N15" s="16">
        <v>25.938500000000001</v>
      </c>
      <c r="O15" s="16">
        <v>25.938500000000001</v>
      </c>
      <c r="P15" s="16">
        <v>25.938500000000001</v>
      </c>
      <c r="Q15" s="16">
        <v>25.938500000000001</v>
      </c>
      <c r="R15" s="16">
        <v>25.938500000000001</v>
      </c>
      <c r="S15" s="16">
        <v>25.938500000000001</v>
      </c>
      <c r="T15" s="17">
        <v>0.84560000000000002</v>
      </c>
      <c r="U15" s="17">
        <v>0.84560000000000002</v>
      </c>
      <c r="V15" s="17">
        <v>0.84560000000000002</v>
      </c>
      <c r="W15" s="17">
        <v>0.84560000000000002</v>
      </c>
      <c r="X15" s="17">
        <v>0.84560000000000002</v>
      </c>
      <c r="Y15" s="17">
        <v>0.84560000000000002</v>
      </c>
      <c r="Z15" s="17">
        <v>0.84560000000000002</v>
      </c>
      <c r="AA15" s="17">
        <v>0.84560000000000002</v>
      </c>
      <c r="AB15" s="17">
        <v>0.84560000000000002</v>
      </c>
    </row>
    <row r="16" spans="1:28">
      <c r="A16" s="18" t="s">
        <v>71</v>
      </c>
      <c r="B16" s="43">
        <v>1350</v>
      </c>
      <c r="C16" s="43">
        <v>1219.8626999999999</v>
      </c>
      <c r="D16" s="43">
        <v>1102.2704000000001</v>
      </c>
      <c r="E16" s="43">
        <v>996.01369999999997</v>
      </c>
      <c r="F16" s="43">
        <v>900</v>
      </c>
      <c r="G16" s="43">
        <v>813.24180000000001</v>
      </c>
      <c r="H16" s="43">
        <v>734.84690000000001</v>
      </c>
      <c r="I16" s="43">
        <v>734.84690000000001</v>
      </c>
      <c r="J16" s="43">
        <v>734.84690000000001</v>
      </c>
      <c r="K16" s="16">
        <v>55</v>
      </c>
      <c r="L16" s="16">
        <v>53.638690519832835</v>
      </c>
      <c r="M16" s="16">
        <v>52.311012537576076</v>
      </c>
      <c r="N16" s="16">
        <v>51.016320844636709</v>
      </c>
      <c r="O16" s="16">
        <v>51.016320844636709</v>
      </c>
      <c r="P16" s="16">
        <v>51.016320844636709</v>
      </c>
      <c r="Q16" s="16">
        <v>51.016320844636709</v>
      </c>
      <c r="R16" s="16">
        <v>51.016320844636709</v>
      </c>
      <c r="S16" s="16">
        <v>51.016320844636709</v>
      </c>
      <c r="T16" s="17">
        <v>6</v>
      </c>
      <c r="U16" s="17">
        <v>5.8514935112544908</v>
      </c>
      <c r="V16" s="17">
        <v>5.7066559131901178</v>
      </c>
      <c r="W16" s="17">
        <v>5.5654168194149145</v>
      </c>
      <c r="X16" s="17">
        <v>5.5654168194149145</v>
      </c>
      <c r="Y16" s="17">
        <v>5.5654168194149145</v>
      </c>
      <c r="Z16" s="17">
        <v>5.5654168194149145</v>
      </c>
      <c r="AA16" s="17">
        <v>5.5654168194149145</v>
      </c>
      <c r="AB16" s="17">
        <v>5.5654168194149145</v>
      </c>
    </row>
    <row r="17" spans="1:28">
      <c r="A17" s="18" t="s">
        <v>67</v>
      </c>
      <c r="B17" s="43">
        <v>559.47649999999999</v>
      </c>
      <c r="C17" s="43">
        <v>559.47649999999999</v>
      </c>
      <c r="D17" s="43">
        <v>559.47649999999999</v>
      </c>
      <c r="E17" s="43">
        <v>559.47649999999999</v>
      </c>
      <c r="F17" s="43">
        <v>559.47649999999999</v>
      </c>
      <c r="G17" s="43">
        <v>559.47649999999999</v>
      </c>
      <c r="H17" s="43">
        <v>559.47649999999999</v>
      </c>
      <c r="I17" s="43">
        <v>559.47649999999999</v>
      </c>
      <c r="J17" s="43">
        <v>559.47649999999999</v>
      </c>
      <c r="K17" s="16">
        <v>22.379100000000001</v>
      </c>
      <c r="L17" s="16">
        <v>22.379100000000001</v>
      </c>
      <c r="M17" s="16">
        <v>22.379100000000001</v>
      </c>
      <c r="N17" s="16">
        <v>22.379100000000001</v>
      </c>
      <c r="O17" s="16">
        <v>22.379100000000001</v>
      </c>
      <c r="P17" s="16">
        <v>22.379100000000001</v>
      </c>
      <c r="Q17" s="16">
        <v>22.379100000000001</v>
      </c>
      <c r="R17" s="16">
        <v>22.379100000000001</v>
      </c>
      <c r="S17" s="16">
        <v>22.379100000000001</v>
      </c>
      <c r="T17" s="17">
        <v>1.0007999999999999</v>
      </c>
      <c r="U17" s="17">
        <v>1.0007999999999999</v>
      </c>
      <c r="V17" s="17">
        <v>1.0007999999999999</v>
      </c>
      <c r="W17" s="17">
        <v>1.0007999999999999</v>
      </c>
      <c r="X17" s="17">
        <v>1.0007999999999999</v>
      </c>
      <c r="Y17" s="17">
        <v>1.0007999999999999</v>
      </c>
      <c r="Z17" s="17">
        <v>1.0007999999999999</v>
      </c>
      <c r="AA17" s="17">
        <v>1.0007999999999999</v>
      </c>
      <c r="AB17" s="17">
        <v>1.0007999999999999</v>
      </c>
    </row>
    <row r="18" spans="1:28">
      <c r="A18" s="15" t="s">
        <v>75</v>
      </c>
      <c r="B18" s="43">
        <v>1062.2635</v>
      </c>
      <c r="C18" s="43">
        <f>B18*0.978</f>
        <v>1038.893703</v>
      </c>
      <c r="D18" s="43">
        <f t="shared" ref="D18:J18" si="5">C18*0.978</f>
        <v>1016.0380415339999</v>
      </c>
      <c r="E18" s="43">
        <f t="shared" si="5"/>
        <v>993.68520462025197</v>
      </c>
      <c r="F18" s="43">
        <f t="shared" si="5"/>
        <v>971.82413011860638</v>
      </c>
      <c r="G18" s="43">
        <f t="shared" si="5"/>
        <v>950.44399925599703</v>
      </c>
      <c r="H18" s="43">
        <f t="shared" si="5"/>
        <v>929.5342312723651</v>
      </c>
      <c r="I18" s="43">
        <f t="shared" si="5"/>
        <v>909.0844781843731</v>
      </c>
      <c r="J18" s="43">
        <f t="shared" si="5"/>
        <v>889.08461966431685</v>
      </c>
      <c r="K18" s="16">
        <v>63.735799999999998</v>
      </c>
      <c r="L18" s="16">
        <v>63.529400000000003</v>
      </c>
      <c r="M18" s="16">
        <v>63.529400000000003</v>
      </c>
      <c r="N18" s="16">
        <v>63.529400000000003</v>
      </c>
      <c r="O18" s="16">
        <v>63.529400000000003</v>
      </c>
      <c r="P18" s="16">
        <v>63.529400000000003</v>
      </c>
      <c r="Q18" s="16">
        <v>63.529400000000003</v>
      </c>
      <c r="R18" s="16">
        <v>63.529400000000003</v>
      </c>
      <c r="S18" s="16">
        <v>63.529400000000003</v>
      </c>
      <c r="T18" s="17">
        <v>3</v>
      </c>
      <c r="U18" s="17">
        <v>3</v>
      </c>
      <c r="V18" s="17">
        <v>3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</row>
    <row r="19" spans="1:28">
      <c r="A19" s="18" t="s">
        <v>77</v>
      </c>
      <c r="B19" s="43">
        <v>920.62840000000006</v>
      </c>
      <c r="C19" s="43">
        <f>B19*0.99</f>
        <v>911.42211600000007</v>
      </c>
      <c r="D19" s="43">
        <f t="shared" ref="D19:J19" si="6">C19*0.99</f>
        <v>902.30789484000002</v>
      </c>
      <c r="E19" s="43">
        <f t="shared" si="6"/>
        <v>893.28481589160003</v>
      </c>
      <c r="F19" s="43">
        <f t="shared" si="6"/>
        <v>884.35196773268399</v>
      </c>
      <c r="G19" s="43">
        <f t="shared" si="6"/>
        <v>875.50844805535712</v>
      </c>
      <c r="H19" s="43">
        <f t="shared" si="6"/>
        <v>866.75336357480353</v>
      </c>
      <c r="I19" s="43">
        <f t="shared" si="6"/>
        <v>858.08582993905554</v>
      </c>
      <c r="J19" s="43">
        <f t="shared" si="6"/>
        <v>849.50497163966497</v>
      </c>
      <c r="K19" s="16">
        <v>55.237699999999997</v>
      </c>
      <c r="L19" s="16">
        <v>54.7059</v>
      </c>
      <c r="M19" s="16">
        <v>54.264699999999998</v>
      </c>
      <c r="N19" s="16">
        <v>53.823500000000003</v>
      </c>
      <c r="O19" s="16">
        <v>53.823500000000003</v>
      </c>
      <c r="P19" s="16">
        <v>53.823500000000003</v>
      </c>
      <c r="Q19" s="16">
        <v>53.823500000000003</v>
      </c>
      <c r="R19" s="16">
        <v>53.823500000000003</v>
      </c>
      <c r="S19" s="16">
        <v>53.823500000000003</v>
      </c>
      <c r="T19" s="17">
        <v>2.5</v>
      </c>
      <c r="U19" s="17">
        <v>2.5</v>
      </c>
      <c r="V19" s="17">
        <v>2.5</v>
      </c>
      <c r="W19" s="17">
        <v>2.5</v>
      </c>
      <c r="X19" s="17">
        <v>2.5</v>
      </c>
      <c r="Y19" s="17">
        <v>2.5</v>
      </c>
      <c r="Z19" s="17">
        <v>2.5</v>
      </c>
      <c r="AA19" s="17">
        <v>2.5</v>
      </c>
      <c r="AB19" s="17">
        <v>2.5</v>
      </c>
    </row>
    <row r="20" spans="1:28">
      <c r="A20" s="19" t="s">
        <v>116</v>
      </c>
      <c r="B20" s="43">
        <v>2127.9578000000001</v>
      </c>
      <c r="C20" s="43">
        <v>1916.4799</v>
      </c>
      <c r="D20" s="43">
        <v>1726.0188000000001</v>
      </c>
      <c r="E20" s="43">
        <v>1554.4858999999999</v>
      </c>
      <c r="F20" s="43">
        <v>1400</v>
      </c>
      <c r="G20" s="43">
        <v>1260.867</v>
      </c>
      <c r="H20" s="43">
        <v>1135.5612000000001</v>
      </c>
      <c r="I20" s="43">
        <v>1135.5612000000001</v>
      </c>
      <c r="J20" s="43">
        <v>1135.5612000000001</v>
      </c>
      <c r="K20" s="16">
        <v>145</v>
      </c>
      <c r="L20" s="16">
        <v>137.89357478552401</v>
      </c>
      <c r="M20" s="16">
        <v>131.13540409837449</v>
      </c>
      <c r="N20" s="16">
        <v>127.8896469188569</v>
      </c>
      <c r="O20" s="16">
        <v>124.72423869680985</v>
      </c>
      <c r="P20" s="16">
        <v>124.72423869680985</v>
      </c>
      <c r="Q20" s="16">
        <v>124.72423869680985</v>
      </c>
      <c r="R20" s="16">
        <v>124.72423869680985</v>
      </c>
      <c r="S20" s="16">
        <v>124.72423869680985</v>
      </c>
      <c r="T20" s="17">
        <v>16</v>
      </c>
      <c r="U20" s="17">
        <v>16</v>
      </c>
      <c r="V20" s="17">
        <v>16</v>
      </c>
      <c r="W20" s="17">
        <v>16</v>
      </c>
      <c r="X20" s="17">
        <v>16</v>
      </c>
      <c r="Y20" s="17">
        <v>16</v>
      </c>
      <c r="Z20" s="17">
        <v>16</v>
      </c>
      <c r="AA20" s="17">
        <v>16</v>
      </c>
      <c r="AB20" s="17">
        <v>16</v>
      </c>
    </row>
    <row r="21" spans="1:28">
      <c r="A21" s="15" t="s">
        <v>117</v>
      </c>
      <c r="B21" s="43">
        <f>B$18-B$14+911/7</f>
        <v>692.40635714285713</v>
      </c>
      <c r="C21" s="43">
        <f>B21*0.985^5</f>
        <v>642.01060068572383</v>
      </c>
      <c r="D21" s="43">
        <f t="shared" ref="D21:J21" si="7">C21*0.985^5</f>
        <v>595.28282364947074</v>
      </c>
      <c r="E21" s="43">
        <f t="shared" si="7"/>
        <v>551.95605766259541</v>
      </c>
      <c r="F21" s="43">
        <f t="shared" si="7"/>
        <v>511.78276524543094</v>
      </c>
      <c r="G21" s="43">
        <f t="shared" si="7"/>
        <v>474.53342556187624</v>
      </c>
      <c r="H21" s="43">
        <f t="shared" si="7"/>
        <v>439.9952231050616</v>
      </c>
      <c r="I21" s="43">
        <f t="shared" si="7"/>
        <v>407.97083182505804</v>
      </c>
      <c r="J21" s="43">
        <f t="shared" si="7"/>
        <v>378.27728775202496</v>
      </c>
      <c r="K21" s="16">
        <f t="shared" ref="K21:S25" si="8">B21*0.1</f>
        <v>69.240635714285716</v>
      </c>
      <c r="L21" s="16">
        <f t="shared" si="8"/>
        <v>64.201060068572389</v>
      </c>
      <c r="M21" s="16">
        <f t="shared" si="8"/>
        <v>59.528282364947074</v>
      </c>
      <c r="N21" s="16">
        <f t="shared" si="8"/>
        <v>55.195605766259547</v>
      </c>
      <c r="O21" s="16">
        <f t="shared" si="8"/>
        <v>51.178276524543094</v>
      </c>
      <c r="P21" s="16">
        <f t="shared" si="8"/>
        <v>47.453342556187629</v>
      </c>
      <c r="Q21" s="16">
        <f t="shared" si="8"/>
        <v>43.999522310506165</v>
      </c>
      <c r="R21" s="16">
        <f t="shared" si="8"/>
        <v>40.797083182505808</v>
      </c>
      <c r="S21" s="16">
        <f t="shared" si="8"/>
        <v>37.827728775202495</v>
      </c>
      <c r="T21" s="17">
        <v>10</v>
      </c>
      <c r="U21" s="17">
        <v>10</v>
      </c>
      <c r="V21" s="17">
        <v>10</v>
      </c>
      <c r="W21" s="17">
        <v>10</v>
      </c>
      <c r="X21" s="17">
        <v>10</v>
      </c>
      <c r="Y21" s="17">
        <v>10</v>
      </c>
      <c r="Z21" s="17">
        <v>10</v>
      </c>
      <c r="AA21" s="17">
        <v>10</v>
      </c>
      <c r="AB21" s="17">
        <v>10</v>
      </c>
    </row>
    <row r="22" spans="1:28">
      <c r="A22" s="15" t="s">
        <v>82</v>
      </c>
      <c r="B22" s="43">
        <f>B$18-B$14+(41.791*40+157.79)/7</f>
        <v>823.61064285714292</v>
      </c>
      <c r="C22" s="43">
        <f t="shared" ref="C22:J25" si="9">B22*0.985^5</f>
        <v>763.66537958110405</v>
      </c>
      <c r="D22" s="43">
        <f t="shared" si="9"/>
        <v>708.0831422329087</v>
      </c>
      <c r="E22" s="43">
        <f t="shared" si="9"/>
        <v>656.54637452525901</v>
      </c>
      <c r="F22" s="43">
        <f t="shared" si="9"/>
        <v>608.76063302814237</v>
      </c>
      <c r="G22" s="43">
        <f t="shared" si="9"/>
        <v>564.45290493423795</v>
      </c>
      <c r="H22" s="43">
        <f t="shared" si="9"/>
        <v>523.37004826324073</v>
      </c>
      <c r="I22" s="43">
        <f t="shared" si="9"/>
        <v>485.27734559357043</v>
      </c>
      <c r="J22" s="43">
        <f t="shared" si="9"/>
        <v>449.95716305854501</v>
      </c>
      <c r="K22" s="16">
        <f t="shared" si="8"/>
        <v>82.361064285714292</v>
      </c>
      <c r="L22" s="16">
        <f t="shared" si="8"/>
        <v>76.366537958110413</v>
      </c>
      <c r="M22" s="16">
        <f t="shared" si="8"/>
        <v>70.808314223290878</v>
      </c>
      <c r="N22" s="16">
        <f t="shared" si="8"/>
        <v>65.654637452525904</v>
      </c>
      <c r="O22" s="16">
        <f t="shared" si="8"/>
        <v>60.876063302814238</v>
      </c>
      <c r="P22" s="16">
        <f t="shared" si="8"/>
        <v>56.445290493423798</v>
      </c>
      <c r="Q22" s="16">
        <f t="shared" si="8"/>
        <v>52.337004826324076</v>
      </c>
      <c r="R22" s="16">
        <f t="shared" si="8"/>
        <v>48.527734559357043</v>
      </c>
      <c r="S22" s="16">
        <f t="shared" si="8"/>
        <v>44.995716305854501</v>
      </c>
      <c r="T22" s="17">
        <v>10</v>
      </c>
      <c r="U22" s="17">
        <v>10</v>
      </c>
      <c r="V22" s="17">
        <v>10</v>
      </c>
      <c r="W22" s="17">
        <v>10</v>
      </c>
      <c r="X22" s="17">
        <v>10</v>
      </c>
      <c r="Y22" s="17">
        <v>10</v>
      </c>
      <c r="Z22" s="17">
        <v>10</v>
      </c>
      <c r="AA22" s="17">
        <v>10</v>
      </c>
      <c r="AB22" s="17">
        <v>10</v>
      </c>
    </row>
    <row r="23" spans="1:28">
      <c r="A23" s="15" t="s">
        <v>118</v>
      </c>
      <c r="B23" s="43">
        <f>B$18-B$14+(41.791*60+157.79)/7</f>
        <v>943.01350000000002</v>
      </c>
      <c r="C23" s="43">
        <f t="shared" si="9"/>
        <v>874.37767915356631</v>
      </c>
      <c r="D23" s="43">
        <f t="shared" si="9"/>
        <v>810.73741341134246</v>
      </c>
      <c r="E23" s="43">
        <f t="shared" si="9"/>
        <v>751.72910880021868</v>
      </c>
      <c r="F23" s="43">
        <f t="shared" si="9"/>
        <v>697.01563498816711</v>
      </c>
      <c r="G23" s="43">
        <f t="shared" si="9"/>
        <v>646.28439916788352</v>
      </c>
      <c r="H23" s="43">
        <f t="shared" si="9"/>
        <v>599.24556012991445</v>
      </c>
      <c r="I23" s="43">
        <f t="shared" si="9"/>
        <v>555.63037232178908</v>
      </c>
      <c r="J23" s="43">
        <f t="shared" si="9"/>
        <v>515.18965043231924</v>
      </c>
      <c r="K23" s="16">
        <f t="shared" si="8"/>
        <v>94.301350000000014</v>
      </c>
      <c r="L23" s="16">
        <f t="shared" si="8"/>
        <v>87.437767915356631</v>
      </c>
      <c r="M23" s="16">
        <f t="shared" si="8"/>
        <v>81.073741341134252</v>
      </c>
      <c r="N23" s="16">
        <f t="shared" si="8"/>
        <v>75.172910880021874</v>
      </c>
      <c r="O23" s="16">
        <f t="shared" si="8"/>
        <v>69.701563498816711</v>
      </c>
      <c r="P23" s="16">
        <f t="shared" si="8"/>
        <v>64.628439916788352</v>
      </c>
      <c r="Q23" s="16">
        <f t="shared" si="8"/>
        <v>59.924556012991445</v>
      </c>
      <c r="R23" s="16">
        <f t="shared" si="8"/>
        <v>55.563037232178914</v>
      </c>
      <c r="S23" s="16">
        <f t="shared" si="8"/>
        <v>51.51896504323193</v>
      </c>
      <c r="T23" s="17">
        <v>10</v>
      </c>
      <c r="U23" s="17">
        <v>10</v>
      </c>
      <c r="V23" s="17">
        <v>10</v>
      </c>
      <c r="W23" s="17">
        <v>10</v>
      </c>
      <c r="X23" s="17">
        <v>10</v>
      </c>
      <c r="Y23" s="17">
        <v>10</v>
      </c>
      <c r="Z23" s="17">
        <v>10</v>
      </c>
      <c r="AA23" s="17">
        <v>10</v>
      </c>
      <c r="AB23" s="17">
        <v>10</v>
      </c>
    </row>
    <row r="24" spans="1:28">
      <c r="A24" s="15" t="s">
        <v>85</v>
      </c>
      <c r="B24" s="43">
        <f>B$18-B$14+(41.791*80+157.79)/7</f>
        <v>1062.4163571428571</v>
      </c>
      <c r="C24" s="43">
        <f t="shared" si="9"/>
        <v>985.08997872602868</v>
      </c>
      <c r="D24" s="43">
        <f t="shared" si="9"/>
        <v>913.39168458977633</v>
      </c>
      <c r="E24" s="43">
        <f t="shared" si="9"/>
        <v>846.91184307517858</v>
      </c>
      <c r="F24" s="43">
        <f t="shared" si="9"/>
        <v>785.27063694819219</v>
      </c>
      <c r="G24" s="43">
        <f t="shared" si="9"/>
        <v>728.11589340152932</v>
      </c>
      <c r="H24" s="43">
        <f t="shared" si="9"/>
        <v>675.12107199658828</v>
      </c>
      <c r="I24" s="43">
        <f t="shared" si="9"/>
        <v>625.98339905000796</v>
      </c>
      <c r="J24" s="43">
        <f t="shared" si="9"/>
        <v>580.4221378060937</v>
      </c>
      <c r="K24" s="16">
        <f t="shared" si="8"/>
        <v>106.24163571428572</v>
      </c>
      <c r="L24" s="16">
        <f t="shared" si="8"/>
        <v>98.508997872602876</v>
      </c>
      <c r="M24" s="16">
        <f t="shared" si="8"/>
        <v>91.339168458977639</v>
      </c>
      <c r="N24" s="16">
        <f t="shared" si="8"/>
        <v>84.691184307517858</v>
      </c>
      <c r="O24" s="16">
        <f t="shared" si="8"/>
        <v>78.527063694819219</v>
      </c>
      <c r="P24" s="16">
        <f t="shared" si="8"/>
        <v>72.811589340152935</v>
      </c>
      <c r="Q24" s="16">
        <f t="shared" si="8"/>
        <v>67.512107199658828</v>
      </c>
      <c r="R24" s="16">
        <f t="shared" si="8"/>
        <v>62.598339905000799</v>
      </c>
      <c r="S24" s="16">
        <f t="shared" si="8"/>
        <v>58.042213780609373</v>
      </c>
      <c r="T24" s="17">
        <v>10</v>
      </c>
      <c r="U24" s="17">
        <v>10</v>
      </c>
      <c r="V24" s="17">
        <v>10</v>
      </c>
      <c r="W24" s="17">
        <v>10</v>
      </c>
      <c r="X24" s="17">
        <v>10</v>
      </c>
      <c r="Y24" s="17">
        <v>10</v>
      </c>
      <c r="Z24" s="17">
        <v>10</v>
      </c>
      <c r="AA24" s="17">
        <v>10</v>
      </c>
      <c r="AB24" s="17">
        <v>10</v>
      </c>
    </row>
    <row r="25" spans="1:28">
      <c r="A25" s="15" t="s">
        <v>119</v>
      </c>
      <c r="B25" s="43">
        <f>B$18-B$14+(41.791*100+157.79)/7</f>
        <v>1181.8192142857142</v>
      </c>
      <c r="C25" s="43">
        <f t="shared" si="9"/>
        <v>1095.802278298491</v>
      </c>
      <c r="D25" s="43">
        <f t="shared" si="9"/>
        <v>1016.0459557682101</v>
      </c>
      <c r="E25" s="43">
        <f t="shared" si="9"/>
        <v>942.09457735013837</v>
      </c>
      <c r="F25" s="43">
        <f t="shared" si="9"/>
        <v>873.52563890821705</v>
      </c>
      <c r="G25" s="43">
        <f t="shared" si="9"/>
        <v>809.94738763517489</v>
      </c>
      <c r="H25" s="43">
        <f t="shared" si="9"/>
        <v>750.996583863262</v>
      </c>
      <c r="I25" s="43">
        <f t="shared" si="9"/>
        <v>696.33642577822661</v>
      </c>
      <c r="J25" s="43">
        <f t="shared" si="9"/>
        <v>645.65462517986794</v>
      </c>
      <c r="K25" s="16">
        <f t="shared" si="8"/>
        <v>118.18192142857143</v>
      </c>
      <c r="L25" s="16">
        <f t="shared" si="8"/>
        <v>109.58022782984911</v>
      </c>
      <c r="M25" s="16">
        <f t="shared" si="8"/>
        <v>101.60459557682101</v>
      </c>
      <c r="N25" s="16">
        <f t="shared" si="8"/>
        <v>94.209457735013842</v>
      </c>
      <c r="O25" s="16">
        <f t="shared" si="8"/>
        <v>87.352563890821713</v>
      </c>
      <c r="P25" s="16">
        <f t="shared" si="8"/>
        <v>80.994738763517489</v>
      </c>
      <c r="Q25" s="16">
        <f t="shared" si="8"/>
        <v>75.099658386326198</v>
      </c>
      <c r="R25" s="16">
        <f t="shared" si="8"/>
        <v>69.63364257782267</v>
      </c>
      <c r="S25" s="16">
        <f t="shared" si="8"/>
        <v>64.565462517986802</v>
      </c>
      <c r="T25" s="17">
        <v>10</v>
      </c>
      <c r="U25" s="17">
        <v>10</v>
      </c>
      <c r="V25" s="17">
        <v>10</v>
      </c>
      <c r="W25" s="17">
        <v>10</v>
      </c>
      <c r="X25" s="17">
        <v>10</v>
      </c>
      <c r="Y25" s="17">
        <v>10</v>
      </c>
      <c r="Z25" s="17">
        <v>10</v>
      </c>
      <c r="AA25" s="17">
        <v>10</v>
      </c>
      <c r="AB25" s="17">
        <v>10</v>
      </c>
    </row>
    <row r="26" spans="1:28">
      <c r="A26" s="34" t="s">
        <v>145</v>
      </c>
      <c r="B26" s="35">
        <v>499.36759999999998</v>
      </c>
      <c r="C26" s="35">
        <v>499.36759999999998</v>
      </c>
      <c r="D26" s="35">
        <v>499.36759999999998</v>
      </c>
      <c r="E26" s="35">
        <v>499.36759999999998</v>
      </c>
      <c r="F26" s="35">
        <v>499.36759999999998</v>
      </c>
      <c r="G26" s="35">
        <v>499.36759999999998</v>
      </c>
      <c r="H26" s="35">
        <v>499.36759999999998</v>
      </c>
      <c r="I26" s="35">
        <v>499.36759999999998</v>
      </c>
      <c r="J26" s="35">
        <v>499.36759999999998</v>
      </c>
    </row>
    <row r="27" spans="1:28">
      <c r="A27" s="34" t="s">
        <v>146</v>
      </c>
      <c r="B27" s="35">
        <v>798.98820000000001</v>
      </c>
      <c r="C27" s="35">
        <v>798.98820000000001</v>
      </c>
      <c r="D27" s="35">
        <v>798.98820000000001</v>
      </c>
      <c r="E27" s="35">
        <v>798.98820000000001</v>
      </c>
      <c r="F27" s="35">
        <v>798.98820000000001</v>
      </c>
      <c r="G27" s="35">
        <v>798.98820000000001</v>
      </c>
      <c r="H27" s="35">
        <v>798.98820000000001</v>
      </c>
      <c r="I27" s="35">
        <v>798.98820000000001</v>
      </c>
      <c r="J27" s="35">
        <v>798.98820000000001</v>
      </c>
    </row>
    <row r="28" spans="1:28">
      <c r="A28" s="34" t="s">
        <v>147</v>
      </c>
      <c r="B28" s="35">
        <v>499.36759999999998</v>
      </c>
      <c r="C28" s="35">
        <v>499.36759999999998</v>
      </c>
      <c r="D28" s="35">
        <v>499.36759999999998</v>
      </c>
      <c r="E28" s="35">
        <v>499.36759999999998</v>
      </c>
      <c r="F28" s="35">
        <v>499.36759999999998</v>
      </c>
      <c r="G28" s="35">
        <v>499.36759999999998</v>
      </c>
      <c r="H28" s="35">
        <v>499.36759999999998</v>
      </c>
      <c r="I28" s="35">
        <v>499.36759999999998</v>
      </c>
      <c r="J28" s="35">
        <v>499.36759999999998</v>
      </c>
    </row>
    <row r="29" spans="1:28">
      <c r="A29" s="34" t="s">
        <v>148</v>
      </c>
      <c r="B29" s="35">
        <v>798.98820000000001</v>
      </c>
      <c r="C29" s="35">
        <v>798.98820000000001</v>
      </c>
      <c r="D29" s="35">
        <v>798.98820000000001</v>
      </c>
      <c r="E29" s="35">
        <v>798.98820000000001</v>
      </c>
      <c r="F29" s="35">
        <v>798.98820000000001</v>
      </c>
      <c r="G29" s="35">
        <v>798.98820000000001</v>
      </c>
      <c r="H29" s="35">
        <v>798.98820000000001</v>
      </c>
      <c r="I29" s="35">
        <v>798.98820000000001</v>
      </c>
      <c r="J29" s="35">
        <v>798.98820000000001</v>
      </c>
    </row>
    <row r="30" spans="1:28">
      <c r="A30" s="34" t="s">
        <v>149</v>
      </c>
      <c r="B30" s="35">
        <v>461.2235</v>
      </c>
      <c r="C30" s="35">
        <v>461.2235</v>
      </c>
      <c r="D30" s="35">
        <v>461.2235</v>
      </c>
      <c r="E30" s="35">
        <v>461.2235</v>
      </c>
      <c r="F30" s="35">
        <v>461.2235</v>
      </c>
      <c r="G30" s="35">
        <v>461.2235</v>
      </c>
      <c r="H30" s="35">
        <v>461.2235</v>
      </c>
      <c r="I30" s="35">
        <v>461.2235</v>
      </c>
      <c r="J30" s="35">
        <v>461.2235</v>
      </c>
    </row>
    <row r="31" spans="1:28">
      <c r="A31" s="34" t="s">
        <v>150</v>
      </c>
      <c r="B31" s="35">
        <v>691.83519999999999</v>
      </c>
      <c r="C31" s="35">
        <v>691.83519999999999</v>
      </c>
      <c r="D31" s="35">
        <v>691.83519999999999</v>
      </c>
      <c r="E31" s="35">
        <v>691.83519999999999</v>
      </c>
      <c r="F31" s="35">
        <v>691.83519999999999</v>
      </c>
      <c r="G31" s="35">
        <v>691.83519999999999</v>
      </c>
      <c r="H31" s="35">
        <v>691.83519999999999</v>
      </c>
      <c r="I31" s="35">
        <v>691.83519999999999</v>
      </c>
      <c r="J31" s="35">
        <v>691.83519999999999</v>
      </c>
    </row>
    <row r="32" spans="1:28">
      <c r="A32" s="34" t="s">
        <v>151</v>
      </c>
      <c r="B32" s="35">
        <v>570.70590000000004</v>
      </c>
      <c r="C32" s="35">
        <v>570.70590000000004</v>
      </c>
      <c r="D32" s="35">
        <v>570.70590000000004</v>
      </c>
      <c r="E32" s="35">
        <v>570.70590000000004</v>
      </c>
      <c r="F32" s="35">
        <v>570.70590000000004</v>
      </c>
      <c r="G32" s="35">
        <v>570.70590000000004</v>
      </c>
      <c r="H32" s="35">
        <v>570.70590000000004</v>
      </c>
      <c r="I32" s="35">
        <v>570.70590000000004</v>
      </c>
      <c r="J32" s="35">
        <v>570.70590000000004</v>
      </c>
    </row>
    <row r="33" spans="1:10">
      <c r="A33" s="34" t="s">
        <v>152</v>
      </c>
      <c r="B33" s="35">
        <v>1426.7646999999999</v>
      </c>
      <c r="C33" s="35">
        <v>1426.7646999999999</v>
      </c>
      <c r="D33" s="35">
        <v>1426.7646999999999</v>
      </c>
      <c r="E33" s="35">
        <v>1426.7646999999999</v>
      </c>
      <c r="F33" s="35">
        <v>1426.7646999999999</v>
      </c>
      <c r="G33" s="35">
        <v>1426.7646999999999</v>
      </c>
      <c r="H33" s="35">
        <v>1426.7646999999999</v>
      </c>
      <c r="I33" s="35">
        <v>1426.7646999999999</v>
      </c>
      <c r="J33" s="35">
        <v>1426.7646999999999</v>
      </c>
    </row>
    <row r="34" spans="1:10">
      <c r="A34" s="34" t="s">
        <v>153</v>
      </c>
      <c r="B34" s="35">
        <f t="shared" ref="B34:J34" si="10">B27/B26*B32</f>
        <v>913.12948571429149</v>
      </c>
      <c r="C34" s="35">
        <f t="shared" si="10"/>
        <v>913.12948571429149</v>
      </c>
      <c r="D34" s="35">
        <f t="shared" si="10"/>
        <v>913.12948571429149</v>
      </c>
      <c r="E34" s="35">
        <f t="shared" si="10"/>
        <v>913.12948571429149</v>
      </c>
      <c r="F34" s="35">
        <f t="shared" si="10"/>
        <v>913.12948571429149</v>
      </c>
      <c r="G34" s="35">
        <f t="shared" si="10"/>
        <v>913.12948571429149</v>
      </c>
      <c r="H34" s="35">
        <f t="shared" si="10"/>
        <v>913.12948571429149</v>
      </c>
      <c r="I34" s="35">
        <f t="shared" si="10"/>
        <v>913.12948571429149</v>
      </c>
      <c r="J34" s="35">
        <f t="shared" si="10"/>
        <v>913.12948571429149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586-AD1A-40C9-87EF-CB3B3574DB9A}">
  <sheetPr>
    <tabColor rgb="FF92D050"/>
  </sheetPr>
  <dimension ref="A1:R32"/>
  <sheetViews>
    <sheetView workbookViewId="0">
      <selection activeCell="D33" sqref="D33"/>
    </sheetView>
  </sheetViews>
  <sheetFormatPr baseColWidth="10" defaultColWidth="8.83203125" defaultRowHeight="15"/>
  <cols>
    <col min="1" max="16384" width="8.83203125" style="9"/>
  </cols>
  <sheetData>
    <row r="1" spans="1:18">
      <c r="A1" s="20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11</v>
      </c>
      <c r="G1" s="21" t="s">
        <v>8</v>
      </c>
      <c r="H1" s="21" t="s">
        <v>3</v>
      </c>
      <c r="I1" s="21" t="s">
        <v>124</v>
      </c>
      <c r="J1" s="21" t="s">
        <v>125</v>
      </c>
      <c r="K1" s="21" t="s">
        <v>126</v>
      </c>
      <c r="L1" s="21" t="s">
        <v>127</v>
      </c>
      <c r="O1" s="9" t="s">
        <v>128</v>
      </c>
    </row>
    <row r="2" spans="1:18">
      <c r="A2" s="21" t="s">
        <v>129</v>
      </c>
      <c r="B2" s="22">
        <v>5.0618249999999998</v>
      </c>
      <c r="C2" s="22">
        <v>15.295935601749528</v>
      </c>
      <c r="D2" s="22">
        <v>10.21105081293997</v>
      </c>
      <c r="E2" s="22">
        <v>1.8176000000000001</v>
      </c>
      <c r="F2" s="22">
        <f>G2+0.02</f>
        <v>5.572298496211074</v>
      </c>
      <c r="G2" s="22">
        <v>5.5522984962110744</v>
      </c>
      <c r="H2" s="22">
        <v>0.5</v>
      </c>
      <c r="I2" s="22">
        <v>0.1</v>
      </c>
      <c r="J2" s="22">
        <v>0.1</v>
      </c>
      <c r="K2" s="22">
        <f>B2</f>
        <v>5.0618249999999998</v>
      </c>
      <c r="L2" s="22">
        <v>10.21105081293997</v>
      </c>
      <c r="O2" s="9">
        <v>650.41</v>
      </c>
      <c r="P2" s="9" t="s">
        <v>130</v>
      </c>
      <c r="Q2" s="9">
        <f>O2/7/(0.571*29307.6*0.001)</f>
        <v>5.5522984962110744</v>
      </c>
      <c r="R2" s="9" t="s">
        <v>131</v>
      </c>
    </row>
    <row r="3" spans="1:18">
      <c r="A3" s="23" t="s">
        <v>13</v>
      </c>
      <c r="B3" s="22">
        <v>5.4640000000000004</v>
      </c>
      <c r="C3" s="22">
        <v>15.226990624793798</v>
      </c>
      <c r="D3" s="22">
        <v>10.21105081293997</v>
      </c>
      <c r="E3" s="22">
        <v>1.8176000000000001</v>
      </c>
      <c r="F3" s="22">
        <f t="shared" ref="F3:F31" si="0">G3+0.02</f>
        <v>5.572298496211074</v>
      </c>
      <c r="G3" s="22">
        <v>5.5522984962110744</v>
      </c>
      <c r="H3" s="22">
        <v>0.5</v>
      </c>
      <c r="I3" s="22">
        <v>0.1</v>
      </c>
      <c r="J3" s="22">
        <v>0.1</v>
      </c>
      <c r="K3" s="22">
        <f t="shared" ref="K3:K31" si="1">B3</f>
        <v>5.4640000000000004</v>
      </c>
      <c r="L3" s="22">
        <v>10.21105081293997</v>
      </c>
      <c r="O3" s="9">
        <v>650.41</v>
      </c>
      <c r="Q3" s="9">
        <f t="shared" ref="Q3:Q31" si="2">O3/7/(0.571*29307.6*0.001)</f>
        <v>5.5522984962110744</v>
      </c>
    </row>
    <row r="4" spans="1:18">
      <c r="A4" s="23" t="s">
        <v>14</v>
      </c>
      <c r="B4" s="22">
        <v>5.26</v>
      </c>
      <c r="C4" s="22">
        <v>15.226990624793798</v>
      </c>
      <c r="D4" s="22">
        <v>10.134275994797564</v>
      </c>
      <c r="E4" s="22">
        <v>1.8176000000000001</v>
      </c>
      <c r="F4" s="22">
        <f t="shared" si="0"/>
        <v>5.0090527669326086</v>
      </c>
      <c r="G4" s="22">
        <v>4.989052766932609</v>
      </c>
      <c r="H4" s="22">
        <v>0.5</v>
      </c>
      <c r="I4" s="22">
        <v>0.1</v>
      </c>
      <c r="J4" s="22">
        <v>0.1</v>
      </c>
      <c r="K4" s="22">
        <f t="shared" si="1"/>
        <v>5.26</v>
      </c>
      <c r="L4" s="22">
        <v>10.134275994797564</v>
      </c>
      <c r="O4" s="9">
        <v>584.42999999999995</v>
      </c>
      <c r="Q4" s="9">
        <f t="shared" si="2"/>
        <v>4.989052766932609</v>
      </c>
    </row>
    <row r="5" spans="1:18">
      <c r="A5" s="23" t="s">
        <v>15</v>
      </c>
      <c r="B5" s="22">
        <v>3.8079999999999998</v>
      </c>
      <c r="C5" s="22">
        <v>15.364880578705256</v>
      </c>
      <c r="D5" s="22">
        <v>9.8655641312991449</v>
      </c>
      <c r="E5" s="22">
        <v>1.8176000000000001</v>
      </c>
      <c r="F5" s="22">
        <f t="shared" si="0"/>
        <v>4.9658575048812441</v>
      </c>
      <c r="G5" s="22">
        <v>4.9458575048812445</v>
      </c>
      <c r="H5" s="22">
        <v>0.5</v>
      </c>
      <c r="I5" s="22">
        <v>0.1</v>
      </c>
      <c r="J5" s="22">
        <v>0.1</v>
      </c>
      <c r="K5" s="22">
        <f t="shared" si="1"/>
        <v>3.8079999999999998</v>
      </c>
      <c r="L5" s="22">
        <v>9.8655641312991449</v>
      </c>
      <c r="O5" s="9">
        <v>579.37</v>
      </c>
      <c r="Q5" s="9">
        <f t="shared" si="2"/>
        <v>4.9458575048812445</v>
      </c>
    </row>
    <row r="6" spans="1:18">
      <c r="A6" s="23" t="s">
        <v>16</v>
      </c>
      <c r="B6" s="22">
        <v>3.25</v>
      </c>
      <c r="C6" s="22">
        <v>15.236839907216048</v>
      </c>
      <c r="D6" s="22">
        <v>7.6774818142405783</v>
      </c>
      <c r="E6" s="22">
        <v>1.8176000000000001</v>
      </c>
      <c r="F6" s="22">
        <f t="shared" si="0"/>
        <v>4.9025158360233148</v>
      </c>
      <c r="G6" s="22">
        <v>4.8825158360233152</v>
      </c>
      <c r="H6" s="22">
        <v>0.5</v>
      </c>
      <c r="I6" s="22">
        <v>0.1</v>
      </c>
      <c r="J6" s="22">
        <v>0.1</v>
      </c>
      <c r="K6" s="22">
        <f t="shared" si="1"/>
        <v>3.25</v>
      </c>
      <c r="L6" s="22">
        <v>7.6774818142405783</v>
      </c>
      <c r="O6" s="9">
        <v>571.95000000000005</v>
      </c>
      <c r="Q6" s="9">
        <f t="shared" si="2"/>
        <v>4.8825158360233152</v>
      </c>
    </row>
    <row r="7" spans="1:18">
      <c r="A7" s="23" t="s">
        <v>17</v>
      </c>
      <c r="B7" s="22">
        <v>6.2</v>
      </c>
      <c r="C7" s="22">
        <v>15.226990624793798</v>
      </c>
      <c r="D7" s="22">
        <v>10.134275994797564</v>
      </c>
      <c r="E7" s="22">
        <v>1.8176000000000001</v>
      </c>
      <c r="F7" s="22">
        <f t="shared" si="0"/>
        <v>5.0863091150679542</v>
      </c>
      <c r="G7" s="22">
        <v>5.0663091150679547</v>
      </c>
      <c r="H7" s="22">
        <v>0.5</v>
      </c>
      <c r="I7" s="22">
        <v>0.1</v>
      </c>
      <c r="J7" s="22">
        <v>0.1</v>
      </c>
      <c r="K7" s="22">
        <f t="shared" si="1"/>
        <v>6.2</v>
      </c>
      <c r="L7" s="22">
        <v>10.134275994797564</v>
      </c>
      <c r="O7" s="9">
        <v>593.48</v>
      </c>
      <c r="Q7" s="9">
        <f t="shared" si="2"/>
        <v>5.0663091150679547</v>
      </c>
    </row>
    <row r="8" spans="1:18">
      <c r="A8" s="23" t="s">
        <v>18</v>
      </c>
      <c r="B8" s="22">
        <v>6.4880000000000004</v>
      </c>
      <c r="C8" s="22">
        <v>15.226990624793798</v>
      </c>
      <c r="D8" s="22">
        <v>9.2897529952311011</v>
      </c>
      <c r="E8" s="22">
        <v>1.8176000000000001</v>
      </c>
      <c r="F8" s="22">
        <f t="shared" si="0"/>
        <v>4.9953088199162661</v>
      </c>
      <c r="G8" s="22">
        <v>4.9753088199162665</v>
      </c>
      <c r="H8" s="22">
        <v>0.5</v>
      </c>
      <c r="I8" s="22">
        <v>0.1</v>
      </c>
      <c r="J8" s="22">
        <v>0.1</v>
      </c>
      <c r="K8" s="22">
        <f t="shared" si="1"/>
        <v>6.4880000000000004</v>
      </c>
      <c r="L8" s="22">
        <v>9.2897529952311011</v>
      </c>
      <c r="O8" s="9">
        <v>582.82000000000005</v>
      </c>
      <c r="Q8" s="9">
        <f t="shared" si="2"/>
        <v>4.9753088199162665</v>
      </c>
    </row>
    <row r="9" spans="1:18">
      <c r="A9" s="23" t="s">
        <v>19</v>
      </c>
      <c r="B9" s="22">
        <v>6.2080000000000002</v>
      </c>
      <c r="C9" s="22">
        <v>15.226990624793798</v>
      </c>
      <c r="D9" s="22">
        <v>9.2897529952311011</v>
      </c>
      <c r="E9" s="22">
        <v>1.8176000000000001</v>
      </c>
      <c r="F9" s="22">
        <f t="shared" si="0"/>
        <v>4.9578330886108324</v>
      </c>
      <c r="G9" s="22">
        <v>4.9378330886108328</v>
      </c>
      <c r="H9" s="22">
        <v>0.5</v>
      </c>
      <c r="I9" s="22">
        <v>0.1</v>
      </c>
      <c r="J9" s="22">
        <v>0.1</v>
      </c>
      <c r="K9" s="22">
        <f t="shared" si="1"/>
        <v>6.2080000000000002</v>
      </c>
      <c r="L9" s="22">
        <v>9.2897529952311011</v>
      </c>
      <c r="O9" s="9">
        <v>578.42999999999995</v>
      </c>
      <c r="Q9" s="9">
        <f t="shared" si="2"/>
        <v>4.9378330886108328</v>
      </c>
    </row>
    <row r="10" spans="1:18">
      <c r="A10" s="23" t="s">
        <v>20</v>
      </c>
      <c r="B10" s="22">
        <v>5.8310000000000004</v>
      </c>
      <c r="C10" s="22">
        <v>15.256538472060539</v>
      </c>
      <c r="D10" s="22">
        <v>10.902024176221621</v>
      </c>
      <c r="E10" s="22">
        <v>1.8176000000000001</v>
      </c>
      <c r="F10" s="22">
        <f t="shared" si="0"/>
        <v>5.4422858794042988</v>
      </c>
      <c r="G10" s="22">
        <v>5.4222858794042992</v>
      </c>
      <c r="H10" s="22">
        <v>0.5</v>
      </c>
      <c r="I10" s="22">
        <v>0.1</v>
      </c>
      <c r="J10" s="22">
        <v>0.1</v>
      </c>
      <c r="K10" s="22">
        <f t="shared" si="1"/>
        <v>5.8310000000000004</v>
      </c>
      <c r="L10" s="22">
        <v>10.902024176221621</v>
      </c>
      <c r="O10" s="9">
        <v>635.17999999999995</v>
      </c>
      <c r="Q10" s="9">
        <f t="shared" si="2"/>
        <v>5.4222858794042992</v>
      </c>
    </row>
    <row r="11" spans="1:18">
      <c r="A11" s="23" t="s">
        <v>21</v>
      </c>
      <c r="B11" s="22">
        <v>6.0439999999999996</v>
      </c>
      <c r="C11" s="22">
        <v>15.335332731438514</v>
      </c>
      <c r="D11" s="22">
        <v>10.825249358079217</v>
      </c>
      <c r="E11" s="22">
        <v>1.8176000000000001</v>
      </c>
      <c r="F11" s="22">
        <f t="shared" si="0"/>
        <v>5.3919198623878852</v>
      </c>
      <c r="G11" s="22">
        <v>5.3719198623878857</v>
      </c>
      <c r="H11" s="22">
        <v>0.5</v>
      </c>
      <c r="I11" s="22">
        <v>0.1</v>
      </c>
      <c r="J11" s="22">
        <v>0.1</v>
      </c>
      <c r="K11" s="22">
        <f t="shared" si="1"/>
        <v>6.0439999999999996</v>
      </c>
      <c r="L11" s="22">
        <v>10.825249358079217</v>
      </c>
      <c r="O11" s="9">
        <v>629.28</v>
      </c>
      <c r="Q11" s="9">
        <f t="shared" si="2"/>
        <v>5.3719198623878857</v>
      </c>
    </row>
    <row r="12" spans="1:18">
      <c r="A12" s="23" t="s">
        <v>22</v>
      </c>
      <c r="B12" s="22">
        <v>6.484</v>
      </c>
      <c r="C12" s="22">
        <v>15.335332731438514</v>
      </c>
      <c r="D12" s="22">
        <v>10.863636767150419</v>
      </c>
      <c r="E12" s="22">
        <v>1.8176000000000001</v>
      </c>
      <c r="F12" s="22">
        <f t="shared" si="0"/>
        <v>5.4298224243460007</v>
      </c>
      <c r="G12" s="22">
        <v>5.4098224243460011</v>
      </c>
      <c r="H12" s="22">
        <v>0.5</v>
      </c>
      <c r="I12" s="22">
        <v>0.1</v>
      </c>
      <c r="J12" s="22">
        <v>0.1</v>
      </c>
      <c r="K12" s="22">
        <f t="shared" si="1"/>
        <v>6.484</v>
      </c>
      <c r="L12" s="22">
        <v>10.863636767150419</v>
      </c>
      <c r="O12" s="9">
        <v>633.72</v>
      </c>
      <c r="Q12" s="9">
        <f t="shared" si="2"/>
        <v>5.4098224243460011</v>
      </c>
    </row>
    <row r="13" spans="1:18">
      <c r="A13" s="23" t="s">
        <v>23</v>
      </c>
      <c r="B13" s="22">
        <v>6.46</v>
      </c>
      <c r="C13" s="22">
        <v>15.32548344901627</v>
      </c>
      <c r="D13" s="22">
        <v>10.556537494580796</v>
      </c>
      <c r="E13" s="22">
        <v>1.8176000000000001</v>
      </c>
      <c r="F13" s="22">
        <f t="shared" si="0"/>
        <v>4.8374668445546583</v>
      </c>
      <c r="G13" s="22">
        <v>4.8174668445546587</v>
      </c>
      <c r="H13" s="22">
        <v>0.5</v>
      </c>
      <c r="I13" s="22">
        <v>0.1</v>
      </c>
      <c r="J13" s="22">
        <v>0.1</v>
      </c>
      <c r="K13" s="22">
        <f t="shared" si="1"/>
        <v>6.46</v>
      </c>
      <c r="L13" s="22">
        <v>10.556537494580796</v>
      </c>
      <c r="O13" s="9">
        <v>564.33000000000004</v>
      </c>
      <c r="Q13" s="9">
        <f t="shared" si="2"/>
        <v>4.8174668445546587</v>
      </c>
    </row>
    <row r="14" spans="1:18">
      <c r="A14" s="23" t="s">
        <v>24</v>
      </c>
      <c r="B14" s="22">
        <v>5.9969999999999999</v>
      </c>
      <c r="C14" s="22">
        <v>15.374729861127502</v>
      </c>
      <c r="D14" s="22">
        <v>10.978798994364029</v>
      </c>
      <c r="E14" s="22">
        <v>1.8176000000000001</v>
      </c>
      <c r="F14" s="22">
        <f t="shared" si="0"/>
        <v>5.1597239873291674</v>
      </c>
      <c r="G14" s="22">
        <v>5.1397239873291678</v>
      </c>
      <c r="H14" s="22">
        <v>0.5</v>
      </c>
      <c r="I14" s="22">
        <v>0.1</v>
      </c>
      <c r="J14" s="22">
        <v>0.1</v>
      </c>
      <c r="K14" s="22">
        <f t="shared" si="1"/>
        <v>5.9969999999999999</v>
      </c>
      <c r="L14" s="22">
        <v>10.978798994364029</v>
      </c>
      <c r="O14" s="9">
        <v>602.08000000000004</v>
      </c>
      <c r="Q14" s="9">
        <f t="shared" si="2"/>
        <v>5.1397239873291678</v>
      </c>
    </row>
    <row r="15" spans="1:18">
      <c r="A15" s="23" t="s">
        <v>25</v>
      </c>
      <c r="B15" s="22">
        <v>7.4409999999999998</v>
      </c>
      <c r="C15" s="22">
        <v>15.335332731438514</v>
      </c>
      <c r="D15" s="22">
        <v>10.057501176655158</v>
      </c>
      <c r="E15" s="22">
        <v>1.8176000000000001</v>
      </c>
      <c r="F15" s="22">
        <f t="shared" si="0"/>
        <v>4.9590282144383409</v>
      </c>
      <c r="G15" s="22">
        <v>4.9390282144383413</v>
      </c>
      <c r="H15" s="22">
        <v>0.5</v>
      </c>
      <c r="I15" s="22">
        <v>0.1</v>
      </c>
      <c r="J15" s="22">
        <v>0.1</v>
      </c>
      <c r="K15" s="22">
        <f t="shared" si="1"/>
        <v>7.4409999999999998</v>
      </c>
      <c r="L15" s="22">
        <v>10.057501176655158</v>
      </c>
      <c r="O15" s="9">
        <v>578.57000000000005</v>
      </c>
      <c r="Q15" s="9">
        <f t="shared" si="2"/>
        <v>4.9390282144383413</v>
      </c>
    </row>
    <row r="16" spans="1:18">
      <c r="A16" s="23" t="s">
        <v>26</v>
      </c>
      <c r="B16" s="22">
        <v>6.09</v>
      </c>
      <c r="C16" s="22">
        <v>15.246689189638293</v>
      </c>
      <c r="D16" s="22">
        <v>10.134275994797564</v>
      </c>
      <c r="E16" s="22">
        <v>1.8176000000000001</v>
      </c>
      <c r="F16" s="22">
        <f t="shared" si="0"/>
        <v>5.1076506477020276</v>
      </c>
      <c r="G16" s="22">
        <v>5.087650647702028</v>
      </c>
      <c r="H16" s="22">
        <v>0.5</v>
      </c>
      <c r="I16" s="22">
        <v>0.1</v>
      </c>
      <c r="J16" s="22">
        <v>0.1</v>
      </c>
      <c r="K16" s="22">
        <f t="shared" si="1"/>
        <v>6.09</v>
      </c>
      <c r="L16" s="22">
        <v>10.134275994797564</v>
      </c>
      <c r="O16" s="9">
        <v>595.98</v>
      </c>
      <c r="Q16" s="9">
        <f t="shared" si="2"/>
        <v>5.087650647702028</v>
      </c>
    </row>
    <row r="17" spans="1:17">
      <c r="A17" s="23" t="s">
        <v>27</v>
      </c>
      <c r="B17" s="22">
        <v>5.6550000000000002</v>
      </c>
      <c r="C17" s="22">
        <v>15.276237036905034</v>
      </c>
      <c r="D17" s="22">
        <v>10.249438222011173</v>
      </c>
      <c r="E17" s="22">
        <v>1.8176000000000001</v>
      </c>
      <c r="F17" s="22">
        <f t="shared" si="0"/>
        <v>4.8588083771887325</v>
      </c>
      <c r="G17" s="22">
        <v>4.8388083771887329</v>
      </c>
      <c r="H17" s="22">
        <v>0.5</v>
      </c>
      <c r="I17" s="22">
        <v>0.1</v>
      </c>
      <c r="J17" s="22">
        <v>0.1</v>
      </c>
      <c r="K17" s="22">
        <f t="shared" si="1"/>
        <v>5.6550000000000002</v>
      </c>
      <c r="L17" s="22">
        <v>10.249438222011173</v>
      </c>
      <c r="O17" s="9">
        <v>566.83000000000004</v>
      </c>
      <c r="Q17" s="9">
        <f t="shared" si="2"/>
        <v>4.8388083771887329</v>
      </c>
    </row>
    <row r="18" spans="1:17">
      <c r="A18" s="23" t="s">
        <v>28</v>
      </c>
      <c r="B18" s="22">
        <v>6.6150000000000002</v>
      </c>
      <c r="C18" s="22">
        <v>15.355031296283011</v>
      </c>
      <c r="D18" s="22">
        <v>10.057501176655158</v>
      </c>
      <c r="E18" s="22">
        <v>1.8176000000000001</v>
      </c>
      <c r="F18" s="22">
        <f t="shared" si="0"/>
        <v>4.9893331907787246</v>
      </c>
      <c r="G18" s="22">
        <v>4.969333190778725</v>
      </c>
      <c r="H18" s="22">
        <v>0.5</v>
      </c>
      <c r="I18" s="22">
        <v>0.1</v>
      </c>
      <c r="J18" s="22">
        <v>0.1</v>
      </c>
      <c r="K18" s="22">
        <f t="shared" si="1"/>
        <v>6.6150000000000002</v>
      </c>
      <c r="L18" s="22">
        <v>10.057501176655158</v>
      </c>
      <c r="O18" s="9">
        <v>582.12</v>
      </c>
      <c r="Q18" s="9">
        <f t="shared" si="2"/>
        <v>4.969333190778725</v>
      </c>
    </row>
    <row r="19" spans="1:17">
      <c r="A19" s="23" t="s">
        <v>29</v>
      </c>
      <c r="B19" s="22">
        <v>6.9</v>
      </c>
      <c r="C19" s="22">
        <v>15.266387754482787</v>
      </c>
      <c r="D19" s="22">
        <v>10.057501176655158</v>
      </c>
      <c r="E19" s="22">
        <v>1.8176000000000001</v>
      </c>
      <c r="F19" s="22">
        <f t="shared" si="0"/>
        <v>4.9024304698927788</v>
      </c>
      <c r="G19" s="22">
        <v>4.8824304698927792</v>
      </c>
      <c r="H19" s="22">
        <v>0.5</v>
      </c>
      <c r="I19" s="22">
        <v>0.1</v>
      </c>
      <c r="J19" s="22">
        <v>0.1</v>
      </c>
      <c r="K19" s="22">
        <f t="shared" si="1"/>
        <v>6.9</v>
      </c>
      <c r="L19" s="22">
        <v>10.057501176655158</v>
      </c>
      <c r="O19" s="9">
        <v>571.94000000000005</v>
      </c>
      <c r="Q19" s="9">
        <f t="shared" si="2"/>
        <v>4.8824304698927792</v>
      </c>
    </row>
    <row r="20" spans="1:17">
      <c r="A20" s="23" t="s">
        <v>30</v>
      </c>
      <c r="B20" s="22">
        <v>6.274</v>
      </c>
      <c r="C20" s="22">
        <v>15.38457914354975</v>
      </c>
      <c r="D20" s="22">
        <v>10.978798994364029</v>
      </c>
      <c r="E20" s="22">
        <v>1.8176000000000001</v>
      </c>
      <c r="F20" s="22">
        <f t="shared" si="0"/>
        <v>5.2591755294039491</v>
      </c>
      <c r="G20" s="22">
        <v>5.2391755294039495</v>
      </c>
      <c r="H20" s="22">
        <v>0.5</v>
      </c>
      <c r="I20" s="22">
        <v>0.1</v>
      </c>
      <c r="J20" s="22">
        <v>0.1</v>
      </c>
      <c r="K20" s="22">
        <f t="shared" si="1"/>
        <v>6.274</v>
      </c>
      <c r="L20" s="22">
        <v>10.978798994364029</v>
      </c>
      <c r="O20" s="9">
        <v>613.73</v>
      </c>
      <c r="Q20" s="9">
        <f t="shared" si="2"/>
        <v>5.2391755294039495</v>
      </c>
    </row>
    <row r="21" spans="1:17">
      <c r="A21" s="23" t="s">
        <v>31</v>
      </c>
      <c r="B21" s="22">
        <v>8.0960000000000001</v>
      </c>
      <c r="C21" s="22">
        <v>15.51261981503896</v>
      </c>
      <c r="D21" s="22">
        <v>10.326213040153579</v>
      </c>
      <c r="E21" s="22">
        <v>1.8176000000000001</v>
      </c>
      <c r="F21" s="22">
        <f t="shared" si="0"/>
        <v>4.7924788937620315</v>
      </c>
      <c r="G21" s="22">
        <v>4.7724788937620319</v>
      </c>
      <c r="H21" s="22">
        <v>0.5</v>
      </c>
      <c r="I21" s="22">
        <v>0.1</v>
      </c>
      <c r="J21" s="22">
        <v>0.1</v>
      </c>
      <c r="K21" s="22">
        <f t="shared" si="1"/>
        <v>8.0960000000000001</v>
      </c>
      <c r="L21" s="22">
        <v>10.326213040153579</v>
      </c>
      <c r="O21" s="9">
        <v>559.05999999999995</v>
      </c>
      <c r="Q21" s="9">
        <f t="shared" si="2"/>
        <v>4.7724788937620319</v>
      </c>
    </row>
    <row r="22" spans="1:17">
      <c r="A22" s="23" t="s">
        <v>32</v>
      </c>
      <c r="B22" s="22">
        <v>5.806</v>
      </c>
      <c r="C22" s="22">
        <v>15.51261981503896</v>
      </c>
      <c r="D22" s="22">
        <v>8.9058789045190707</v>
      </c>
      <c r="E22" s="22">
        <v>1.8176000000000001</v>
      </c>
      <c r="F22" s="22">
        <f t="shared" si="0"/>
        <v>5.0811871472357764</v>
      </c>
      <c r="G22" s="22">
        <v>5.0611871472357768</v>
      </c>
      <c r="H22" s="22">
        <v>0.5</v>
      </c>
      <c r="I22" s="22">
        <v>0.1</v>
      </c>
      <c r="J22" s="22">
        <v>0.1</v>
      </c>
      <c r="K22" s="22">
        <f t="shared" si="1"/>
        <v>5.806</v>
      </c>
      <c r="L22" s="22">
        <v>8.9058789045190707</v>
      </c>
      <c r="O22" s="9">
        <v>592.88</v>
      </c>
      <c r="Q22" s="9">
        <f t="shared" si="2"/>
        <v>5.0611871472357768</v>
      </c>
    </row>
    <row r="23" spans="1:17">
      <c r="A23" s="23" t="s">
        <v>33</v>
      </c>
      <c r="B23" s="22">
        <v>6.5549999999999997</v>
      </c>
      <c r="C23" s="22">
        <v>15.650509768950418</v>
      </c>
      <c r="D23" s="22">
        <v>8.9058789045190707</v>
      </c>
      <c r="E23" s="22">
        <v>1.8176000000000001</v>
      </c>
      <c r="F23" s="22">
        <f t="shared" si="0"/>
        <v>4.818344831314529</v>
      </c>
      <c r="G23" s="22">
        <v>4.7983448313145294</v>
      </c>
      <c r="H23" s="22">
        <v>0.5</v>
      </c>
      <c r="I23" s="22">
        <v>0.1</v>
      </c>
      <c r="J23" s="22">
        <v>0.1</v>
      </c>
      <c r="K23" s="22">
        <f t="shared" si="1"/>
        <v>6.5549999999999997</v>
      </c>
      <c r="L23" s="22">
        <v>8.9058789045190707</v>
      </c>
      <c r="O23" s="9">
        <v>562.09</v>
      </c>
      <c r="Q23" s="9">
        <f t="shared" si="2"/>
        <v>4.7983448313145294</v>
      </c>
    </row>
    <row r="24" spans="1:17">
      <c r="A24" s="23" t="s">
        <v>34</v>
      </c>
      <c r="B24" s="22">
        <v>6.3819999999999997</v>
      </c>
      <c r="C24" s="22">
        <v>15.650509768950418</v>
      </c>
      <c r="D24" s="22">
        <v>8.9442663135902745</v>
      </c>
      <c r="E24" s="22">
        <v>1.8176000000000001</v>
      </c>
      <c r="F24" s="22">
        <f t="shared" si="0"/>
        <v>4.8416497849509375</v>
      </c>
      <c r="G24" s="22">
        <v>4.8216497849509379</v>
      </c>
      <c r="H24" s="22">
        <v>0.5</v>
      </c>
      <c r="I24" s="22">
        <v>0.1</v>
      </c>
      <c r="J24" s="22">
        <v>0.1</v>
      </c>
      <c r="K24" s="22">
        <f t="shared" si="1"/>
        <v>6.3819999999999997</v>
      </c>
      <c r="L24" s="22">
        <v>8.9442663135902745</v>
      </c>
      <c r="O24" s="9">
        <v>564.82000000000005</v>
      </c>
      <c r="Q24" s="9">
        <f t="shared" si="2"/>
        <v>4.8216497849509379</v>
      </c>
    </row>
    <row r="25" spans="1:17">
      <c r="A25" s="23" t="s">
        <v>35</v>
      </c>
      <c r="B25" s="22">
        <v>5.7640000000000002</v>
      </c>
      <c r="C25" s="22">
        <v>15.51261981503896</v>
      </c>
      <c r="D25" s="22">
        <v>9.0978159498750859</v>
      </c>
      <c r="E25" s="22">
        <v>1.8176000000000001</v>
      </c>
      <c r="F25" s="22">
        <f t="shared" si="0"/>
        <v>4.626185671477332</v>
      </c>
      <c r="G25" s="22">
        <v>4.6061856714773324</v>
      </c>
      <c r="H25" s="22">
        <v>0.5</v>
      </c>
      <c r="I25" s="22">
        <v>0.1</v>
      </c>
      <c r="J25" s="22">
        <v>0.1</v>
      </c>
      <c r="K25" s="22">
        <f t="shared" si="1"/>
        <v>5.7640000000000002</v>
      </c>
      <c r="L25" s="22">
        <v>9.0978159498750859</v>
      </c>
      <c r="O25" s="9">
        <v>539.58000000000004</v>
      </c>
      <c r="Q25" s="9">
        <f t="shared" si="2"/>
        <v>4.6061856714773324</v>
      </c>
    </row>
    <row r="26" spans="1:17">
      <c r="A26" s="23" t="s">
        <v>36</v>
      </c>
      <c r="B26" s="22">
        <v>5.109</v>
      </c>
      <c r="C26" s="22">
        <v>15.51261981503896</v>
      </c>
      <c r="D26" s="22">
        <v>9.0978159498750859</v>
      </c>
      <c r="E26" s="22">
        <v>1.8176000000000001</v>
      </c>
      <c r="F26" s="22">
        <f t="shared" si="0"/>
        <v>4.6826980498923589</v>
      </c>
      <c r="G26" s="22">
        <v>4.6626980498923594</v>
      </c>
      <c r="H26" s="22">
        <v>0.5</v>
      </c>
      <c r="I26" s="22">
        <v>0.1</v>
      </c>
      <c r="J26" s="22">
        <v>0.1</v>
      </c>
      <c r="K26" s="22">
        <f t="shared" si="1"/>
        <v>5.109</v>
      </c>
      <c r="L26" s="22">
        <v>9.0978159498750859</v>
      </c>
      <c r="O26" s="9">
        <v>546.20000000000005</v>
      </c>
      <c r="Q26" s="9">
        <f t="shared" si="2"/>
        <v>4.6626980498923594</v>
      </c>
    </row>
    <row r="27" spans="1:17">
      <c r="A27" s="23" t="s">
        <v>37</v>
      </c>
      <c r="B27" s="22">
        <v>4.3920000000000003</v>
      </c>
      <c r="C27" s="22">
        <v>15.236839907216048</v>
      </c>
      <c r="D27" s="22">
        <v>7.6774818142405783</v>
      </c>
      <c r="E27" s="22">
        <v>1.8176000000000001</v>
      </c>
      <c r="F27" s="22">
        <f t="shared" si="0"/>
        <v>4.7121493649273791</v>
      </c>
      <c r="G27" s="22">
        <v>4.6921493649273796</v>
      </c>
      <c r="H27" s="22">
        <v>0.5</v>
      </c>
      <c r="I27" s="22">
        <v>0.1</v>
      </c>
      <c r="J27" s="22">
        <v>0.1</v>
      </c>
      <c r="K27" s="22">
        <f t="shared" si="1"/>
        <v>4.3920000000000003</v>
      </c>
      <c r="L27" s="22">
        <v>7.6774818142405783</v>
      </c>
      <c r="O27" s="9">
        <v>549.65</v>
      </c>
      <c r="Q27" s="9">
        <f t="shared" si="2"/>
        <v>4.6921493649273796</v>
      </c>
    </row>
    <row r="28" spans="1:17">
      <c r="A28" s="23" t="s">
        <v>38</v>
      </c>
      <c r="B28" s="22">
        <v>5.53</v>
      </c>
      <c r="C28" s="22">
        <v>15.197442777527057</v>
      </c>
      <c r="D28" s="22">
        <v>8.0229684958814058</v>
      </c>
      <c r="E28" s="22">
        <v>1.8176000000000001</v>
      </c>
      <c r="F28" s="22">
        <f t="shared" si="0"/>
        <v>4.6451369524563884</v>
      </c>
      <c r="G28" s="22">
        <v>4.6251369524563888</v>
      </c>
      <c r="H28" s="22">
        <v>0.5</v>
      </c>
      <c r="I28" s="22">
        <v>0.1</v>
      </c>
      <c r="J28" s="22">
        <v>0.1</v>
      </c>
      <c r="K28" s="22">
        <f t="shared" si="1"/>
        <v>5.53</v>
      </c>
      <c r="L28" s="22">
        <v>8.0229684958814058</v>
      </c>
      <c r="O28" s="9">
        <v>541.79999999999995</v>
      </c>
      <c r="Q28" s="9">
        <f t="shared" si="2"/>
        <v>4.6251369524563888</v>
      </c>
    </row>
    <row r="29" spans="1:17">
      <c r="A29" s="23" t="s">
        <v>39</v>
      </c>
      <c r="B29" s="22">
        <v>5.63</v>
      </c>
      <c r="C29" s="22">
        <v>15.236839907216048</v>
      </c>
      <c r="D29" s="22">
        <v>8.3300677684510287</v>
      </c>
      <c r="E29" s="22">
        <v>1.8176000000000001</v>
      </c>
      <c r="F29" s="22">
        <f t="shared" si="0"/>
        <v>4.8025520971653144</v>
      </c>
      <c r="G29" s="22">
        <v>4.7825520971653148</v>
      </c>
      <c r="H29" s="22">
        <v>0.5</v>
      </c>
      <c r="I29" s="22">
        <v>0.1</v>
      </c>
      <c r="J29" s="22">
        <v>0.1</v>
      </c>
      <c r="K29" s="22">
        <f t="shared" si="1"/>
        <v>5.63</v>
      </c>
      <c r="L29" s="22">
        <v>8.3300677684510287</v>
      </c>
      <c r="O29" s="9">
        <v>560.24</v>
      </c>
      <c r="Q29" s="9">
        <f t="shared" si="2"/>
        <v>4.7825520971653148</v>
      </c>
    </row>
    <row r="30" spans="1:17">
      <c r="A30" s="23" t="s">
        <v>40</v>
      </c>
      <c r="B30" s="22">
        <v>4.03</v>
      </c>
      <c r="C30" s="22">
        <v>14.793622198214933</v>
      </c>
      <c r="D30" s="22">
        <v>7.4087699507421583</v>
      </c>
      <c r="E30" s="22">
        <v>1.8176000000000001</v>
      </c>
      <c r="F30" s="22">
        <f t="shared" si="0"/>
        <v>4.7065152003119834</v>
      </c>
      <c r="G30" s="22">
        <v>4.6865152003119839</v>
      </c>
      <c r="H30" s="22">
        <v>0.5</v>
      </c>
      <c r="I30" s="22">
        <v>0.1</v>
      </c>
      <c r="J30" s="22">
        <v>0.1</v>
      </c>
      <c r="K30" s="22">
        <f t="shared" si="1"/>
        <v>4.03</v>
      </c>
      <c r="L30" s="22">
        <v>7.4087699507421583</v>
      </c>
      <c r="O30" s="9">
        <v>548.99</v>
      </c>
      <c r="Q30" s="9">
        <f t="shared" si="2"/>
        <v>4.6865152003119839</v>
      </c>
    </row>
    <row r="31" spans="1:17">
      <c r="A31" s="23" t="s">
        <v>41</v>
      </c>
      <c r="B31" s="24">
        <v>3.016</v>
      </c>
      <c r="C31" s="22">
        <v>14.793622198214933</v>
      </c>
      <c r="D31" s="22">
        <v>6.9481210418877239</v>
      </c>
      <c r="E31" s="22">
        <v>1.8176000000000001</v>
      </c>
      <c r="F31" s="22">
        <f t="shared" si="0"/>
        <v>5.101760384695023</v>
      </c>
      <c r="G31" s="22">
        <v>5.0817603846950234</v>
      </c>
      <c r="H31" s="22">
        <v>0.5</v>
      </c>
      <c r="I31" s="22">
        <v>0.1</v>
      </c>
      <c r="J31" s="22">
        <v>0.1</v>
      </c>
      <c r="K31" s="22">
        <f t="shared" si="1"/>
        <v>3.016</v>
      </c>
      <c r="L31" s="22">
        <v>6.9481210418877239</v>
      </c>
      <c r="O31" s="9">
        <v>595.29</v>
      </c>
      <c r="Q31" s="9">
        <f t="shared" si="2"/>
        <v>5.0817603846950234</v>
      </c>
    </row>
    <row r="32" spans="1:17">
      <c r="A32" s="9" t="s">
        <v>42</v>
      </c>
      <c r="B32" s="9">
        <v>5</v>
      </c>
      <c r="C32" s="9">
        <v>15</v>
      </c>
      <c r="D32" s="9">
        <v>10</v>
      </c>
      <c r="E32" s="9">
        <v>1.82</v>
      </c>
      <c r="F32" s="9">
        <v>4</v>
      </c>
      <c r="G32" s="9">
        <v>4</v>
      </c>
      <c r="H32" s="9">
        <v>0.5</v>
      </c>
      <c r="I32" s="9">
        <v>0.1</v>
      </c>
      <c r="J32" s="9">
        <v>0.1</v>
      </c>
      <c r="K32" s="9">
        <v>5</v>
      </c>
      <c r="L32" s="9">
        <v>10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9ADF-404D-4442-A88C-2F8E81BB4C81}">
  <sheetPr>
    <tabColor rgb="FF92D050"/>
  </sheetPr>
  <dimension ref="A1:J6"/>
  <sheetViews>
    <sheetView workbookViewId="0">
      <selection activeCell="B12" sqref="B12"/>
    </sheetView>
  </sheetViews>
  <sheetFormatPr baseColWidth="10" defaultColWidth="8.83203125" defaultRowHeight="15"/>
  <sheetData>
    <row r="1" spans="1:10">
      <c r="A1" s="25"/>
      <c r="B1" s="26">
        <v>2020</v>
      </c>
      <c r="C1" s="26">
        <v>2025</v>
      </c>
      <c r="D1" s="26">
        <v>2030</v>
      </c>
      <c r="E1" s="26">
        <v>2035</v>
      </c>
      <c r="F1" s="26">
        <v>2040</v>
      </c>
      <c r="G1" s="26">
        <v>2045</v>
      </c>
      <c r="H1" s="26">
        <v>2050</v>
      </c>
      <c r="I1" s="26">
        <v>2055</v>
      </c>
      <c r="J1" s="27">
        <v>2060</v>
      </c>
    </row>
    <row r="2" spans="1:10">
      <c r="A2" s="28" t="s">
        <v>132</v>
      </c>
      <c r="B2" s="29">
        <v>3.2475014697236917</v>
      </c>
      <c r="C2" s="29">
        <v>3.2475014697236917</v>
      </c>
      <c r="D2" s="29">
        <v>3.2475014697236917</v>
      </c>
      <c r="E2" s="29">
        <v>3.2475014697236917</v>
      </c>
      <c r="F2" s="29">
        <v>3.2475014697236917</v>
      </c>
      <c r="G2" s="29">
        <v>3.2627865961199292</v>
      </c>
      <c r="H2" s="29">
        <v>4.2281011169900058</v>
      </c>
      <c r="I2" s="29">
        <v>5.1769547325102874</v>
      </c>
      <c r="J2" s="30">
        <v>10.063492063492061</v>
      </c>
    </row>
    <row r="3" spans="1:10">
      <c r="A3" s="31" t="s">
        <v>11</v>
      </c>
      <c r="B3" s="32">
        <v>3.2475014697236917</v>
      </c>
      <c r="C3" s="32">
        <v>3.2475014697236917</v>
      </c>
      <c r="D3" s="32">
        <v>3.2475014697236917</v>
      </c>
      <c r="E3" s="32">
        <v>3.2475014697236917</v>
      </c>
      <c r="F3" s="32">
        <v>3.2475014697236917</v>
      </c>
      <c r="G3" s="32">
        <v>3.2627865961199292</v>
      </c>
      <c r="H3" s="32">
        <v>4.2281011169900058</v>
      </c>
      <c r="I3" s="32">
        <v>5.1769547325102874</v>
      </c>
      <c r="J3" s="33">
        <v>10.063492063492061</v>
      </c>
    </row>
    <row r="6" spans="1:10">
      <c r="A6" t="s">
        <v>172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E40-6240-4910-A62F-55B6BC2735A7}">
  <sheetPr>
    <tabColor rgb="FF92D050"/>
  </sheetPr>
  <dimension ref="A1:M35"/>
  <sheetViews>
    <sheetView workbookViewId="0">
      <selection activeCell="H37" sqref="H37"/>
    </sheetView>
  </sheetViews>
  <sheetFormatPr baseColWidth="10" defaultColWidth="8.83203125" defaultRowHeight="15"/>
  <cols>
    <col min="1" max="1" width="7.33203125" style="3" bestFit="1" customWidth="1"/>
    <col min="2" max="4" width="12.6640625" bestFit="1" customWidth="1"/>
    <col min="5" max="13" width="14.33203125" bestFit="1" customWidth="1"/>
    <col min="14" max="14" width="12.6640625" bestFit="1" customWidth="1"/>
  </cols>
  <sheetData>
    <row r="1" spans="1:13">
      <c r="A1" s="1"/>
      <c r="B1" t="s">
        <v>133</v>
      </c>
      <c r="C1" t="s">
        <v>134</v>
      </c>
      <c r="D1" t="s">
        <v>135</v>
      </c>
      <c r="E1" t="str">
        <f>$B1&amp;"~"&amp;2020</f>
        <v>EFF_coal~2020</v>
      </c>
      <c r="F1" t="str">
        <f>$B1&amp;"~"&amp;2025</f>
        <v>EFF_coal~2025</v>
      </c>
      <c r="G1" t="str">
        <f>$B1&amp;"~"&amp;2030</f>
        <v>EFF_coal~2030</v>
      </c>
      <c r="H1" t="str">
        <f>$B1&amp;"~"&amp;2035</f>
        <v>EFF_coal~2035</v>
      </c>
      <c r="I1" t="str">
        <f>$B1&amp;"~"&amp;2040</f>
        <v>EFF_coal~2040</v>
      </c>
      <c r="J1" t="str">
        <f>$B1&amp;"~"&amp;2045</f>
        <v>EFF_coal~2045</v>
      </c>
      <c r="K1" t="str">
        <f>$B1&amp;"~"&amp;2050</f>
        <v>EFF_coal~2050</v>
      </c>
      <c r="L1" t="str">
        <f>$B1&amp;"~"&amp;2055</f>
        <v>EFF_coal~2055</v>
      </c>
      <c r="M1" t="str">
        <f>$B1&amp;"~"&amp;2060</f>
        <v>EFF_coal~2060</v>
      </c>
    </row>
    <row r="2" spans="1:13">
      <c r="A2" s="3" t="s">
        <v>12</v>
      </c>
      <c r="B2" s="48">
        <v>0.41</v>
      </c>
      <c r="C2" s="48">
        <v>0.4</v>
      </c>
      <c r="D2" s="48">
        <v>0.52226710952004374</v>
      </c>
      <c r="E2" s="49">
        <v>0.41</v>
      </c>
      <c r="F2" s="48">
        <f>E2*1.0015^5</f>
        <v>0.41308423884788142</v>
      </c>
      <c r="G2" s="48">
        <f t="shared" ref="G2:K2" si="0">F2*1.0015^5</f>
        <v>0.41619167898666726</v>
      </c>
      <c r="H2" s="48">
        <f t="shared" si="0"/>
        <v>0.41932249494885188</v>
      </c>
      <c r="I2" s="48">
        <f t="shared" si="0"/>
        <v>0.42247686257985634</v>
      </c>
      <c r="J2" s="48">
        <f t="shared" si="0"/>
        <v>0.42565495904790479</v>
      </c>
      <c r="K2" s="48">
        <f t="shared" si="0"/>
        <v>0.4288569628539754</v>
      </c>
      <c r="L2" s="48">
        <f>K2</f>
        <v>0.4288569628539754</v>
      </c>
      <c r="M2" s="48">
        <f>L2</f>
        <v>0.4288569628539754</v>
      </c>
    </row>
    <row r="3" spans="1:13">
      <c r="A3" s="3" t="s">
        <v>13</v>
      </c>
      <c r="B3" s="48">
        <v>0.43595224535381577</v>
      </c>
      <c r="C3" s="48">
        <v>0.4</v>
      </c>
      <c r="D3" s="48">
        <v>0.52226710952004374</v>
      </c>
      <c r="E3" s="49">
        <f t="shared" ref="E3:E32" si="1">B3</f>
        <v>0.43595224535381577</v>
      </c>
      <c r="F3" s="48">
        <f t="shared" ref="F3:K18" si="2">E3*1.0015^5</f>
        <v>0.43923171084391671</v>
      </c>
      <c r="G3" s="48">
        <f t="shared" si="2"/>
        <v>0.44253584622393194</v>
      </c>
      <c r="H3" s="48">
        <f t="shared" si="2"/>
        <v>0.44586483707394159</v>
      </c>
      <c r="I3" s="48">
        <f t="shared" si="2"/>
        <v>0.44921887037005814</v>
      </c>
      <c r="J3" s="48">
        <f t="shared" si="2"/>
        <v>0.45259813449492831</v>
      </c>
      <c r="K3" s="48">
        <f t="shared" si="2"/>
        <v>0.45600281924831354</v>
      </c>
      <c r="L3" s="48">
        <f t="shared" ref="L3:M18" si="3">K3</f>
        <v>0.45600281924831354</v>
      </c>
      <c r="M3" s="48">
        <f t="shared" si="3"/>
        <v>0.45600281924831354</v>
      </c>
    </row>
    <row r="4" spans="1:13">
      <c r="A4" s="3" t="s">
        <v>14</v>
      </c>
      <c r="B4" s="48">
        <v>0.42001658236635292</v>
      </c>
      <c r="C4" s="48">
        <v>0.4</v>
      </c>
      <c r="D4" s="48">
        <v>0.52226710952004374</v>
      </c>
      <c r="E4" s="49">
        <f t="shared" si="1"/>
        <v>0.42001658236635292</v>
      </c>
      <c r="F4" s="48">
        <f t="shared" si="2"/>
        <v>0.42317617129339857</v>
      </c>
      <c r="G4" s="48">
        <f t="shared" si="2"/>
        <v>0.42635952833486401</v>
      </c>
      <c r="H4" s="48">
        <f t="shared" si="2"/>
        <v>0.42956683228719278</v>
      </c>
      <c r="I4" s="48">
        <f t="shared" si="2"/>
        <v>0.43279826329183069</v>
      </c>
      <c r="J4" s="48">
        <f t="shared" si="2"/>
        <v>0.43605400284534362</v>
      </c>
      <c r="K4" s="48">
        <f t="shared" si="2"/>
        <v>0.43933423380961151</v>
      </c>
      <c r="L4" s="48">
        <f t="shared" si="3"/>
        <v>0.43933423380961151</v>
      </c>
      <c r="M4" s="48">
        <f t="shared" si="3"/>
        <v>0.43933423380961151</v>
      </c>
    </row>
    <row r="5" spans="1:13">
      <c r="A5" s="3" t="s">
        <v>15</v>
      </c>
      <c r="B5" s="48">
        <v>0.34500691386107613</v>
      </c>
      <c r="C5" s="48">
        <v>0.4</v>
      </c>
      <c r="D5" s="48">
        <v>0.52226710952004374</v>
      </c>
      <c r="E5" s="49">
        <f t="shared" si="1"/>
        <v>0.34500691386107613</v>
      </c>
      <c r="F5" s="48">
        <f t="shared" si="2"/>
        <v>0.34760224002331519</v>
      </c>
      <c r="G5" s="48">
        <f t="shared" si="2"/>
        <v>0.35021708961426767</v>
      </c>
      <c r="H5" s="48">
        <f t="shared" si="2"/>
        <v>0.35285160949958549</v>
      </c>
      <c r="I5" s="48">
        <f t="shared" si="2"/>
        <v>0.35550594764972238</v>
      </c>
      <c r="J5" s="48">
        <f t="shared" si="2"/>
        <v>0.35818025314824481</v>
      </c>
      <c r="K5" s="48">
        <f t="shared" si="2"/>
        <v>0.36087467620020536</v>
      </c>
      <c r="L5" s="48">
        <f t="shared" si="3"/>
        <v>0.36087467620020536</v>
      </c>
      <c r="M5" s="48">
        <f t="shared" si="3"/>
        <v>0.36087467620020536</v>
      </c>
    </row>
    <row r="6" spans="1:13">
      <c r="A6" s="3" t="s">
        <v>16</v>
      </c>
      <c r="B6" s="48">
        <v>0.2980433229311249</v>
      </c>
      <c r="C6" s="48">
        <v>0.4</v>
      </c>
      <c r="D6" s="48">
        <v>0.52226710952004374</v>
      </c>
      <c r="E6" s="49">
        <f t="shared" si="1"/>
        <v>0.2980433229311249</v>
      </c>
      <c r="F6" s="48">
        <f t="shared" si="2"/>
        <v>0.30028536389438309</v>
      </c>
      <c r="G6" s="48">
        <f t="shared" si="2"/>
        <v>0.30254427068651302</v>
      </c>
      <c r="H6" s="48">
        <f t="shared" si="2"/>
        <v>0.30482017018128205</v>
      </c>
      <c r="I6" s="48">
        <f t="shared" si="2"/>
        <v>0.30711319020686972</v>
      </c>
      <c r="J6" s="48">
        <f t="shared" si="2"/>
        <v>0.3094234595530474</v>
      </c>
      <c r="K6" s="48">
        <f t="shared" si="2"/>
        <v>0.31175110797841177</v>
      </c>
      <c r="L6" s="48">
        <f t="shared" si="3"/>
        <v>0.31175110797841177</v>
      </c>
      <c r="M6" s="48">
        <f t="shared" si="3"/>
        <v>0.31175110797841177</v>
      </c>
    </row>
    <row r="7" spans="1:13">
      <c r="A7" s="3" t="s">
        <v>17</v>
      </c>
      <c r="B7" s="48">
        <v>0.35673311522374596</v>
      </c>
      <c r="C7" s="48">
        <v>0.4</v>
      </c>
      <c r="D7" s="48">
        <v>0.52226710952004374</v>
      </c>
      <c r="E7" s="49">
        <f t="shared" si="1"/>
        <v>0.35673311522374596</v>
      </c>
      <c r="F7" s="48">
        <f t="shared" si="2"/>
        <v>0.35941665213179191</v>
      </c>
      <c r="G7" s="48">
        <f t="shared" si="2"/>
        <v>0.36212037603686598</v>
      </c>
      <c r="H7" s="48">
        <f t="shared" si="2"/>
        <v>0.3648444387963351</v>
      </c>
      <c r="I7" s="48">
        <f t="shared" si="2"/>
        <v>0.36758899340991846</v>
      </c>
      <c r="J7" s="48">
        <f t="shared" si="2"/>
        <v>0.37035419402828068</v>
      </c>
      <c r="K7" s="48">
        <f t="shared" si="2"/>
        <v>0.37314019596169007</v>
      </c>
      <c r="L7" s="48">
        <f t="shared" si="3"/>
        <v>0.37314019596169007</v>
      </c>
      <c r="M7" s="48">
        <f t="shared" si="3"/>
        <v>0.37314019596169007</v>
      </c>
    </row>
    <row r="8" spans="1:13">
      <c r="A8" s="3" t="s">
        <v>18</v>
      </c>
      <c r="B8" s="48">
        <v>0.30162738336507061</v>
      </c>
      <c r="C8" s="48">
        <v>0.4</v>
      </c>
      <c r="D8" s="48">
        <v>0.52226710952004374</v>
      </c>
      <c r="E8" s="49">
        <f t="shared" si="1"/>
        <v>0.30162738336507061</v>
      </c>
      <c r="F8" s="48">
        <f t="shared" si="2"/>
        <v>0.30389638554399595</v>
      </c>
      <c r="G8" s="48">
        <f t="shared" si="2"/>
        <v>0.30618245636844854</v>
      </c>
      <c r="H8" s="48">
        <f t="shared" si="2"/>
        <v>0.30848572423789083</v>
      </c>
      <c r="I8" s="48">
        <f t="shared" si="2"/>
        <v>0.3108063185176746</v>
      </c>
      <c r="J8" s="48">
        <f t="shared" si="2"/>
        <v>0.31314436954630687</v>
      </c>
      <c r="K8" s="48">
        <f t="shared" si="2"/>
        <v>0.31550000864277045</v>
      </c>
      <c r="L8" s="48">
        <f t="shared" si="3"/>
        <v>0.31550000864277045</v>
      </c>
      <c r="M8" s="48">
        <f t="shared" si="3"/>
        <v>0.31550000864277045</v>
      </c>
    </row>
    <row r="9" spans="1:13">
      <c r="A9" s="3" t="s">
        <v>19</v>
      </c>
      <c r="B9" s="48">
        <v>0.33814045717027474</v>
      </c>
      <c r="C9" s="48">
        <v>0.4</v>
      </c>
      <c r="D9" s="48">
        <v>0.52226710952004374</v>
      </c>
      <c r="E9" s="49">
        <f t="shared" si="1"/>
        <v>0.33814045717027474</v>
      </c>
      <c r="F9" s="48">
        <f t="shared" si="2"/>
        <v>0.34068413018014049</v>
      </c>
      <c r="G9" s="48">
        <f t="shared" si="2"/>
        <v>0.34324693805613632</v>
      </c>
      <c r="H9" s="48">
        <f t="shared" si="2"/>
        <v>0.34582902474093902</v>
      </c>
      <c r="I9" s="48">
        <f t="shared" si="2"/>
        <v>0.34843053526003892</v>
      </c>
      <c r="J9" s="48">
        <f t="shared" si="2"/>
        <v>0.35105161572988564</v>
      </c>
      <c r="K9" s="48">
        <f t="shared" si="2"/>
        <v>0.35369241336609458</v>
      </c>
      <c r="L9" s="48">
        <f t="shared" si="3"/>
        <v>0.35369241336609458</v>
      </c>
      <c r="M9" s="48">
        <f t="shared" si="3"/>
        <v>0.35369241336609458</v>
      </c>
    </row>
    <row r="10" spans="1:13">
      <c r="A10" s="3" t="s">
        <v>20</v>
      </c>
      <c r="B10" s="48">
        <v>0.40943948425852872</v>
      </c>
      <c r="C10" s="48">
        <v>0.4</v>
      </c>
      <c r="D10" s="48">
        <v>0.52226710952004374</v>
      </c>
      <c r="E10" s="49">
        <f t="shared" si="1"/>
        <v>0.40943948425852872</v>
      </c>
      <c r="F10" s="48">
        <f t="shared" si="2"/>
        <v>0.41251950660781339</v>
      </c>
      <c r="G10" s="48">
        <f t="shared" si="2"/>
        <v>0.41562269852924927</v>
      </c>
      <c r="H10" s="48">
        <f t="shared" si="2"/>
        <v>0.41874923431672545</v>
      </c>
      <c r="I10" s="48">
        <f t="shared" si="2"/>
        <v>0.42189928957526268</v>
      </c>
      <c r="J10" s="48">
        <f t="shared" si="2"/>
        <v>0.42507304123087636</v>
      </c>
      <c r="K10" s="48">
        <f t="shared" si="2"/>
        <v>0.42827066754051391</v>
      </c>
      <c r="L10" s="48">
        <f t="shared" si="3"/>
        <v>0.42827066754051391</v>
      </c>
      <c r="M10" s="48">
        <f t="shared" si="3"/>
        <v>0.42827066754051391</v>
      </c>
    </row>
    <row r="11" spans="1:13">
      <c r="A11" s="3" t="s">
        <v>21</v>
      </c>
      <c r="B11" s="48">
        <v>0.42460505930059506</v>
      </c>
      <c r="C11" s="48">
        <v>0.4</v>
      </c>
      <c r="D11" s="48">
        <v>0.52226710952004374</v>
      </c>
      <c r="E11" s="49">
        <f t="shared" si="1"/>
        <v>0.42460505930059506</v>
      </c>
      <c r="F11" s="48">
        <f t="shared" si="2"/>
        <v>0.42779916520035582</v>
      </c>
      <c r="G11" s="48">
        <f t="shared" si="2"/>
        <v>0.43101729886962947</v>
      </c>
      <c r="H11" s="48">
        <f t="shared" si="2"/>
        <v>0.43425964105812376</v>
      </c>
      <c r="I11" s="48">
        <f t="shared" si="2"/>
        <v>0.43752637387524212</v>
      </c>
      <c r="J11" s="48">
        <f t="shared" si="2"/>
        <v>0.44081768080031219</v>
      </c>
      <c r="K11" s="48">
        <f t="shared" si="2"/>
        <v>0.44413374669289107</v>
      </c>
      <c r="L11" s="48">
        <f t="shared" si="3"/>
        <v>0.44413374669289107</v>
      </c>
      <c r="M11" s="48">
        <f t="shared" si="3"/>
        <v>0.44413374669289107</v>
      </c>
    </row>
    <row r="12" spans="1:13">
      <c r="A12" s="3" t="s">
        <v>22</v>
      </c>
      <c r="B12" s="48">
        <v>0.46582820871448966</v>
      </c>
      <c r="C12" s="48">
        <v>0.4</v>
      </c>
      <c r="D12" s="48">
        <v>0.52226710952004374</v>
      </c>
      <c r="E12" s="49">
        <f t="shared" si="1"/>
        <v>0.46582820871448966</v>
      </c>
      <c r="F12" s="48">
        <f t="shared" si="2"/>
        <v>0.46933241714804153</v>
      </c>
      <c r="G12" s="48">
        <f t="shared" si="2"/>
        <v>0.47286298610789057</v>
      </c>
      <c r="H12" s="48">
        <f t="shared" si="2"/>
        <v>0.47642011389198613</v>
      </c>
      <c r="I12" s="48">
        <f t="shared" si="2"/>
        <v>0.48000400028998069</v>
      </c>
      <c r="J12" s="48">
        <f t="shared" si="2"/>
        <v>0.48361484659445109</v>
      </c>
      <c r="K12" s="48">
        <f t="shared" si="2"/>
        <v>0.48725285561220433</v>
      </c>
      <c r="L12" s="48">
        <f t="shared" si="3"/>
        <v>0.48725285561220433</v>
      </c>
      <c r="M12" s="48">
        <f t="shared" si="3"/>
        <v>0.48725285561220433</v>
      </c>
    </row>
    <row r="13" spans="1:13">
      <c r="A13" s="3" t="s">
        <v>23</v>
      </c>
      <c r="B13" s="48">
        <v>0.42112504964943781</v>
      </c>
      <c r="C13" s="48">
        <v>0.4</v>
      </c>
      <c r="D13" s="48">
        <v>0.52226710952004374</v>
      </c>
      <c r="E13" s="49">
        <f t="shared" si="1"/>
        <v>0.42112504964943781</v>
      </c>
      <c r="F13" s="48">
        <f t="shared" si="2"/>
        <v>0.42429297705905927</v>
      </c>
      <c r="G13" s="48">
        <f t="shared" si="2"/>
        <v>0.42748473530961739</v>
      </c>
      <c r="H13" s="48">
        <f t="shared" si="2"/>
        <v>0.43070050366941798</v>
      </c>
      <c r="I13" s="48">
        <f t="shared" si="2"/>
        <v>0.43394046275531878</v>
      </c>
      <c r="J13" s="48">
        <f t="shared" si="2"/>
        <v>0.43720479454287392</v>
      </c>
      <c r="K13" s="48">
        <f t="shared" si="2"/>
        <v>0.44049368237655478</v>
      </c>
      <c r="L13" s="48">
        <f t="shared" si="3"/>
        <v>0.44049368237655478</v>
      </c>
      <c r="M13" s="48">
        <f t="shared" si="3"/>
        <v>0.44049368237655478</v>
      </c>
    </row>
    <row r="14" spans="1:13">
      <c r="A14" s="3" t="s">
        <v>24</v>
      </c>
      <c r="B14" s="48">
        <v>0.41578493620795692</v>
      </c>
      <c r="C14" s="48">
        <v>0.4</v>
      </c>
      <c r="D14" s="48">
        <v>0.52226710952004374</v>
      </c>
      <c r="E14" s="49">
        <f t="shared" si="1"/>
        <v>0.41578493620795692</v>
      </c>
      <c r="F14" s="48">
        <f t="shared" si="2"/>
        <v>0.41891269243385082</v>
      </c>
      <c r="G14" s="48">
        <f t="shared" si="2"/>
        <v>0.42206397731159495</v>
      </c>
      <c r="H14" s="48">
        <f t="shared" si="2"/>
        <v>0.42523896783626758</v>
      </c>
      <c r="I14" s="48">
        <f t="shared" si="2"/>
        <v>0.42843784233439841</v>
      </c>
      <c r="J14" s="48">
        <f t="shared" si="2"/>
        <v>0.43166078047398443</v>
      </c>
      <c r="K14" s="48">
        <f t="shared" si="2"/>
        <v>0.43490796327458126</v>
      </c>
      <c r="L14" s="48">
        <f t="shared" si="3"/>
        <v>0.43490796327458126</v>
      </c>
      <c r="M14" s="48">
        <f t="shared" si="3"/>
        <v>0.43490796327458126</v>
      </c>
    </row>
    <row r="15" spans="1:13">
      <c r="A15" s="3" t="s">
        <v>25</v>
      </c>
      <c r="B15" s="48">
        <v>0.43203171114733968</v>
      </c>
      <c r="C15" s="48">
        <v>0.4</v>
      </c>
      <c r="D15" s="48">
        <v>0.52226710952004374</v>
      </c>
      <c r="E15" s="49">
        <f t="shared" si="1"/>
        <v>0.43203171114733968</v>
      </c>
      <c r="F15" s="48">
        <f t="shared" si="2"/>
        <v>0.43528168428645514</v>
      </c>
      <c r="G15" s="48">
        <f t="shared" si="2"/>
        <v>0.43855610545827844</v>
      </c>
      <c r="H15" s="48">
        <f t="shared" si="2"/>
        <v>0.4418551585739614</v>
      </c>
      <c r="I15" s="48">
        <f t="shared" si="2"/>
        <v>0.44517902892813371</v>
      </c>
      <c r="J15" s="48">
        <f t="shared" si="2"/>
        <v>0.44852790320931002</v>
      </c>
      <c r="K15" s="48">
        <f t="shared" si="2"/>
        <v>0.45190196951037581</v>
      </c>
      <c r="L15" s="48">
        <f t="shared" si="3"/>
        <v>0.45190196951037581</v>
      </c>
      <c r="M15" s="48">
        <f t="shared" si="3"/>
        <v>0.45190196951037581</v>
      </c>
    </row>
    <row r="16" spans="1:13">
      <c r="A16" s="3" t="s">
        <v>26</v>
      </c>
      <c r="B16" s="48">
        <v>0.44713832963183447</v>
      </c>
      <c r="C16" s="48">
        <v>0.4</v>
      </c>
      <c r="D16" s="48">
        <v>0.52226710952004374</v>
      </c>
      <c r="E16" s="49">
        <f t="shared" si="1"/>
        <v>0.44713832963183447</v>
      </c>
      <c r="F16" s="48">
        <f t="shared" si="2"/>
        <v>0.45050194281873041</v>
      </c>
      <c r="G16" s="48">
        <f t="shared" si="2"/>
        <v>0.45389085889943187</v>
      </c>
      <c r="H16" s="48">
        <f t="shared" si="2"/>
        <v>0.45730526821581213</v>
      </c>
      <c r="I16" s="48">
        <f t="shared" si="2"/>
        <v>0.46074536254159765</v>
      </c>
      <c r="J16" s="48">
        <f t="shared" si="2"/>
        <v>0.46421133509313917</v>
      </c>
      <c r="K16" s="48">
        <f t="shared" si="2"/>
        <v>0.467703380540264</v>
      </c>
      <c r="L16" s="48">
        <f t="shared" si="3"/>
        <v>0.467703380540264</v>
      </c>
      <c r="M16" s="48">
        <f t="shared" si="3"/>
        <v>0.467703380540264</v>
      </c>
    </row>
    <row r="17" spans="1:13">
      <c r="A17" s="3" t="s">
        <v>27</v>
      </c>
      <c r="B17" s="48">
        <v>0.41797232642167065</v>
      </c>
      <c r="C17" s="48">
        <v>0.4</v>
      </c>
      <c r="D17" s="48">
        <v>0.52226710952004374</v>
      </c>
      <c r="E17" s="49">
        <f t="shared" si="1"/>
        <v>0.41797232642167065</v>
      </c>
      <c r="F17" s="48">
        <f t="shared" si="2"/>
        <v>0.42111653736432703</v>
      </c>
      <c r="G17" s="48">
        <f t="shared" si="2"/>
        <v>0.42428440073999624</v>
      </c>
      <c r="H17" s="48">
        <f t="shared" si="2"/>
        <v>0.42747609447490453</v>
      </c>
      <c r="I17" s="48">
        <f t="shared" si="2"/>
        <v>0.43069179783373418</v>
      </c>
      <c r="J17" s="48">
        <f t="shared" si="2"/>
        <v>0.43393169142969201</v>
      </c>
      <c r="K17" s="48">
        <f t="shared" si="2"/>
        <v>0.43719595723465388</v>
      </c>
      <c r="L17" s="48">
        <f t="shared" si="3"/>
        <v>0.43719595723465388</v>
      </c>
      <c r="M17" s="48">
        <f t="shared" si="3"/>
        <v>0.43719595723465388</v>
      </c>
    </row>
    <row r="18" spans="1:13">
      <c r="A18" s="3" t="s">
        <v>28</v>
      </c>
      <c r="B18" s="48">
        <v>0.45705957358956006</v>
      </c>
      <c r="C18" s="48">
        <v>0.4</v>
      </c>
      <c r="D18" s="48">
        <v>0.52226710952004374</v>
      </c>
      <c r="E18" s="49">
        <f t="shared" si="1"/>
        <v>0.45705957358956006</v>
      </c>
      <c r="F18" s="48">
        <f t="shared" si="2"/>
        <v>0.46049781966922115</v>
      </c>
      <c r="G18" s="48">
        <f t="shared" si="2"/>
        <v>0.46396193007114439</v>
      </c>
      <c r="H18" s="48">
        <f t="shared" si="2"/>
        <v>0.46745209936056753</v>
      </c>
      <c r="I18" s="48">
        <f t="shared" si="2"/>
        <v>0.47096852356635194</v>
      </c>
      <c r="J18" s="48">
        <f t="shared" si="2"/>
        <v>0.47451140019199273</v>
      </c>
      <c r="K18" s="48">
        <f t="shared" si="2"/>
        <v>0.47808092822671167</v>
      </c>
      <c r="L18" s="48">
        <f t="shared" si="3"/>
        <v>0.47808092822671167</v>
      </c>
      <c r="M18" s="48">
        <f t="shared" si="3"/>
        <v>0.47808092822671167</v>
      </c>
    </row>
    <row r="19" spans="1:13">
      <c r="A19" s="3" t="s">
        <v>29</v>
      </c>
      <c r="B19" s="48">
        <v>0.42189509908615891</v>
      </c>
      <c r="C19" s="48">
        <v>0.4</v>
      </c>
      <c r="D19" s="48">
        <v>0.52226710952004374</v>
      </c>
      <c r="E19" s="49">
        <f t="shared" si="1"/>
        <v>0.42189509908615891</v>
      </c>
      <c r="F19" s="48">
        <f t="shared" ref="F19:K32" si="4">E19*1.0015^5</f>
        <v>0.42506881921867679</v>
      </c>
      <c r="G19" s="48">
        <f t="shared" si="4"/>
        <v>0.42826641376808494</v>
      </c>
      <c r="H19" s="48">
        <f t="shared" si="4"/>
        <v>0.43148806233049081</v>
      </c>
      <c r="I19" s="48">
        <f t="shared" si="4"/>
        <v>0.43473394585301955</v>
      </c>
      <c r="J19" s="48">
        <f t="shared" si="4"/>
        <v>0.4380042466439773</v>
      </c>
      <c r="K19" s="48">
        <f t="shared" si="4"/>
        <v>0.44129914838309048</v>
      </c>
      <c r="L19" s="48">
        <f t="shared" ref="L19:M32" si="5">K19</f>
        <v>0.44129914838309048</v>
      </c>
      <c r="M19" s="48">
        <f t="shared" si="5"/>
        <v>0.44129914838309048</v>
      </c>
    </row>
    <row r="20" spans="1:13">
      <c r="A20" s="3" t="s">
        <v>30</v>
      </c>
      <c r="B20" s="48">
        <v>0.40651893592167998</v>
      </c>
      <c r="C20" s="48">
        <v>0.4</v>
      </c>
      <c r="D20" s="48">
        <v>0.52226710952004374</v>
      </c>
      <c r="E20" s="49">
        <f t="shared" si="1"/>
        <v>0.40651893592167998</v>
      </c>
      <c r="F20" s="48">
        <f t="shared" si="4"/>
        <v>0.4095769883474582</v>
      </c>
      <c r="G20" s="48">
        <f t="shared" si="4"/>
        <v>0.41265804507589604</v>
      </c>
      <c r="H20" s="48">
        <f t="shared" si="4"/>
        <v>0.41576227915763725</v>
      </c>
      <c r="I20" s="48">
        <f t="shared" si="4"/>
        <v>0.41888986494510488</v>
      </c>
      <c r="J20" s="48">
        <f t="shared" si="4"/>
        <v>0.42204097810229396</v>
      </c>
      <c r="K20" s="48">
        <f t="shared" si="4"/>
        <v>0.42521579561463785</v>
      </c>
      <c r="L20" s="48">
        <f t="shared" si="5"/>
        <v>0.42521579561463785</v>
      </c>
      <c r="M20" s="48">
        <f t="shared" si="5"/>
        <v>0.42521579561463785</v>
      </c>
    </row>
    <row r="21" spans="1:13">
      <c r="A21" s="3" t="s">
        <v>31</v>
      </c>
      <c r="B21" s="48">
        <v>0.37391126343149911</v>
      </c>
      <c r="C21" s="48">
        <v>0.4</v>
      </c>
      <c r="D21" s="48">
        <v>0.52226710952004374</v>
      </c>
      <c r="E21" s="49">
        <f t="shared" si="1"/>
        <v>0.37391126343149911</v>
      </c>
      <c r="F21" s="48">
        <f t="shared" si="4"/>
        <v>0.37672402353963536</v>
      </c>
      <c r="G21" s="48">
        <f t="shared" si="4"/>
        <v>0.37955794273068694</v>
      </c>
      <c r="H21" s="48">
        <f t="shared" si="4"/>
        <v>0.38241318017456977</v>
      </c>
      <c r="I21" s="48">
        <f t="shared" si="4"/>
        <v>0.38528989623856075</v>
      </c>
      <c r="J21" s="48">
        <f t="shared" si="4"/>
        <v>0.38818825249630512</v>
      </c>
      <c r="K21" s="48">
        <f t="shared" si="4"/>
        <v>0.39110841173689126</v>
      </c>
      <c r="L21" s="48">
        <f t="shared" si="5"/>
        <v>0.39110841173689126</v>
      </c>
      <c r="M21" s="48">
        <f t="shared" si="5"/>
        <v>0.39110841173689126</v>
      </c>
    </row>
    <row r="22" spans="1:13">
      <c r="A22" s="3" t="s">
        <v>32</v>
      </c>
      <c r="B22" s="48">
        <v>0.37213398411537374</v>
      </c>
      <c r="C22" s="48">
        <v>0.4</v>
      </c>
      <c r="D22" s="48">
        <v>0.52226710952004374</v>
      </c>
      <c r="E22" s="49">
        <f t="shared" si="1"/>
        <v>0.37213398411537374</v>
      </c>
      <c r="F22" s="48">
        <f t="shared" si="4"/>
        <v>0.37493337457982628</v>
      </c>
      <c r="G22" s="48">
        <f t="shared" si="4"/>
        <v>0.37775382355359799</v>
      </c>
      <c r="H22" s="48">
        <f t="shared" si="4"/>
        <v>0.38059548945003646</v>
      </c>
      <c r="I22" s="48">
        <f t="shared" si="4"/>
        <v>0.38345853187415907</v>
      </c>
      <c r="J22" s="48">
        <f t="shared" si="4"/>
        <v>0.38634311163161728</v>
      </c>
      <c r="K22" s="48">
        <f t="shared" si="4"/>
        <v>0.38924939073772857</v>
      </c>
      <c r="L22" s="48">
        <f t="shared" si="5"/>
        <v>0.38924939073772857</v>
      </c>
      <c r="M22" s="48">
        <f t="shared" si="5"/>
        <v>0.38924939073772857</v>
      </c>
    </row>
    <row r="23" spans="1:13">
      <c r="A23" s="3" t="s">
        <v>33</v>
      </c>
      <c r="B23" s="48">
        <v>0.41085666315952818</v>
      </c>
      <c r="C23" s="48">
        <v>0.4</v>
      </c>
      <c r="D23" s="48">
        <v>0.52226710952004374</v>
      </c>
      <c r="E23" s="49">
        <f t="shared" si="1"/>
        <v>0.41085666315952818</v>
      </c>
      <c r="F23" s="48">
        <f t="shared" si="4"/>
        <v>0.41394734628496127</v>
      </c>
      <c r="G23" s="48">
        <f t="shared" si="4"/>
        <v>0.41706127917859426</v>
      </c>
      <c r="H23" s="48">
        <f t="shared" si="4"/>
        <v>0.42019863673759367</v>
      </c>
      <c r="I23" s="48">
        <f t="shared" si="4"/>
        <v>0.42335959517479588</v>
      </c>
      <c r="J23" s="48">
        <f t="shared" si="4"/>
        <v>0.42654433202860437</v>
      </c>
      <c r="K23" s="48">
        <f t="shared" si="4"/>
        <v>0.42975302617296113</v>
      </c>
      <c r="L23" s="48">
        <f t="shared" si="5"/>
        <v>0.42975302617296113</v>
      </c>
      <c r="M23" s="48">
        <f t="shared" si="5"/>
        <v>0.42975302617296113</v>
      </c>
    </row>
    <row r="24" spans="1:13">
      <c r="A24" s="3" t="s">
        <v>34</v>
      </c>
      <c r="B24" s="48">
        <v>0.37284998521361234</v>
      </c>
      <c r="C24" s="48">
        <v>0.4</v>
      </c>
      <c r="D24" s="48">
        <v>0.52226710952004374</v>
      </c>
      <c r="E24" s="49">
        <f t="shared" si="1"/>
        <v>0.37284998521361234</v>
      </c>
      <c r="F24" s="48">
        <f t="shared" si="4"/>
        <v>0.37565476182050955</v>
      </c>
      <c r="G24" s="48">
        <f t="shared" si="4"/>
        <v>0.37848063745416438</v>
      </c>
      <c r="H24" s="48">
        <f t="shared" si="4"/>
        <v>0.38132777083271824</v>
      </c>
      <c r="I24" s="48">
        <f t="shared" si="4"/>
        <v>0.38419632186827507</v>
      </c>
      <c r="J24" s="48">
        <f t="shared" si="4"/>
        <v>0.38708645167588313</v>
      </c>
      <c r="K24" s="48">
        <f t="shared" si="4"/>
        <v>0.38999832258258399</v>
      </c>
      <c r="L24" s="48">
        <f t="shared" si="5"/>
        <v>0.38999832258258399</v>
      </c>
      <c r="M24" s="48">
        <f t="shared" si="5"/>
        <v>0.38999832258258399</v>
      </c>
    </row>
    <row r="25" spans="1:13">
      <c r="A25" s="3" t="s">
        <v>35</v>
      </c>
      <c r="B25" s="48">
        <v>0.39597752375465828</v>
      </c>
      <c r="C25" s="48">
        <v>0.4</v>
      </c>
      <c r="D25" s="48">
        <v>0.52226710952004374</v>
      </c>
      <c r="E25" s="49">
        <f t="shared" si="1"/>
        <v>0.39597752375465828</v>
      </c>
      <c r="F25" s="48">
        <f t="shared" si="4"/>
        <v>0.39895627805137052</v>
      </c>
      <c r="G25" s="48">
        <f t="shared" si="4"/>
        <v>0.40195744012788814</v>
      </c>
      <c r="H25" s="48">
        <f t="shared" si="4"/>
        <v>0.4049811785474916</v>
      </c>
      <c r="I25" s="48">
        <f t="shared" si="4"/>
        <v>0.40802766314148425</v>
      </c>
      <c r="J25" s="48">
        <f t="shared" si="4"/>
        <v>0.41109706501873122</v>
      </c>
      <c r="K25" s="48">
        <f t="shared" si="4"/>
        <v>0.41418955657526979</v>
      </c>
      <c r="L25" s="48">
        <f t="shared" si="5"/>
        <v>0.41418955657526979</v>
      </c>
      <c r="M25" s="48">
        <f t="shared" si="5"/>
        <v>0.41418955657526979</v>
      </c>
    </row>
    <row r="26" spans="1:13">
      <c r="A26" s="3" t="s">
        <v>36</v>
      </c>
      <c r="B26" s="48">
        <v>0.26418407219721951</v>
      </c>
      <c r="C26" s="48">
        <v>0.4</v>
      </c>
      <c r="D26" s="48">
        <v>0.52226710952004374</v>
      </c>
      <c r="E26" s="49">
        <f t="shared" si="1"/>
        <v>0.26418407219721951</v>
      </c>
      <c r="F26" s="48">
        <f t="shared" si="4"/>
        <v>0.26617140580322485</v>
      </c>
      <c r="G26" s="48">
        <f t="shared" si="4"/>
        <v>0.26817368919340417</v>
      </c>
      <c r="H26" s="48">
        <f t="shared" si="4"/>
        <v>0.27019103482801388</v>
      </c>
      <c r="I26" s="48">
        <f t="shared" si="4"/>
        <v>0.27222355601329645</v>
      </c>
      <c r="J26" s="48">
        <f t="shared" si="4"/>
        <v>0.27427136690784437</v>
      </c>
      <c r="K26" s="48">
        <f t="shared" si="4"/>
        <v>0.276334582529012</v>
      </c>
      <c r="L26" s="48">
        <f t="shared" si="5"/>
        <v>0.276334582529012</v>
      </c>
      <c r="M26" s="48">
        <f t="shared" si="5"/>
        <v>0.276334582529012</v>
      </c>
    </row>
    <row r="27" spans="1:13">
      <c r="A27" s="3" t="s">
        <v>37</v>
      </c>
      <c r="B27" s="48">
        <v>0.46786556657967421</v>
      </c>
      <c r="C27" s="48">
        <v>0.4</v>
      </c>
      <c r="D27" s="48">
        <v>0.52226710952004374</v>
      </c>
      <c r="E27" s="49">
        <f t="shared" si="1"/>
        <v>0.46786556657967421</v>
      </c>
      <c r="F27" s="48">
        <f t="shared" si="4"/>
        <v>0.47138510110657933</v>
      </c>
      <c r="G27" s="48">
        <f t="shared" si="4"/>
        <v>0.4749311114508365</v>
      </c>
      <c r="H27" s="48">
        <f t="shared" si="4"/>
        <v>0.47850379677767596</v>
      </c>
      <c r="I27" s="48">
        <f t="shared" si="4"/>
        <v>0.48210335775055518</v>
      </c>
      <c r="J27" s="48">
        <f t="shared" si="4"/>
        <v>0.48572999654242921</v>
      </c>
      <c r="K27" s="48">
        <f t="shared" si="4"/>
        <v>0.48938391684710603</v>
      </c>
      <c r="L27" s="48">
        <f t="shared" si="5"/>
        <v>0.48938391684710603</v>
      </c>
      <c r="M27" s="48">
        <f t="shared" si="5"/>
        <v>0.48938391684710603</v>
      </c>
    </row>
    <row r="28" spans="1:13">
      <c r="A28" s="3" t="s">
        <v>38</v>
      </c>
      <c r="B28" s="48">
        <v>0.40177725374236706</v>
      </c>
      <c r="C28" s="48">
        <v>0.4</v>
      </c>
      <c r="D28" s="48">
        <v>0.52226710952004374</v>
      </c>
      <c r="E28" s="49">
        <f t="shared" si="1"/>
        <v>0.40177725374236706</v>
      </c>
      <c r="F28" s="48">
        <f t="shared" si="4"/>
        <v>0.40479963670379959</v>
      </c>
      <c r="G28" s="48">
        <f t="shared" si="4"/>
        <v>0.40784475564314143</v>
      </c>
      <c r="H28" s="48">
        <f t="shared" si="4"/>
        <v>0.41091278159255434</v>
      </c>
      <c r="I28" s="48">
        <f t="shared" si="4"/>
        <v>0.41400388687079531</v>
      </c>
      <c r="J28" s="48">
        <f t="shared" si="4"/>
        <v>0.41711824509289491</v>
      </c>
      <c r="K28" s="48">
        <f t="shared" si="4"/>
        <v>0.42025603117990867</v>
      </c>
      <c r="L28" s="48">
        <f t="shared" si="5"/>
        <v>0.42025603117990867</v>
      </c>
      <c r="M28" s="48">
        <f t="shared" si="5"/>
        <v>0.42025603117990867</v>
      </c>
    </row>
    <row r="29" spans="1:13">
      <c r="A29" s="3" t="s">
        <v>39</v>
      </c>
      <c r="B29" s="48">
        <v>0.39213574028816373</v>
      </c>
      <c r="C29" s="48">
        <v>0.4</v>
      </c>
      <c r="D29" s="48">
        <v>0.52226710952004374</v>
      </c>
      <c r="E29" s="49">
        <f t="shared" si="1"/>
        <v>0.39213574028816373</v>
      </c>
      <c r="F29" s="48">
        <f t="shared" si="4"/>
        <v>0.39508559463899179</v>
      </c>
      <c r="G29" s="48">
        <f t="shared" si="4"/>
        <v>0.39805763936880623</v>
      </c>
      <c r="H29" s="48">
        <f t="shared" si="4"/>
        <v>0.40105204140548245</v>
      </c>
      <c r="I29" s="48">
        <f t="shared" si="4"/>
        <v>0.40406896893261646</v>
      </c>
      <c r="J29" s="48">
        <f t="shared" si="4"/>
        <v>0.40710859139897104</v>
      </c>
      <c r="K29" s="48">
        <f t="shared" si="4"/>
        <v>0.41017107952799303</v>
      </c>
      <c r="L29" s="48">
        <f t="shared" si="5"/>
        <v>0.41017107952799303</v>
      </c>
      <c r="M29" s="48">
        <f t="shared" si="5"/>
        <v>0.41017107952799303</v>
      </c>
    </row>
    <row r="30" spans="1:13">
      <c r="A30" s="3" t="s">
        <v>40</v>
      </c>
      <c r="B30" s="48">
        <v>0.31706634246343302</v>
      </c>
      <c r="C30" s="48">
        <v>0.4</v>
      </c>
      <c r="D30" s="48">
        <v>0.52226710952004374</v>
      </c>
      <c r="E30" s="49">
        <f t="shared" si="1"/>
        <v>0.31706634246343302</v>
      </c>
      <c r="F30" s="48">
        <f t="shared" si="4"/>
        <v>0.31945148473363155</v>
      </c>
      <c r="G30" s="48">
        <f t="shared" si="4"/>
        <v>0.32185456931711665</v>
      </c>
      <c r="H30" s="48">
        <f t="shared" si="4"/>
        <v>0.32427573118554592</v>
      </c>
      <c r="I30" s="48">
        <f t="shared" si="4"/>
        <v>0.326715106325906</v>
      </c>
      <c r="J30" s="48">
        <f t="shared" si="4"/>
        <v>0.3291728317481501</v>
      </c>
      <c r="K30" s="48">
        <f t="shared" si="4"/>
        <v>0.33164904549289348</v>
      </c>
      <c r="L30" s="48">
        <f t="shared" si="5"/>
        <v>0.33164904549289348</v>
      </c>
      <c r="M30" s="48">
        <f t="shared" si="5"/>
        <v>0.33164904549289348</v>
      </c>
    </row>
    <row r="31" spans="1:13">
      <c r="A31" s="3" t="s">
        <v>136</v>
      </c>
      <c r="B31" s="48">
        <v>0.37158870255761156</v>
      </c>
      <c r="C31" s="48">
        <v>0.4</v>
      </c>
      <c r="D31" s="48">
        <v>0.52226710952004374</v>
      </c>
      <c r="E31" s="49">
        <f t="shared" si="1"/>
        <v>0.37158870255761156</v>
      </c>
      <c r="F31" s="48">
        <f t="shared" si="4"/>
        <v>0.37438399112312876</v>
      </c>
      <c r="G31" s="48">
        <f t="shared" si="4"/>
        <v>0.37720030734129184</v>
      </c>
      <c r="H31" s="48">
        <f t="shared" si="4"/>
        <v>0.38003780939332804</v>
      </c>
      <c r="I31" s="48">
        <f t="shared" si="4"/>
        <v>0.38289665665038825</v>
      </c>
      <c r="J31" s="48">
        <f t="shared" si="4"/>
        <v>0.38577700968249812</v>
      </c>
      <c r="K31" s="48">
        <f t="shared" si="4"/>
        <v>0.38867903026757689</v>
      </c>
      <c r="L31" s="48">
        <f t="shared" si="5"/>
        <v>0.38867903026757689</v>
      </c>
      <c r="M31" s="48">
        <f t="shared" si="5"/>
        <v>0.38867903026757689</v>
      </c>
    </row>
    <row r="32" spans="1:13">
      <c r="A32" s="3" t="s">
        <v>42</v>
      </c>
      <c r="B32" s="48">
        <v>0.41499999999999998</v>
      </c>
      <c r="C32" s="48">
        <v>0.4</v>
      </c>
      <c r="D32" s="48">
        <v>0.52</v>
      </c>
      <c r="E32" s="49">
        <f t="shared" si="1"/>
        <v>0.41499999999999998</v>
      </c>
      <c r="F32" s="48">
        <f t="shared" si="4"/>
        <v>0.41812185151675807</v>
      </c>
      <c r="G32" s="48">
        <f t="shared" si="4"/>
        <v>0.42126718726699247</v>
      </c>
      <c r="H32" s="48">
        <f t="shared" si="4"/>
        <v>0.42443618391164273</v>
      </c>
      <c r="I32" s="48">
        <f t="shared" si="4"/>
        <v>0.42762901944058629</v>
      </c>
      <c r="J32" s="48">
        <f t="shared" si="4"/>
        <v>0.43084587318263534</v>
      </c>
      <c r="K32" s="48">
        <f t="shared" si="4"/>
        <v>0.4340869258156092</v>
      </c>
      <c r="L32" s="48">
        <f t="shared" si="5"/>
        <v>0.4340869258156092</v>
      </c>
      <c r="M32" s="48">
        <f t="shared" si="5"/>
        <v>0.4340869258156092</v>
      </c>
    </row>
    <row r="35" spans="1:1">
      <c r="A35" s="44" t="s">
        <v>173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9F5-EF2D-403E-B772-B3B265F8EE3B}">
  <sheetPr>
    <tabColor rgb="FF92D050"/>
  </sheetPr>
  <dimension ref="A1:H34"/>
  <sheetViews>
    <sheetView workbookViewId="0">
      <selection activeCell="A2" sqref="A2:A31"/>
    </sheetView>
  </sheetViews>
  <sheetFormatPr baseColWidth="10" defaultColWidth="8.83203125" defaultRowHeight="15"/>
  <sheetData>
    <row r="1" spans="1:8">
      <c r="B1" t="s">
        <v>120</v>
      </c>
      <c r="C1" t="s">
        <v>121</v>
      </c>
      <c r="D1" t="s">
        <v>122</v>
      </c>
      <c r="E1" t="s">
        <v>137</v>
      </c>
      <c r="F1" t="s">
        <v>138</v>
      </c>
      <c r="G1" t="s">
        <v>139</v>
      </c>
      <c r="H1" t="s">
        <v>177</v>
      </c>
    </row>
    <row r="2" spans="1:8">
      <c r="A2" s="3" t="s">
        <v>12</v>
      </c>
      <c r="B2" s="45">
        <v>0.14825357291110713</v>
      </c>
      <c r="C2" s="45">
        <v>0.20755500207555</v>
      </c>
      <c r="D2" s="45">
        <v>0.45319634703196338</v>
      </c>
      <c r="E2" s="45">
        <v>0.12683916793505834</v>
      </c>
      <c r="F2" s="45">
        <v>0.24032684450853156</v>
      </c>
      <c r="G2" s="45">
        <v>0.11047282368537341</v>
      </c>
      <c r="H2" s="45">
        <v>0</v>
      </c>
    </row>
    <row r="3" spans="1:8">
      <c r="A3" s="3" t="s">
        <v>13</v>
      </c>
      <c r="B3" s="45">
        <v>0.47611092549281653</v>
      </c>
      <c r="C3" s="45">
        <v>0</v>
      </c>
      <c r="D3" s="45">
        <v>0.40043988620335169</v>
      </c>
      <c r="E3" s="45">
        <v>0.11415525114155249</v>
      </c>
      <c r="F3" s="45">
        <v>0.16116035455278002</v>
      </c>
      <c r="G3" s="45">
        <v>0.13225303485911571</v>
      </c>
      <c r="H3" s="45">
        <v>0</v>
      </c>
    </row>
    <row r="4" spans="1:8">
      <c r="A4" s="3" t="s">
        <v>14</v>
      </c>
      <c r="B4" s="45">
        <v>0.51268432661311136</v>
      </c>
      <c r="C4" s="45">
        <v>0</v>
      </c>
      <c r="D4" s="45">
        <v>9.7153405226853201E-2</v>
      </c>
      <c r="E4" s="45">
        <v>9.4083998193587218E-2</v>
      </c>
      <c r="F4" s="45">
        <v>0.18473673007955727</v>
      </c>
      <c r="G4" s="45">
        <v>0.10998519630533142</v>
      </c>
      <c r="H4" s="45">
        <v>0</v>
      </c>
    </row>
    <row r="5" spans="1:8">
      <c r="A5" s="3" t="s">
        <v>15</v>
      </c>
      <c r="B5" s="45">
        <v>0.49613698484321556</v>
      </c>
      <c r="C5" s="45">
        <v>0</v>
      </c>
      <c r="D5" s="45">
        <v>0.35427491733585253</v>
      </c>
      <c r="E5" s="45">
        <v>0.24059626922210614</v>
      </c>
      <c r="F5" s="45">
        <v>0.15382622494251755</v>
      </c>
      <c r="G5" s="45">
        <v>0.13866069466391784</v>
      </c>
      <c r="H5" s="45">
        <v>0</v>
      </c>
    </row>
    <row r="6" spans="1:8">
      <c r="A6" s="3" t="s">
        <v>16</v>
      </c>
      <c r="B6" s="45">
        <v>0.57988933375588259</v>
      </c>
      <c r="C6" s="45">
        <v>0</v>
      </c>
      <c r="D6" s="45">
        <v>0.43810934221893116</v>
      </c>
      <c r="E6" s="45">
        <v>0.2688780708705989</v>
      </c>
      <c r="F6" s="45">
        <v>0.21890309648380119</v>
      </c>
      <c r="G6" s="45">
        <v>0.17349383358619133</v>
      </c>
      <c r="H6" s="45">
        <v>0</v>
      </c>
    </row>
    <row r="7" spans="1:8">
      <c r="A7" s="3" t="s">
        <v>17</v>
      </c>
      <c r="B7" s="45">
        <v>0.43717644049637139</v>
      </c>
      <c r="C7" s="45">
        <v>0.30441400304414001</v>
      </c>
      <c r="D7" s="45">
        <v>0.57077625570776269</v>
      </c>
      <c r="E7" s="45">
        <v>0.13848341941762107</v>
      </c>
      <c r="F7" s="45">
        <v>0.22575044568258093</v>
      </c>
      <c r="G7" s="45">
        <v>0.14554794520547945</v>
      </c>
      <c r="H7" s="46">
        <v>0.83413257008213515</v>
      </c>
    </row>
    <row r="8" spans="1:8">
      <c r="A8" s="3" t="s">
        <v>18</v>
      </c>
      <c r="B8" s="45">
        <v>0.44594982702152941</v>
      </c>
      <c r="C8" s="45">
        <v>0</v>
      </c>
      <c r="D8" s="45">
        <v>0.11415525114155249</v>
      </c>
      <c r="E8" s="45">
        <v>0.21040379622168501</v>
      </c>
      <c r="F8" s="45">
        <v>0.25719553983365379</v>
      </c>
      <c r="G8" s="45">
        <v>0.15198184323579475</v>
      </c>
      <c r="H8" s="45">
        <v>0</v>
      </c>
    </row>
    <row r="9" spans="1:8">
      <c r="A9" s="3" t="s">
        <v>19</v>
      </c>
      <c r="B9" s="45">
        <v>0.41870625418706253</v>
      </c>
      <c r="C9" s="45">
        <v>0</v>
      </c>
      <c r="D9" s="45">
        <v>0.2446183953033268</v>
      </c>
      <c r="E9" s="45">
        <v>0.33513468225042936</v>
      </c>
      <c r="F9" s="45">
        <v>0.23463397100523184</v>
      </c>
      <c r="G9" s="45">
        <v>0.15436087418511815</v>
      </c>
      <c r="H9" s="45">
        <v>0</v>
      </c>
    </row>
    <row r="10" spans="1:8">
      <c r="A10" s="3" t="s">
        <v>20</v>
      </c>
      <c r="B10" s="45">
        <v>0.47045339851278967</v>
      </c>
      <c r="C10" s="45">
        <v>1.871397559697582E-2</v>
      </c>
      <c r="D10" s="45">
        <v>0.22652216936704936</v>
      </c>
      <c r="E10" s="45">
        <v>0</v>
      </c>
      <c r="F10" s="45">
        <v>0.26450606971823143</v>
      </c>
      <c r="G10" s="45">
        <v>8.3325000833250007E-2</v>
      </c>
      <c r="H10" s="45">
        <v>0</v>
      </c>
    </row>
    <row r="11" spans="1:8">
      <c r="A11" s="3" t="s">
        <v>21</v>
      </c>
      <c r="B11" s="45">
        <v>0.51449848071625104</v>
      </c>
      <c r="C11" s="45">
        <v>0</v>
      </c>
      <c r="D11" s="45">
        <v>0.32030620467365029</v>
      </c>
      <c r="E11" s="45">
        <v>0.13784785043508227</v>
      </c>
      <c r="F11" s="45">
        <v>0.16898223989279587</v>
      </c>
      <c r="G11" s="45">
        <v>0.11320621698716904</v>
      </c>
      <c r="H11" s="46">
        <v>0.73816237076960178</v>
      </c>
    </row>
    <row r="12" spans="1:8">
      <c r="A12" s="3" t="s">
        <v>22</v>
      </c>
      <c r="B12" s="45">
        <v>0.50644647087282268</v>
      </c>
      <c r="C12" s="45">
        <v>1.7123287671232872E-2</v>
      </c>
      <c r="D12" s="45">
        <v>0.14744299473908923</v>
      </c>
      <c r="E12" s="45">
        <v>0.2037442142492269</v>
      </c>
      <c r="F12" s="45">
        <v>0.22094564737074676</v>
      </c>
      <c r="G12" s="45">
        <v>9.8578364532256935E-2</v>
      </c>
      <c r="H12" s="46">
        <v>0.89219032725340708</v>
      </c>
    </row>
    <row r="13" spans="1:8">
      <c r="A13" s="3" t="s">
        <v>23</v>
      </c>
      <c r="B13" s="45">
        <v>0.51362094330459362</v>
      </c>
      <c r="C13" s="45">
        <v>0</v>
      </c>
      <c r="D13" s="45">
        <v>0.2446183953033268</v>
      </c>
      <c r="E13" s="45">
        <v>0.15895034969076929</v>
      </c>
      <c r="F13" s="45">
        <v>0.15793323580263333</v>
      </c>
      <c r="G13" s="45">
        <v>0.108322501083225</v>
      </c>
      <c r="H13" s="45">
        <v>0</v>
      </c>
    </row>
    <row r="14" spans="1:8">
      <c r="A14" s="3" t="s">
        <v>24</v>
      </c>
      <c r="B14" s="45">
        <v>0.55043412500119648</v>
      </c>
      <c r="C14" s="45">
        <v>0</v>
      </c>
      <c r="D14" s="45">
        <v>0.18685258498873042</v>
      </c>
      <c r="E14" s="45">
        <v>0.25043826696719257</v>
      </c>
      <c r="F14" s="45">
        <v>0.4</v>
      </c>
      <c r="G14" s="45">
        <v>0.10737375107373752</v>
      </c>
      <c r="H14" s="46">
        <v>0.85452610498613357</v>
      </c>
    </row>
    <row r="15" spans="1:8">
      <c r="A15" s="3" t="s">
        <v>25</v>
      </c>
      <c r="B15" s="45">
        <v>0.56522395750048859</v>
      </c>
      <c r="C15" s="45">
        <v>0</v>
      </c>
      <c r="D15" s="45">
        <v>0.32615786040443567</v>
      </c>
      <c r="E15" s="45">
        <v>0.25079562750795625</v>
      </c>
      <c r="F15" s="45">
        <v>0.15892201629510247</v>
      </c>
      <c r="G15" s="45">
        <v>9.1206515087322873E-2</v>
      </c>
      <c r="H15" s="45">
        <v>0</v>
      </c>
    </row>
    <row r="16" spans="1:8">
      <c r="A16" s="3" t="s">
        <v>26</v>
      </c>
      <c r="B16" s="45">
        <v>0.52641024107196266</v>
      </c>
      <c r="C16" s="45">
        <v>0</v>
      </c>
      <c r="D16" s="45">
        <v>0.311332503113325</v>
      </c>
      <c r="E16" s="45">
        <v>9.5129375951293754E-2</v>
      </c>
      <c r="F16" s="45">
        <v>0.16471426209282505</v>
      </c>
      <c r="G16" s="45">
        <v>0.10350344073573861</v>
      </c>
      <c r="H16" s="46">
        <v>0.87214611872146119</v>
      </c>
    </row>
    <row r="17" spans="1:8">
      <c r="A17" s="3" t="s">
        <v>27</v>
      </c>
      <c r="B17" s="45">
        <v>0.40505565816965566</v>
      </c>
      <c r="C17" s="45">
        <v>0</v>
      </c>
      <c r="D17" s="45">
        <v>9.623553148561112E-2</v>
      </c>
      <c r="E17" s="45">
        <v>0.3917091950935625</v>
      </c>
      <c r="F17" s="45">
        <v>0.10452951191486033</v>
      </c>
      <c r="G17" s="45">
        <v>0.10881181385407557</v>
      </c>
      <c r="H17" s="45">
        <v>0</v>
      </c>
    </row>
    <row r="18" spans="1:8">
      <c r="A18" s="3" t="s">
        <v>28</v>
      </c>
      <c r="B18" s="45">
        <v>0.4351403900310995</v>
      </c>
      <c r="C18" s="45">
        <v>0</v>
      </c>
      <c r="D18" s="45">
        <v>0.30577299412915843</v>
      </c>
      <c r="E18" s="45">
        <v>0.50043571634319128</v>
      </c>
      <c r="F18" s="45">
        <v>0.18646873692444832</v>
      </c>
      <c r="G18" s="45">
        <v>0.10630503329800735</v>
      </c>
      <c r="H18" s="45">
        <v>0</v>
      </c>
    </row>
    <row r="19" spans="1:8">
      <c r="A19" s="3" t="s">
        <v>29</v>
      </c>
      <c r="B19" s="45">
        <v>0.40044579204793618</v>
      </c>
      <c r="C19" s="45">
        <v>0.68493150684931503</v>
      </c>
      <c r="D19" s="45">
        <v>0.42808219178082191</v>
      </c>
      <c r="E19" s="45">
        <v>0.41445359996996295</v>
      </c>
      <c r="F19" s="45">
        <v>0.16892929541126606</v>
      </c>
      <c r="G19" s="45">
        <v>8.7587149213467386E-2</v>
      </c>
      <c r="H19" s="45">
        <v>0</v>
      </c>
    </row>
    <row r="20" spans="1:8">
      <c r="A20" s="3" t="s">
        <v>30</v>
      </c>
      <c r="B20" s="45">
        <v>0.43420381023327675</v>
      </c>
      <c r="C20" s="45">
        <v>0</v>
      </c>
      <c r="D20" s="45">
        <v>0.31799181605083804</v>
      </c>
      <c r="E20" s="45">
        <v>0.19596879847829543</v>
      </c>
      <c r="F20" s="45">
        <v>0.20810603305451164</v>
      </c>
      <c r="G20" s="45">
        <v>0.10599107383280909</v>
      </c>
      <c r="H20" s="46">
        <v>0.82135750232611848</v>
      </c>
    </row>
    <row r="21" spans="1:8">
      <c r="A21" s="3" t="s">
        <v>31</v>
      </c>
      <c r="B21" s="45">
        <v>0.53116886625843418</v>
      </c>
      <c r="C21" s="45">
        <v>0</v>
      </c>
      <c r="D21" s="45">
        <v>0.19025875190258748</v>
      </c>
      <c r="E21" s="45">
        <v>0.39912154321804888</v>
      </c>
      <c r="F21" s="45">
        <v>0.18530561441048338</v>
      </c>
      <c r="G21" s="45">
        <v>9.4665330214945997E-2</v>
      </c>
      <c r="H21" s="46">
        <v>0.88296879336007472</v>
      </c>
    </row>
    <row r="22" spans="1:8">
      <c r="A22" s="3" t="s">
        <v>32</v>
      </c>
      <c r="B22" s="45">
        <v>0.56372963526692588</v>
      </c>
      <c r="C22" s="45">
        <v>0</v>
      </c>
      <c r="D22" s="45">
        <v>0.18913296047121125</v>
      </c>
      <c r="E22" s="45">
        <v>0.12851915691433063</v>
      </c>
      <c r="F22" s="45">
        <v>0.23618327822390175</v>
      </c>
      <c r="G22" s="45">
        <v>0.11974327042820192</v>
      </c>
      <c r="H22" s="46">
        <v>0.84299262381454165</v>
      </c>
    </row>
    <row r="23" spans="1:8">
      <c r="A23" s="3" t="s">
        <v>33</v>
      </c>
      <c r="B23" s="45">
        <v>0.39340184366313807</v>
      </c>
      <c r="C23" s="45">
        <v>0</v>
      </c>
      <c r="D23" s="45">
        <v>0.321779902546658</v>
      </c>
      <c r="E23" s="45">
        <v>0.41177953235913034</v>
      </c>
      <c r="F23" s="45">
        <v>0.16476015628677682</v>
      </c>
      <c r="G23" s="45">
        <v>6.8152388741225381E-2</v>
      </c>
      <c r="H23" s="45">
        <v>0</v>
      </c>
    </row>
    <row r="24" spans="1:8">
      <c r="A24" s="3" t="s">
        <v>34</v>
      </c>
      <c r="B24" s="45">
        <v>0.34001687840016881</v>
      </c>
      <c r="C24" s="45">
        <v>0</v>
      </c>
      <c r="D24" s="45">
        <v>0.23187785388127849</v>
      </c>
      <c r="E24" s="45">
        <v>0.51219430346203421</v>
      </c>
      <c r="F24" s="45">
        <v>0.23045426286792287</v>
      </c>
      <c r="G24" s="45">
        <v>0.16137129742523126</v>
      </c>
      <c r="H24" s="45">
        <v>0</v>
      </c>
    </row>
    <row r="25" spans="1:8">
      <c r="A25" s="3" t="s">
        <v>35</v>
      </c>
      <c r="B25" s="45">
        <v>0.43536292090018441</v>
      </c>
      <c r="C25" s="45">
        <v>0</v>
      </c>
      <c r="D25" s="45">
        <v>0.38731245923026741</v>
      </c>
      <c r="E25" s="45">
        <v>0.41588344453586201</v>
      </c>
      <c r="F25" s="45">
        <v>0.19091481656432058</v>
      </c>
      <c r="G25" s="45">
        <v>4.8599681186091419E-2</v>
      </c>
      <c r="H25" s="45">
        <v>0</v>
      </c>
    </row>
    <row r="26" spans="1:8">
      <c r="A26" s="3" t="s">
        <v>36</v>
      </c>
      <c r="B26" s="45">
        <v>0.27967157059332587</v>
      </c>
      <c r="C26" s="45">
        <v>0</v>
      </c>
      <c r="D26" s="45">
        <v>0.19025875190258751</v>
      </c>
      <c r="E26" s="45">
        <v>0.45173735745855004</v>
      </c>
      <c r="F26" s="45">
        <v>0.32393658099191969</v>
      </c>
      <c r="G26" s="45">
        <v>0.14710728239890788</v>
      </c>
      <c r="H26" s="45">
        <v>0</v>
      </c>
    </row>
    <row r="27" spans="1:8">
      <c r="A27" s="3" t="s">
        <v>37</v>
      </c>
      <c r="B27" s="45">
        <v>0.47261423186540402</v>
      </c>
      <c r="C27" s="45">
        <v>0</v>
      </c>
      <c r="D27" s="45">
        <v>0.4151100041511</v>
      </c>
      <c r="E27" s="45">
        <v>0.37275184046221221</v>
      </c>
      <c r="F27" s="45">
        <v>0.12157790200053235</v>
      </c>
      <c r="G27" s="45">
        <v>0.12474265276257802</v>
      </c>
      <c r="H27" s="45">
        <v>0</v>
      </c>
    </row>
    <row r="28" spans="1:8">
      <c r="A28" s="3" t="s">
        <v>38</v>
      </c>
      <c r="B28" s="45">
        <v>0.44662863510289103</v>
      </c>
      <c r="C28" s="45">
        <v>0</v>
      </c>
      <c r="D28" s="45">
        <v>0.28899999999999998</v>
      </c>
      <c r="E28" s="45">
        <v>0.60477233363393024</v>
      </c>
      <c r="F28" s="45">
        <v>0.20453162258428201</v>
      </c>
      <c r="G28" s="45">
        <v>0.15460945419375235</v>
      </c>
      <c r="H28" s="45">
        <v>0</v>
      </c>
    </row>
    <row r="29" spans="1:8">
      <c r="A29" s="3" t="s">
        <v>39</v>
      </c>
      <c r="B29" s="45">
        <v>0.30441400304414001</v>
      </c>
      <c r="C29" s="45">
        <v>0</v>
      </c>
      <c r="D29" s="45">
        <v>0.22831050228310498</v>
      </c>
      <c r="E29" s="45">
        <v>0.5731684445414077</v>
      </c>
      <c r="F29" s="45">
        <v>0.11104069506058488</v>
      </c>
      <c r="G29" s="45">
        <v>0.11907512142810285</v>
      </c>
      <c r="H29" s="45">
        <v>0</v>
      </c>
    </row>
    <row r="30" spans="1:8">
      <c r="A30" s="3" t="s">
        <v>40</v>
      </c>
      <c r="B30" s="45">
        <v>0.49178489889106325</v>
      </c>
      <c r="C30" s="45">
        <v>0</v>
      </c>
      <c r="D30" s="45">
        <v>0.19569471624266147</v>
      </c>
      <c r="E30" s="45">
        <v>0.58405012211957097</v>
      </c>
      <c r="F30" s="45">
        <v>0.19844192402742999</v>
      </c>
      <c r="G30" s="45">
        <v>0.12970020179825514</v>
      </c>
      <c r="H30" s="45">
        <v>0</v>
      </c>
    </row>
    <row r="31" spans="1:8">
      <c r="A31" s="3" t="s">
        <v>41</v>
      </c>
      <c r="B31" s="45">
        <v>0.58209529068766286</v>
      </c>
      <c r="C31" s="45">
        <v>0</v>
      </c>
      <c r="D31" s="45">
        <v>0.24174053182916999</v>
      </c>
      <c r="E31" s="45">
        <v>0.38242009132420085</v>
      </c>
      <c r="F31" s="45">
        <v>0.20984065648214226</v>
      </c>
      <c r="G31" s="45">
        <v>0.14156693861946085</v>
      </c>
      <c r="H31" s="45">
        <v>0</v>
      </c>
    </row>
    <row r="32" spans="1:8">
      <c r="A32" s="3" t="s">
        <v>42</v>
      </c>
      <c r="B32" s="45">
        <v>0.49</v>
      </c>
      <c r="C32" s="45">
        <v>0.1</v>
      </c>
      <c r="D32" s="45">
        <v>0.28999999999999998</v>
      </c>
      <c r="E32" s="45">
        <v>0.42</v>
      </c>
      <c r="F32" s="45">
        <v>0.19</v>
      </c>
      <c r="G32" s="45">
        <v>0.12</v>
      </c>
      <c r="H32" s="45">
        <v>0.84</v>
      </c>
    </row>
    <row r="34" spans="1:1">
      <c r="A34" s="47" t="s">
        <v>176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6D4-1CC3-48ED-928B-421624E4B219}">
  <sheetPr>
    <tabColor rgb="FF92D050"/>
  </sheetPr>
  <dimension ref="A1:E32"/>
  <sheetViews>
    <sheetView zoomScale="130" zoomScaleNormal="130" workbookViewId="0">
      <selection activeCell="F18" sqref="F18"/>
    </sheetView>
  </sheetViews>
  <sheetFormatPr baseColWidth="10" defaultColWidth="8.83203125" defaultRowHeight="15"/>
  <sheetData>
    <row r="1" spans="1:5">
      <c r="B1" s="63" t="s">
        <v>178</v>
      </c>
      <c r="C1" s="63"/>
      <c r="D1" s="63" t="s">
        <v>179</v>
      </c>
      <c r="E1" s="63"/>
    </row>
    <row r="2" spans="1:5">
      <c r="B2" s="50" t="s">
        <v>180</v>
      </c>
      <c r="C2" s="50" t="s">
        <v>181</v>
      </c>
      <c r="D2" s="50" t="s">
        <v>180</v>
      </c>
      <c r="E2" s="50" t="s">
        <v>181</v>
      </c>
    </row>
    <row r="3" spans="1:5">
      <c r="A3" s="3" t="s">
        <v>12</v>
      </c>
      <c r="B3" s="52">
        <v>2.52</v>
      </c>
      <c r="C3" s="52">
        <v>2.8</v>
      </c>
      <c r="D3" s="53"/>
      <c r="E3" s="52"/>
    </row>
    <row r="4" spans="1:5">
      <c r="A4" s="3" t="s">
        <v>13</v>
      </c>
      <c r="B4" s="52">
        <v>7.2409999999999997</v>
      </c>
      <c r="C4" s="52">
        <v>8.6</v>
      </c>
      <c r="D4" s="53"/>
      <c r="E4" s="52"/>
    </row>
    <row r="5" spans="1:5">
      <c r="A5" s="3" t="s">
        <v>14</v>
      </c>
      <c r="B5" s="52">
        <v>72.024000000000001</v>
      </c>
      <c r="C5" s="52">
        <v>84.6</v>
      </c>
      <c r="D5" s="53"/>
      <c r="E5" s="52"/>
    </row>
    <row r="6" spans="1:5">
      <c r="A6" s="3" t="s">
        <v>15</v>
      </c>
      <c r="B6" s="52">
        <v>47.866</v>
      </c>
      <c r="C6" s="52">
        <v>52.7</v>
      </c>
      <c r="D6" s="53"/>
      <c r="E6" s="52"/>
    </row>
    <row r="7" spans="1:5">
      <c r="A7" s="3" t="s">
        <v>16</v>
      </c>
      <c r="B7" s="52">
        <v>48.109000000000002</v>
      </c>
      <c r="C7" s="52">
        <v>57</v>
      </c>
      <c r="D7" s="53"/>
      <c r="E7" s="52"/>
    </row>
    <row r="8" spans="1:5">
      <c r="A8" s="3" t="s">
        <v>17</v>
      </c>
      <c r="B8" s="52">
        <v>12.138999999999999</v>
      </c>
      <c r="C8" s="52">
        <v>14.2</v>
      </c>
      <c r="D8" s="53"/>
      <c r="E8" s="52"/>
    </row>
    <row r="9" spans="1:5">
      <c r="A9" s="3" t="s">
        <v>18</v>
      </c>
      <c r="B9" s="52">
        <v>8</v>
      </c>
      <c r="C9" s="52">
        <v>8.8000000000000007</v>
      </c>
      <c r="D9" s="53"/>
      <c r="E9" s="52"/>
    </row>
    <row r="10" spans="1:5">
      <c r="A10" s="3" t="s">
        <v>19</v>
      </c>
      <c r="B10" s="52">
        <v>8.68</v>
      </c>
      <c r="C10" s="52">
        <v>9.5</v>
      </c>
      <c r="D10" s="53"/>
      <c r="E10" s="52"/>
    </row>
    <row r="11" spans="1:5">
      <c r="A11" s="3" t="s">
        <v>20</v>
      </c>
      <c r="B11" s="52">
        <v>4.1139999999999999</v>
      </c>
      <c r="C11" s="52">
        <v>4.8</v>
      </c>
      <c r="D11" s="53"/>
      <c r="E11" s="52"/>
    </row>
    <row r="12" spans="1:5">
      <c r="A12" s="3" t="s">
        <v>21</v>
      </c>
      <c r="B12" s="52">
        <v>61.646999999999998</v>
      </c>
      <c r="C12" s="52">
        <v>72.8</v>
      </c>
      <c r="D12" s="53"/>
      <c r="E12" s="52"/>
    </row>
    <row r="13" spans="1:5">
      <c r="A13" s="3" t="s">
        <v>22</v>
      </c>
      <c r="B13" s="52">
        <v>47.274999999999999</v>
      </c>
      <c r="C13" s="52">
        <v>55.3</v>
      </c>
      <c r="D13" s="53"/>
      <c r="E13" s="52"/>
    </row>
    <row r="14" spans="1:5">
      <c r="A14" s="3" t="s">
        <v>23</v>
      </c>
      <c r="B14" s="52">
        <v>43.113</v>
      </c>
      <c r="C14" s="52">
        <v>50.5</v>
      </c>
      <c r="D14" s="53"/>
      <c r="E14" s="52"/>
    </row>
    <row r="15" spans="1:5">
      <c r="A15" s="3" t="s">
        <v>24</v>
      </c>
      <c r="B15" s="52">
        <v>12.583</v>
      </c>
      <c r="C15" s="52">
        <v>15.2</v>
      </c>
      <c r="D15" s="53"/>
      <c r="E15" s="52"/>
    </row>
    <row r="16" spans="1:5">
      <c r="A16" s="3" t="s">
        <v>25</v>
      </c>
      <c r="B16" s="52">
        <v>25.638999999999999</v>
      </c>
      <c r="C16" s="52">
        <v>30.1</v>
      </c>
      <c r="D16" s="53"/>
      <c r="E16" s="52"/>
    </row>
    <row r="17" spans="1:5">
      <c r="A17" s="3" t="s">
        <v>26</v>
      </c>
      <c r="B17" s="52">
        <v>76.134</v>
      </c>
      <c r="C17" s="52">
        <v>120</v>
      </c>
      <c r="D17" s="53"/>
      <c r="E17" s="52"/>
    </row>
    <row r="18" spans="1:5">
      <c r="A18" s="3" t="s">
        <v>27</v>
      </c>
      <c r="B18" s="52">
        <v>43.491</v>
      </c>
      <c r="C18" s="52">
        <v>51.4</v>
      </c>
      <c r="D18" s="53"/>
      <c r="E18" s="52"/>
    </row>
    <row r="19" spans="1:5">
      <c r="A19" s="3" t="s">
        <v>28</v>
      </c>
      <c r="B19" s="52">
        <v>35.1</v>
      </c>
      <c r="C19" s="52">
        <v>42.1</v>
      </c>
      <c r="D19" s="53"/>
      <c r="E19" s="52"/>
    </row>
    <row r="20" spans="1:5">
      <c r="A20" s="3" t="s">
        <v>29</v>
      </c>
      <c r="B20" s="52">
        <v>18.734000000000002</v>
      </c>
      <c r="C20" s="52">
        <v>22.4</v>
      </c>
      <c r="D20" s="53"/>
      <c r="E20" s="52"/>
    </row>
    <row r="21" spans="1:5">
      <c r="A21" s="3" t="s">
        <v>30</v>
      </c>
      <c r="B21" s="52">
        <v>41.155000000000001</v>
      </c>
      <c r="C21" s="52">
        <v>49.5</v>
      </c>
      <c r="D21" s="53"/>
      <c r="E21" s="52"/>
    </row>
    <row r="22" spans="1:5">
      <c r="A22" s="3" t="s">
        <v>31</v>
      </c>
      <c r="B22" s="52">
        <v>20.523</v>
      </c>
      <c r="C22" s="52">
        <v>25.1</v>
      </c>
      <c r="D22" s="53"/>
      <c r="E22" s="52"/>
    </row>
    <row r="23" spans="1:5">
      <c r="A23" s="3" t="s">
        <v>32</v>
      </c>
      <c r="B23" s="52">
        <v>7.4080000000000004</v>
      </c>
      <c r="C23" s="52">
        <v>8.9</v>
      </c>
      <c r="D23" s="53"/>
      <c r="E23" s="52"/>
    </row>
    <row r="24" spans="1:5">
      <c r="A24" s="3" t="s">
        <v>33</v>
      </c>
      <c r="B24" s="52">
        <v>3.0979999999999999</v>
      </c>
      <c r="C24" s="52">
        <v>3.7</v>
      </c>
      <c r="D24" s="53"/>
      <c r="E24" s="52"/>
    </row>
    <row r="25" spans="1:5">
      <c r="A25" s="3" t="s">
        <v>34</v>
      </c>
      <c r="B25" s="52">
        <v>10.823</v>
      </c>
      <c r="C25" s="52">
        <v>13.1</v>
      </c>
      <c r="D25" s="53"/>
      <c r="E25" s="52"/>
    </row>
    <row r="26" spans="1:5">
      <c r="A26" s="3" t="s">
        <v>35</v>
      </c>
      <c r="B26" s="52">
        <v>31</v>
      </c>
      <c r="C26" s="52">
        <v>34.1</v>
      </c>
      <c r="D26" s="53"/>
      <c r="E26" s="52"/>
    </row>
    <row r="27" spans="1:5">
      <c r="A27" s="3" t="s">
        <v>36</v>
      </c>
      <c r="B27" s="52">
        <v>53.98</v>
      </c>
      <c r="C27" s="52">
        <v>59.4</v>
      </c>
      <c r="D27" s="53"/>
      <c r="E27" s="52"/>
    </row>
    <row r="28" spans="1:5">
      <c r="A28" s="3" t="s">
        <v>37</v>
      </c>
      <c r="B28" s="52">
        <v>45.89</v>
      </c>
      <c r="C28" s="52">
        <v>50.5</v>
      </c>
      <c r="D28" s="53"/>
      <c r="E28" s="52"/>
    </row>
    <row r="29" spans="1:5">
      <c r="A29" s="3" t="s">
        <v>38</v>
      </c>
      <c r="B29" s="52">
        <v>41.69</v>
      </c>
      <c r="C29" s="52">
        <v>45.9</v>
      </c>
      <c r="D29" s="53"/>
      <c r="E29" s="52"/>
    </row>
    <row r="30" spans="1:5">
      <c r="A30" s="3" t="s">
        <v>39</v>
      </c>
      <c r="B30" s="52">
        <v>45.8</v>
      </c>
      <c r="C30" s="52">
        <v>50.4</v>
      </c>
      <c r="D30" s="53"/>
      <c r="E30" s="52"/>
    </row>
    <row r="31" spans="1:5">
      <c r="A31" s="3" t="s">
        <v>40</v>
      </c>
      <c r="B31" s="52">
        <v>32.5</v>
      </c>
      <c r="C31" s="52">
        <v>35.799999999999997</v>
      </c>
      <c r="D31" s="53"/>
      <c r="E31" s="52"/>
    </row>
    <row r="32" spans="1:5">
      <c r="A32" s="3" t="s">
        <v>41</v>
      </c>
      <c r="B32" s="52">
        <v>56.747999999999998</v>
      </c>
      <c r="C32" s="52">
        <v>67.8</v>
      </c>
      <c r="D32" s="53"/>
      <c r="E32" s="52"/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3188-FD05-4864-B187-B3D6C43DB474}">
  <sheetPr>
    <tabColor rgb="FF92D050"/>
  </sheetPr>
  <dimension ref="A1:J32"/>
  <sheetViews>
    <sheetView workbookViewId="0">
      <selection activeCell="O19" sqref="O19"/>
    </sheetView>
  </sheetViews>
  <sheetFormatPr baseColWidth="10" defaultColWidth="8.83203125" defaultRowHeight="15"/>
  <sheetData>
    <row r="1" spans="1:10">
      <c r="B1" s="63" t="s">
        <v>178</v>
      </c>
      <c r="C1" s="63"/>
      <c r="D1" s="63" t="s">
        <v>179</v>
      </c>
      <c r="E1" s="63"/>
    </row>
    <row r="2" spans="1:10">
      <c r="B2" s="50" t="s">
        <v>180</v>
      </c>
      <c r="C2" s="50" t="s">
        <v>181</v>
      </c>
      <c r="D2" s="50" t="s">
        <v>180</v>
      </c>
      <c r="E2" s="50" t="s">
        <v>181</v>
      </c>
      <c r="G2" s="64" t="s">
        <v>182</v>
      </c>
      <c r="H2" s="64"/>
      <c r="I2" s="64" t="s">
        <v>183</v>
      </c>
      <c r="J2" s="64"/>
    </row>
    <row r="3" spans="1:10">
      <c r="A3" s="3" t="s">
        <v>12</v>
      </c>
      <c r="B3" s="51">
        <f>J3</f>
        <v>0.24</v>
      </c>
      <c r="C3" s="51">
        <f>B3*1.2</f>
        <v>0.28799999999999998</v>
      </c>
      <c r="E3" s="51"/>
      <c r="G3" s="51">
        <v>19</v>
      </c>
      <c r="H3" s="51">
        <f>G3/100</f>
        <v>0.19</v>
      </c>
      <c r="I3" s="51">
        <v>24</v>
      </c>
      <c r="J3" s="51">
        <f>I3/100</f>
        <v>0.24</v>
      </c>
    </row>
    <row r="4" spans="1:10">
      <c r="A4" s="3" t="s">
        <v>13</v>
      </c>
      <c r="B4" s="51">
        <f t="shared" ref="B4:B32" si="0">J4</f>
        <v>2.19</v>
      </c>
      <c r="C4">
        <v>4</v>
      </c>
      <c r="E4" s="51"/>
      <c r="G4" s="51">
        <v>85</v>
      </c>
      <c r="H4" s="51">
        <f t="shared" ref="H4:J32" si="1">G4/100</f>
        <v>0.85</v>
      </c>
      <c r="I4" s="51">
        <v>219</v>
      </c>
      <c r="J4" s="51">
        <f t="shared" si="1"/>
        <v>2.19</v>
      </c>
    </row>
    <row r="5" spans="1:10">
      <c r="A5" s="3" t="s">
        <v>14</v>
      </c>
      <c r="B5" s="51">
        <f t="shared" si="0"/>
        <v>38.090000000000003</v>
      </c>
      <c r="C5" s="51">
        <f t="shared" ref="C5:C15" si="2">B5*1.2</f>
        <v>45.708000000000006</v>
      </c>
      <c r="E5" s="51"/>
      <c r="G5" s="51">
        <v>2274</v>
      </c>
      <c r="H5" s="51">
        <f t="shared" si="1"/>
        <v>22.74</v>
      </c>
      <c r="I5" s="51">
        <v>3809</v>
      </c>
      <c r="J5" s="51">
        <f t="shared" si="1"/>
        <v>38.090000000000003</v>
      </c>
    </row>
    <row r="6" spans="1:10">
      <c r="A6" s="3" t="s">
        <v>15</v>
      </c>
      <c r="B6" s="51">
        <f t="shared" si="0"/>
        <v>26.16</v>
      </c>
      <c r="C6" s="51">
        <f t="shared" si="2"/>
        <v>31.391999999999999</v>
      </c>
      <c r="E6" s="51"/>
      <c r="G6" s="51">
        <v>1974</v>
      </c>
      <c r="H6" s="51">
        <f t="shared" si="1"/>
        <v>19.739999999999998</v>
      </c>
      <c r="I6" s="51">
        <v>2616</v>
      </c>
      <c r="J6" s="51">
        <f t="shared" si="1"/>
        <v>26.16</v>
      </c>
    </row>
    <row r="7" spans="1:10">
      <c r="A7" s="3" t="s">
        <v>16</v>
      </c>
      <c r="B7" s="51">
        <f t="shared" si="0"/>
        <v>85.99</v>
      </c>
      <c r="C7" s="51">
        <f t="shared" si="2"/>
        <v>103.18799999999999</v>
      </c>
      <c r="E7" s="51"/>
      <c r="G7" s="51">
        <v>3786</v>
      </c>
      <c r="H7" s="51">
        <f t="shared" si="1"/>
        <v>37.86</v>
      </c>
      <c r="I7" s="51">
        <v>8599</v>
      </c>
      <c r="J7" s="51">
        <f t="shared" si="1"/>
        <v>85.99</v>
      </c>
    </row>
    <row r="8" spans="1:10">
      <c r="A8" s="3" t="s">
        <v>17</v>
      </c>
      <c r="B8" s="51">
        <f t="shared" si="0"/>
        <v>17.55</v>
      </c>
      <c r="C8" s="51">
        <f t="shared" si="2"/>
        <v>21.06</v>
      </c>
      <c r="E8" s="51"/>
      <c r="G8" s="51">
        <v>981</v>
      </c>
      <c r="H8" s="51">
        <f t="shared" si="1"/>
        <v>9.81</v>
      </c>
      <c r="I8" s="51">
        <v>1755</v>
      </c>
      <c r="J8" s="51">
        <f t="shared" si="1"/>
        <v>17.55</v>
      </c>
    </row>
    <row r="9" spans="1:10">
      <c r="A9" s="3" t="s">
        <v>18</v>
      </c>
      <c r="B9" s="51">
        <f t="shared" si="0"/>
        <v>15.73</v>
      </c>
      <c r="C9" s="51">
        <f t="shared" si="2"/>
        <v>18.876000000000001</v>
      </c>
      <c r="E9" s="51"/>
      <c r="G9" s="51">
        <v>577</v>
      </c>
      <c r="H9" s="51">
        <f t="shared" si="1"/>
        <v>5.77</v>
      </c>
      <c r="I9" s="51">
        <v>1573</v>
      </c>
      <c r="J9" s="51">
        <f t="shared" si="1"/>
        <v>15.73</v>
      </c>
    </row>
    <row r="10" spans="1:10">
      <c r="A10" s="3" t="s">
        <v>19</v>
      </c>
      <c r="B10" s="51">
        <f t="shared" si="0"/>
        <v>15.06</v>
      </c>
      <c r="C10" s="51">
        <f t="shared" si="2"/>
        <v>18.071999999999999</v>
      </c>
      <c r="E10" s="51"/>
      <c r="G10" s="51">
        <v>686</v>
      </c>
      <c r="H10" s="51">
        <f t="shared" si="1"/>
        <v>6.86</v>
      </c>
      <c r="I10" s="51">
        <v>1506</v>
      </c>
      <c r="J10" s="51">
        <f t="shared" si="1"/>
        <v>15.06</v>
      </c>
    </row>
    <row r="11" spans="1:10">
      <c r="A11" s="3" t="s">
        <v>20</v>
      </c>
      <c r="B11" s="51">
        <f t="shared" si="0"/>
        <v>1.07</v>
      </c>
      <c r="C11" s="51">
        <f t="shared" si="2"/>
        <v>1.284</v>
      </c>
      <c r="E11" s="51"/>
      <c r="G11" s="51">
        <v>82</v>
      </c>
      <c r="H11" s="51">
        <f t="shared" si="1"/>
        <v>0.82</v>
      </c>
      <c r="I11" s="51">
        <v>107</v>
      </c>
      <c r="J11" s="51">
        <f t="shared" si="1"/>
        <v>1.07</v>
      </c>
    </row>
    <row r="12" spans="1:10">
      <c r="A12" s="3" t="s">
        <v>21</v>
      </c>
      <c r="B12" s="51">
        <f t="shared" si="0"/>
        <v>23.21</v>
      </c>
      <c r="C12" s="51">
        <f t="shared" si="2"/>
        <v>27.852</v>
      </c>
      <c r="E12" s="51"/>
      <c r="G12" s="51">
        <v>1547</v>
      </c>
      <c r="H12" s="51">
        <f t="shared" si="1"/>
        <v>15.47</v>
      </c>
      <c r="I12" s="51">
        <v>2321</v>
      </c>
      <c r="J12" s="51">
        <f t="shared" si="1"/>
        <v>23.21</v>
      </c>
    </row>
    <row r="13" spans="1:10">
      <c r="A13" s="3" t="s">
        <v>22</v>
      </c>
      <c r="B13" s="51">
        <f t="shared" si="0"/>
        <v>6.49</v>
      </c>
      <c r="C13" s="51">
        <f t="shared" si="2"/>
        <v>7.7880000000000003</v>
      </c>
      <c r="E13" s="51"/>
      <c r="G13" s="51">
        <v>186</v>
      </c>
      <c r="H13" s="51">
        <f t="shared" si="1"/>
        <v>1.86</v>
      </c>
      <c r="I13" s="51">
        <v>649</v>
      </c>
      <c r="J13" s="51">
        <f t="shared" si="1"/>
        <v>6.49</v>
      </c>
    </row>
    <row r="14" spans="1:10">
      <c r="A14" s="3" t="s">
        <v>23</v>
      </c>
      <c r="B14" s="51">
        <f t="shared" si="0"/>
        <v>8.99</v>
      </c>
      <c r="C14" s="51">
        <f t="shared" si="2"/>
        <v>10.788</v>
      </c>
      <c r="E14" s="51"/>
      <c r="G14" s="51">
        <v>412</v>
      </c>
      <c r="H14" s="51">
        <f t="shared" si="1"/>
        <v>4.12</v>
      </c>
      <c r="I14" s="51">
        <v>899</v>
      </c>
      <c r="J14" s="51">
        <f t="shared" si="1"/>
        <v>8.99</v>
      </c>
    </row>
    <row r="15" spans="1:10">
      <c r="A15" s="3" t="s">
        <v>24</v>
      </c>
      <c r="B15" s="51">
        <f t="shared" si="0"/>
        <v>8.0299999999999994</v>
      </c>
      <c r="C15" s="51">
        <f t="shared" si="2"/>
        <v>9.6359999999999992</v>
      </c>
      <c r="E15" s="51"/>
      <c r="G15" s="51">
        <v>486</v>
      </c>
      <c r="H15" s="51">
        <f t="shared" si="1"/>
        <v>4.8600000000000003</v>
      </c>
      <c r="I15" s="51">
        <v>803</v>
      </c>
      <c r="J15" s="51">
        <f t="shared" si="1"/>
        <v>8.0299999999999994</v>
      </c>
    </row>
    <row r="16" spans="1:10">
      <c r="A16" s="3" t="s">
        <v>25</v>
      </c>
      <c r="B16" s="51">
        <f t="shared" si="0"/>
        <v>6.57</v>
      </c>
      <c r="C16" s="51">
        <f>B16*1.2</f>
        <v>7.8840000000000003</v>
      </c>
      <c r="E16" s="51"/>
      <c r="G16" s="51">
        <v>510</v>
      </c>
      <c r="H16" s="51">
        <f t="shared" si="1"/>
        <v>5.0999999999999996</v>
      </c>
      <c r="I16" s="51">
        <v>657</v>
      </c>
      <c r="J16" s="51">
        <f t="shared" si="1"/>
        <v>6.57</v>
      </c>
    </row>
    <row r="17" spans="1:10">
      <c r="A17" s="3" t="s">
        <v>26</v>
      </c>
      <c r="B17" s="51">
        <f t="shared" si="0"/>
        <v>26.69</v>
      </c>
      <c r="C17" s="51">
        <f>B17*1.2</f>
        <v>32.027999999999999</v>
      </c>
      <c r="E17" s="51"/>
      <c r="G17" s="51">
        <v>1795</v>
      </c>
      <c r="H17" s="51">
        <f t="shared" si="1"/>
        <v>17.95</v>
      </c>
      <c r="I17" s="51">
        <v>2669</v>
      </c>
      <c r="J17" s="51">
        <f t="shared" si="1"/>
        <v>26.69</v>
      </c>
    </row>
    <row r="18" spans="1:10">
      <c r="A18" s="3" t="s">
        <v>27</v>
      </c>
      <c r="B18" s="51">
        <f t="shared" si="0"/>
        <v>23.34</v>
      </c>
      <c r="C18" s="51">
        <f t="shared" ref="C18:C32" si="3">B18*1.2</f>
        <v>28.007999999999999</v>
      </c>
      <c r="E18" s="51"/>
      <c r="G18" s="51">
        <v>1518</v>
      </c>
      <c r="H18" s="51">
        <f t="shared" si="1"/>
        <v>15.18</v>
      </c>
      <c r="I18" s="51">
        <v>2334</v>
      </c>
      <c r="J18" s="51">
        <f t="shared" si="1"/>
        <v>23.34</v>
      </c>
    </row>
    <row r="19" spans="1:10">
      <c r="A19" s="3" t="s">
        <v>28</v>
      </c>
      <c r="B19" s="51">
        <f t="shared" si="0"/>
        <v>9.52</v>
      </c>
      <c r="C19" s="51">
        <f t="shared" si="3"/>
        <v>11.423999999999999</v>
      </c>
      <c r="E19" s="51"/>
      <c r="G19" s="51">
        <v>502</v>
      </c>
      <c r="H19" s="51">
        <f t="shared" si="1"/>
        <v>5.0199999999999996</v>
      </c>
      <c r="I19" s="51">
        <v>952</v>
      </c>
      <c r="J19" s="51">
        <f t="shared" si="1"/>
        <v>9.52</v>
      </c>
    </row>
    <row r="20" spans="1:10">
      <c r="A20" s="3" t="s">
        <v>29</v>
      </c>
      <c r="B20" s="51">
        <f t="shared" si="0"/>
        <v>11.21</v>
      </c>
      <c r="C20" s="51">
        <f t="shared" si="3"/>
        <v>13.452</v>
      </c>
      <c r="E20" s="51"/>
      <c r="G20" s="51">
        <v>669</v>
      </c>
      <c r="H20" s="51">
        <f t="shared" si="1"/>
        <v>6.69</v>
      </c>
      <c r="I20" s="51">
        <v>1121</v>
      </c>
      <c r="J20" s="51">
        <f t="shared" si="1"/>
        <v>11.21</v>
      </c>
    </row>
    <row r="21" spans="1:10">
      <c r="A21" s="3" t="s">
        <v>30</v>
      </c>
      <c r="B21" s="51">
        <f t="shared" si="0"/>
        <v>18.079999999999998</v>
      </c>
      <c r="C21" s="51">
        <f t="shared" si="3"/>
        <v>21.695999999999998</v>
      </c>
      <c r="E21" s="51"/>
      <c r="G21" s="51">
        <v>565</v>
      </c>
      <c r="H21" s="51">
        <f t="shared" si="1"/>
        <v>5.65</v>
      </c>
      <c r="I21" s="51">
        <v>1808</v>
      </c>
      <c r="J21" s="51">
        <f t="shared" si="1"/>
        <v>18.079999999999998</v>
      </c>
    </row>
    <row r="22" spans="1:10">
      <c r="A22" s="3" t="s">
        <v>31</v>
      </c>
      <c r="B22" s="51">
        <f t="shared" si="0"/>
        <v>18.079999999999998</v>
      </c>
      <c r="C22" s="51">
        <f t="shared" si="3"/>
        <v>21.695999999999998</v>
      </c>
      <c r="E22" s="51"/>
      <c r="G22" s="51">
        <v>653</v>
      </c>
      <c r="H22" s="51">
        <f t="shared" si="1"/>
        <v>6.53</v>
      </c>
      <c r="I22" s="51">
        <v>1808</v>
      </c>
      <c r="J22" s="51">
        <f t="shared" si="1"/>
        <v>18.079999999999998</v>
      </c>
    </row>
    <row r="23" spans="1:10">
      <c r="A23" s="3" t="s">
        <v>32</v>
      </c>
      <c r="B23" s="51">
        <f t="shared" si="0"/>
        <v>0.42</v>
      </c>
      <c r="C23" s="51">
        <f t="shared" si="3"/>
        <v>0.504</v>
      </c>
      <c r="E23" s="51"/>
      <c r="G23" s="51">
        <v>29</v>
      </c>
      <c r="H23" s="51">
        <f t="shared" si="1"/>
        <v>0.28999999999999998</v>
      </c>
      <c r="I23" s="51">
        <v>42</v>
      </c>
      <c r="J23" s="51">
        <f t="shared" si="1"/>
        <v>0.42</v>
      </c>
    </row>
    <row r="24" spans="1:10">
      <c r="A24" s="3" t="s">
        <v>33</v>
      </c>
      <c r="B24" s="51">
        <f t="shared" si="0"/>
        <v>1.86</v>
      </c>
      <c r="C24" s="51">
        <f t="shared" si="3"/>
        <v>2.2320000000000002</v>
      </c>
      <c r="E24" s="51"/>
      <c r="G24" s="51">
        <v>97</v>
      </c>
      <c r="H24" s="51">
        <f t="shared" si="1"/>
        <v>0.97</v>
      </c>
      <c r="I24" s="51">
        <v>186</v>
      </c>
      <c r="J24" s="51">
        <f t="shared" si="1"/>
        <v>1.86</v>
      </c>
    </row>
    <row r="25" spans="1:10">
      <c r="A25" s="3" t="s">
        <v>34</v>
      </c>
      <c r="B25" s="51">
        <f t="shared" si="0"/>
        <v>8.9</v>
      </c>
      <c r="C25" s="51">
        <f t="shared" si="3"/>
        <v>10.68</v>
      </c>
      <c r="E25" s="51"/>
      <c r="G25" s="51">
        <v>426</v>
      </c>
      <c r="H25" s="51">
        <f t="shared" si="1"/>
        <v>4.26</v>
      </c>
      <c r="I25" s="51">
        <v>890</v>
      </c>
      <c r="J25" s="51">
        <f t="shared" si="1"/>
        <v>8.9</v>
      </c>
    </row>
    <row r="26" spans="1:10">
      <c r="A26" s="3" t="s">
        <v>35</v>
      </c>
      <c r="B26" s="51">
        <f t="shared" si="0"/>
        <v>7.48</v>
      </c>
      <c r="C26" s="51">
        <f t="shared" si="3"/>
        <v>8.9760000000000009</v>
      </c>
      <c r="E26" s="51"/>
      <c r="G26" s="51">
        <v>580</v>
      </c>
      <c r="H26" s="51">
        <f t="shared" si="1"/>
        <v>5.8</v>
      </c>
      <c r="I26" s="51">
        <v>748</v>
      </c>
      <c r="J26" s="51">
        <f t="shared" si="1"/>
        <v>7.48</v>
      </c>
    </row>
    <row r="27" spans="1:10">
      <c r="A27" s="3" t="s">
        <v>36</v>
      </c>
      <c r="B27" s="51">
        <f t="shared" si="0"/>
        <v>16.71</v>
      </c>
      <c r="C27" s="51">
        <f t="shared" si="3"/>
        <v>20.052</v>
      </c>
      <c r="E27" s="51"/>
      <c r="G27" s="51">
        <v>881</v>
      </c>
      <c r="H27" s="51">
        <f t="shared" si="1"/>
        <v>8.81</v>
      </c>
      <c r="I27" s="51">
        <v>1671</v>
      </c>
      <c r="J27" s="51">
        <f t="shared" si="1"/>
        <v>16.71</v>
      </c>
    </row>
    <row r="28" spans="1:10">
      <c r="A28" s="3" t="s">
        <v>37</v>
      </c>
      <c r="B28" s="51">
        <f t="shared" si="0"/>
        <v>14.95</v>
      </c>
      <c r="C28" s="51">
        <f t="shared" si="3"/>
        <v>17.939999999999998</v>
      </c>
      <c r="E28" s="51"/>
      <c r="G28" s="51">
        <v>892</v>
      </c>
      <c r="H28" s="51">
        <f t="shared" si="1"/>
        <v>8.92</v>
      </c>
      <c r="I28" s="51">
        <v>1495</v>
      </c>
      <c r="J28" s="51">
        <f t="shared" si="1"/>
        <v>14.95</v>
      </c>
    </row>
    <row r="29" spans="1:10">
      <c r="A29" s="3" t="s">
        <v>38</v>
      </c>
      <c r="B29" s="51">
        <f t="shared" si="0"/>
        <v>32.15</v>
      </c>
      <c r="C29" s="51">
        <f t="shared" si="3"/>
        <v>38.58</v>
      </c>
      <c r="E29" s="51"/>
      <c r="G29" s="51">
        <v>1373</v>
      </c>
      <c r="H29" s="51">
        <f t="shared" si="1"/>
        <v>13.73</v>
      </c>
      <c r="I29" s="51">
        <v>3215</v>
      </c>
      <c r="J29" s="51">
        <f t="shared" si="1"/>
        <v>32.15</v>
      </c>
    </row>
    <row r="30" spans="1:10">
      <c r="A30" s="3" t="s">
        <v>39</v>
      </c>
      <c r="B30" s="51">
        <f t="shared" si="0"/>
        <v>12.67</v>
      </c>
      <c r="C30" s="51">
        <f t="shared" si="3"/>
        <v>15.203999999999999</v>
      </c>
      <c r="E30" s="51"/>
      <c r="G30" s="51">
        <v>843</v>
      </c>
      <c r="H30" s="51">
        <f t="shared" si="1"/>
        <v>8.43</v>
      </c>
      <c r="I30" s="51">
        <v>1267</v>
      </c>
      <c r="J30" s="51">
        <f t="shared" si="1"/>
        <v>12.67</v>
      </c>
    </row>
    <row r="31" spans="1:10">
      <c r="A31" s="3" t="s">
        <v>40</v>
      </c>
      <c r="B31" s="51">
        <f t="shared" si="0"/>
        <v>15.09</v>
      </c>
      <c r="C31" s="51">
        <f t="shared" si="3"/>
        <v>18.108000000000001</v>
      </c>
      <c r="E31" s="51"/>
      <c r="G31" s="51">
        <v>1377</v>
      </c>
      <c r="H31" s="51">
        <f t="shared" si="1"/>
        <v>13.77</v>
      </c>
      <c r="I31" s="51">
        <v>1509</v>
      </c>
      <c r="J31" s="51">
        <f t="shared" si="1"/>
        <v>15.09</v>
      </c>
    </row>
    <row r="32" spans="1:10">
      <c r="A32" s="3" t="s">
        <v>41</v>
      </c>
      <c r="B32" s="51">
        <f t="shared" si="0"/>
        <v>47.08</v>
      </c>
      <c r="C32" s="51">
        <f t="shared" si="3"/>
        <v>56.495999999999995</v>
      </c>
      <c r="E32" s="51"/>
      <c r="G32" s="51">
        <v>2361</v>
      </c>
      <c r="H32" s="51">
        <f t="shared" si="1"/>
        <v>23.61</v>
      </c>
      <c r="I32" s="51">
        <v>4708</v>
      </c>
      <c r="J32" s="51">
        <f t="shared" si="1"/>
        <v>47.08</v>
      </c>
    </row>
  </sheetData>
  <mergeCells count="4">
    <mergeCell ref="B1:C1"/>
    <mergeCell ref="D1:E1"/>
    <mergeCell ref="G2:H2"/>
    <mergeCell ref="I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机组信息</vt:lpstr>
      <vt:lpstr>基年装机</vt:lpstr>
      <vt:lpstr>投资成本</vt:lpstr>
      <vt:lpstr>燃料成本</vt:lpstr>
      <vt:lpstr>生物质价格</vt:lpstr>
      <vt:lpstr>EFF</vt:lpstr>
      <vt:lpstr>AF</vt:lpstr>
      <vt:lpstr>光伏政策约束</vt:lpstr>
      <vt:lpstr>风电政策约束</vt:lpstr>
      <vt:lpstr>资源潜力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Jinhui Ren</dc:creator>
  <cp:lastModifiedBy>DingKevin</cp:lastModifiedBy>
  <dcterms:created xsi:type="dcterms:W3CDTF">2025-04-02T13:31:10Z</dcterms:created>
  <dcterms:modified xsi:type="dcterms:W3CDTF">2025-07-08T14:36:08Z</dcterms:modified>
</cp:coreProperties>
</file>